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0730" windowHeight="10290" tabRatio="789" firstSheet="14" activeTab="26"/>
  </bookViews>
  <sheets>
    <sheet name="Títulos" sheetId="46" r:id="rId1"/>
    <sheet name="001" sheetId="45" r:id="rId2"/>
    <sheet name="Impresos" sheetId="23" r:id="rId3"/>
    <sheet name="Notas" sheetId="85" r:id="rId4"/>
    <sheet name="Transparencia" sheetId="82" r:id="rId5"/>
    <sheet name="21a y 21b" sheetId="100" r:id="rId6"/>
    <sheet name="31a" sheetId="101" r:id="rId7"/>
    <sheet name="0311_ESF" sheetId="49" r:id="rId8"/>
    <sheet name="0312_EA" sheetId="50" r:id="rId9"/>
    <sheet name="0313_EVHP" sheetId="51" r:id="rId10"/>
    <sheet name="0314_ECSF" sheetId="52" r:id="rId11"/>
    <sheet name="0315_EFE" sheetId="53" r:id="rId12"/>
    <sheet name="0316_EAA" sheetId="54" r:id="rId13"/>
    <sheet name="0317_EADOP" sheetId="55" r:id="rId14"/>
    <sheet name="0318_IPC" sheetId="56" r:id="rId15"/>
    <sheet name="002" sheetId="47" r:id="rId16"/>
    <sheet name="FMI" sheetId="48" r:id="rId17"/>
    <sheet name="0321_EAI" sheetId="57" r:id="rId18"/>
    <sheet name="0321_CRI" sheetId="58" r:id="rId19"/>
    <sheet name="0321_CFF" sheetId="59" r:id="rId20"/>
    <sheet name="003" sheetId="81" r:id="rId21"/>
    <sheet name="FME" sheetId="84" r:id="rId22"/>
    <sheet name="0322_EAEPE" sheetId="60" r:id="rId23"/>
    <sheet name="0322_COG" sheetId="61" r:id="rId24"/>
    <sheet name="0322_CTG" sheetId="62" r:id="rId25"/>
    <sheet name="0322_CA_No_Central" sheetId="64" r:id="rId26"/>
    <sheet name="0322_CFG" sheetId="63" r:id="rId27"/>
    <sheet name="0323_EN" sheetId="65" r:id="rId28"/>
    <sheet name="0324_ID" sheetId="66" r:id="rId29"/>
    <sheet name="250_FF" sheetId="67" r:id="rId30"/>
    <sheet name="0331_GCP" sheetId="68" r:id="rId31"/>
    <sheet name="0332_PK" sheetId="69" r:id="rId32"/>
    <sheet name="0333_IR" sheetId="70" r:id="rId33"/>
    <sheet name="004" sheetId="83" r:id="rId34"/>
    <sheet name="0341_Muebles_Contable" sheetId="71" r:id="rId35"/>
    <sheet name="0341_Inmuebles_Contable" sheetId="72" r:id="rId36"/>
    <sheet name="0341_Registro_Auxiliar" sheetId="73" r:id="rId37"/>
    <sheet name="0341_Bienes_sin valor" sheetId="74" r:id="rId38"/>
    <sheet name="0005" sheetId="86" r:id="rId39"/>
    <sheet name="0342_BC" sheetId="75" r:id="rId40"/>
    <sheet name="0343_MPASUB" sheetId="78" r:id="rId41"/>
    <sheet name="0344_RCTAB" sheetId="79" r:id="rId42"/>
    <sheet name="0345_DGTOF" sheetId="80" r:id="rId43"/>
    <sheet name="LDF Trim" sheetId="87" r:id="rId44"/>
    <sheet name="LDF Guia" sheetId="102" r:id="rId45"/>
    <sheet name="0351_F1" sheetId="90" r:id="rId46"/>
    <sheet name="0352_F2" sheetId="91" r:id="rId47"/>
    <sheet name="0353_F3" sheetId="92" r:id="rId48"/>
    <sheet name="0354_F4" sheetId="93" r:id="rId49"/>
    <sheet name="0355_F5" sheetId="94" r:id="rId50"/>
    <sheet name="0356_F6a" sheetId="95" r:id="rId51"/>
    <sheet name="0356_F6b" sheetId="96" r:id="rId52"/>
    <sheet name="0356_F6c" sheetId="97" r:id="rId53"/>
    <sheet name="0356_F6d" sheetId="98" r:id="rId54"/>
    <sheet name="0357_Guia" sheetId="103" r:id="rId55"/>
  </sheets>
  <definedNames>
    <definedName name="_xlnm._FilterDatabase" localSheetId="33" hidden="1">'004'!$A$2:$N$1086</definedName>
    <definedName name="_xlnm._FilterDatabase" localSheetId="7" hidden="1">'0311_ESF'!$A$2:$E$195</definedName>
    <definedName name="_xlnm._FilterDatabase" localSheetId="9" hidden="1">'0313_EVHP'!$A$2:$G$2</definedName>
    <definedName name="_xlnm._FilterDatabase" localSheetId="13" hidden="1">'0317_EADOP'!$A$2:$F$27</definedName>
    <definedName name="_xlnm._FilterDatabase" localSheetId="19" hidden="1">'0321_CFF'!$A$2:$J$18</definedName>
    <definedName name="_xlnm._FilterDatabase" localSheetId="18" hidden="1">'0321_CRI'!$A$2:$J$3</definedName>
    <definedName name="_xlnm._FilterDatabase" localSheetId="17" hidden="1">'0321_EAI'!$A$2:$M$6</definedName>
    <definedName name="_xlnm._FilterDatabase" localSheetId="26" hidden="1">'0322_CFG'!$A$2:$H$35</definedName>
    <definedName name="_xlnm._FilterDatabase" localSheetId="23" hidden="1">'0322_COG'!$A$2:$H$75</definedName>
    <definedName name="_xlnm._FilterDatabase" localSheetId="49" hidden="1">'0355_F5'!$A$3:$G$71</definedName>
    <definedName name="_xlnm._FilterDatabase" localSheetId="50" hidden="1">'0356_F6a'!$A$3:$G$155</definedName>
    <definedName name="_xlnm._FilterDatabase" localSheetId="51" hidden="1">'0356_F6b'!$A$3:$G$13</definedName>
    <definedName name="_xlnm._FilterDatabase" localSheetId="52" hidden="1">'0356_F6c'!$A$3:$G$79</definedName>
    <definedName name="_xlnm._FilterDatabase" localSheetId="53" hidden="1">'0356_F6d'!$A$3:$G$27</definedName>
    <definedName name="_xlnm._FilterDatabase" localSheetId="54" hidden="1">'0357_Guia'!$B$3:$J$65</definedName>
    <definedName name="_xlnm._FilterDatabase" localSheetId="5" hidden="1">'21a y 21b'!$P$4:$V$6</definedName>
    <definedName name="_xlnm._FilterDatabase" localSheetId="6" hidden="1">'31a'!$J$4:$R$76</definedName>
    <definedName name="_xlnm._FilterDatabase" localSheetId="21" hidden="1">FME!$A$1:$P$261</definedName>
    <definedName name="_xlnm._FilterDatabase" localSheetId="16" hidden="1">FMI!$D$1:$P$18</definedName>
    <definedName name="_xlnm._FilterDatabase" localSheetId="3" hidden="1">Notas!$A$3:$G$263</definedName>
    <definedName name="BC_2014">'001'!$D$3:$D$215</definedName>
    <definedName name="bc_2015">'001'!$G$3:$G$215</definedName>
    <definedName name="bc_2015a">'001'!$F$3:$F$215</definedName>
    <definedName name="BC_2015c">'001'!$E$3:$E$215</definedName>
    <definedName name="bc_2016">'001'!$J$3:$J$215</definedName>
    <definedName name="bc_2016a">'001'!$I$3:$I$215</definedName>
    <definedName name="bc_2016c">'001'!$H$3:$H$215</definedName>
    <definedName name="bc_2017">'001'!$M$3:$M$215</definedName>
    <definedName name="bc_2017a">'001'!$L$3:$L$215</definedName>
    <definedName name="bc_2017c">'001'!$K$3:$K$215</definedName>
    <definedName name="PE_A">PE[Aprobado]</definedName>
    <definedName name="PE_C">PE[Comprometido]</definedName>
    <definedName name="PE_CA">PE[CA]</definedName>
    <definedName name="PE_CFF">PE[CFF]</definedName>
    <definedName name="PE_CFG">PE[CFG]</definedName>
    <definedName name="PE_Clave">PE[Clave]</definedName>
    <definedName name="PE_COG">PE[COG]</definedName>
    <definedName name="PE_CP">PE[CP]</definedName>
    <definedName name="PE_CTG">PE[CTG]</definedName>
    <definedName name="PE_D">PE[Devengado]</definedName>
    <definedName name="PE_E">PE[Ejercido]</definedName>
    <definedName name="PE_M">PE[Amp/Red]</definedName>
    <definedName name="PE_P">PE[Pagado]</definedName>
    <definedName name="PE_py">PE[PY]</definedName>
    <definedName name="pi_ce">PI[CE]</definedName>
    <definedName name="pi_cff">PI[CFF]</definedName>
    <definedName name="pi_cri">PI[CRI]</definedName>
    <definedName name="pi_d">PI[Devengado]</definedName>
    <definedName name="pi_e">PI[Estimado]</definedName>
    <definedName name="pi_m">PI[Amp/Red]</definedName>
    <definedName name="pi_r">PI[Recaudado]</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2" i="23" l="1"/>
  <c r="R2" i="23"/>
  <c r="U7" i="23"/>
  <c r="V7" i="23"/>
  <c r="V17" i="23" s="1"/>
  <c r="W8" i="23"/>
  <c r="T9" i="23"/>
  <c r="T10" i="23"/>
  <c r="X10" i="23" s="1"/>
  <c r="T11" i="23"/>
  <c r="X11" i="23" s="1"/>
  <c r="W12" i="23"/>
  <c r="U14" i="23"/>
  <c r="X14" i="23" s="1"/>
  <c r="U15" i="23"/>
  <c r="X15" i="23" s="1"/>
  <c r="U16" i="23"/>
  <c r="X16" i="23" s="1"/>
  <c r="W17" i="23"/>
  <c r="W18" i="23"/>
  <c r="T19" i="23"/>
  <c r="T20" i="23"/>
  <c r="X20" i="23" s="1"/>
  <c r="T21" i="23"/>
  <c r="X21" i="23" s="1"/>
  <c r="W22" i="23"/>
  <c r="V24" i="23"/>
  <c r="X24" i="23" s="1"/>
  <c r="V25" i="23"/>
  <c r="X25" i="23" s="1"/>
  <c r="V26" i="23"/>
  <c r="X26" i="23" s="1"/>
  <c r="W27" i="23"/>
  <c r="T18" i="23" l="1"/>
  <c r="X18" i="23" s="1"/>
  <c r="T8" i="23"/>
  <c r="T17" i="23" s="1"/>
  <c r="X9" i="23"/>
  <c r="X19" i="23"/>
  <c r="C233" i="85"/>
  <c r="T27" i="23" l="1"/>
  <c r="X8" i="23"/>
  <c r="A225" i="60"/>
  <c r="B225" i="60"/>
  <c r="C225" i="60"/>
  <c r="D225" i="60"/>
  <c r="E225" i="60"/>
  <c r="F225" i="60"/>
  <c r="G225" i="60"/>
  <c r="H225" i="60"/>
  <c r="I225" i="60"/>
  <c r="J225" i="60"/>
  <c r="K225" i="60"/>
  <c r="L225" i="60"/>
  <c r="O225" i="60" s="1"/>
  <c r="M225" i="60"/>
  <c r="N225" i="60"/>
  <c r="A223" i="60"/>
  <c r="B223" i="60"/>
  <c r="C223" i="60"/>
  <c r="D223" i="60"/>
  <c r="E223" i="60"/>
  <c r="F223" i="60"/>
  <c r="G223" i="60"/>
  <c r="H223" i="60"/>
  <c r="I223" i="60"/>
  <c r="J223" i="60"/>
  <c r="O223" i="60" s="1"/>
  <c r="K223" i="60"/>
  <c r="L223" i="60"/>
  <c r="M223" i="60"/>
  <c r="N223" i="60"/>
  <c r="A224" i="60"/>
  <c r="B224" i="60"/>
  <c r="C224" i="60"/>
  <c r="D224" i="60"/>
  <c r="E224" i="60"/>
  <c r="F224" i="60"/>
  <c r="G224" i="60"/>
  <c r="H224" i="60"/>
  <c r="I224" i="60"/>
  <c r="J224" i="60"/>
  <c r="K224" i="60"/>
  <c r="L224" i="60"/>
  <c r="M224" i="60"/>
  <c r="N224" i="60"/>
  <c r="O224" i="60"/>
  <c r="A217" i="60"/>
  <c r="B217" i="60"/>
  <c r="C217" i="60"/>
  <c r="D217" i="60"/>
  <c r="E217" i="60"/>
  <c r="F217" i="60"/>
  <c r="G217" i="60"/>
  <c r="H217" i="60"/>
  <c r="I217" i="60"/>
  <c r="J217" i="60"/>
  <c r="K217" i="60"/>
  <c r="L217" i="60"/>
  <c r="O217" i="60" s="1"/>
  <c r="M217" i="60"/>
  <c r="N217" i="60"/>
  <c r="A218" i="60"/>
  <c r="B218" i="60"/>
  <c r="C218" i="60"/>
  <c r="D218" i="60"/>
  <c r="E218" i="60"/>
  <c r="F218" i="60"/>
  <c r="G218" i="60"/>
  <c r="H218" i="60"/>
  <c r="I218" i="60"/>
  <c r="J218" i="60"/>
  <c r="O218" i="60" s="1"/>
  <c r="K218" i="60"/>
  <c r="L218" i="60"/>
  <c r="M218" i="60"/>
  <c r="N218" i="60"/>
  <c r="A219" i="60"/>
  <c r="B219" i="60"/>
  <c r="C219" i="60"/>
  <c r="D219" i="60"/>
  <c r="E219" i="60"/>
  <c r="F219" i="60"/>
  <c r="G219" i="60"/>
  <c r="H219" i="60"/>
  <c r="I219" i="60"/>
  <c r="J219" i="60"/>
  <c r="K219" i="60"/>
  <c r="L219" i="60"/>
  <c r="M219" i="60"/>
  <c r="N219" i="60"/>
  <c r="O219" i="60"/>
  <c r="A220" i="60"/>
  <c r="B220" i="60"/>
  <c r="C220" i="60"/>
  <c r="D220" i="60"/>
  <c r="E220" i="60"/>
  <c r="F220" i="60"/>
  <c r="G220" i="60"/>
  <c r="H220" i="60"/>
  <c r="I220" i="60"/>
  <c r="J220" i="60"/>
  <c r="K220" i="60"/>
  <c r="L220" i="60"/>
  <c r="O220" i="60" s="1"/>
  <c r="M220" i="60"/>
  <c r="N220" i="60"/>
  <c r="A221" i="60"/>
  <c r="B221" i="60"/>
  <c r="C221" i="60"/>
  <c r="D221" i="60"/>
  <c r="E221" i="60"/>
  <c r="F221" i="60"/>
  <c r="G221" i="60"/>
  <c r="H221" i="60"/>
  <c r="I221" i="60"/>
  <c r="J221" i="60"/>
  <c r="K221" i="60"/>
  <c r="L221" i="60"/>
  <c r="O221" i="60" s="1"/>
  <c r="M221" i="60"/>
  <c r="N221" i="60"/>
  <c r="A222" i="60"/>
  <c r="B222" i="60"/>
  <c r="C222" i="60"/>
  <c r="D222" i="60"/>
  <c r="E222" i="60"/>
  <c r="F222" i="60"/>
  <c r="G222" i="60"/>
  <c r="H222" i="60"/>
  <c r="I222" i="60"/>
  <c r="J222" i="60"/>
  <c r="O222" i="60" s="1"/>
  <c r="K222" i="60"/>
  <c r="L222" i="60"/>
  <c r="M222" i="60"/>
  <c r="N222" i="60"/>
  <c r="J253" i="84"/>
  <c r="K253" i="84"/>
  <c r="L253" i="84"/>
  <c r="P253" i="84"/>
  <c r="N253" i="84" s="1"/>
  <c r="M253" i="84" s="1"/>
  <c r="J254" i="84"/>
  <c r="K254" i="84"/>
  <c r="L254" i="84"/>
  <c r="N254" i="84"/>
  <c r="M254" i="84" s="1"/>
  <c r="P254" i="84"/>
  <c r="O254" i="84" s="1"/>
  <c r="J255" i="84"/>
  <c r="K255" i="84"/>
  <c r="L255" i="84"/>
  <c r="P255" i="84"/>
  <c r="N255" i="84" s="1"/>
  <c r="M255" i="84" s="1"/>
  <c r="J256" i="84"/>
  <c r="K256" i="84"/>
  <c r="L256" i="84"/>
  <c r="P256" i="84"/>
  <c r="O256" i="84" s="1"/>
  <c r="J257" i="84"/>
  <c r="K257" i="84"/>
  <c r="L257" i="84"/>
  <c r="P257" i="84"/>
  <c r="N257" i="84" s="1"/>
  <c r="M257" i="84" s="1"/>
  <c r="J258" i="84"/>
  <c r="K258" i="84"/>
  <c r="L258" i="84"/>
  <c r="P258" i="84"/>
  <c r="O258" i="84" s="1"/>
  <c r="J259" i="84"/>
  <c r="K259" i="84"/>
  <c r="L259" i="84"/>
  <c r="N259" i="84"/>
  <c r="M259" i="84" s="1"/>
  <c r="O259" i="84"/>
  <c r="P259" i="84"/>
  <c r="J260" i="84"/>
  <c r="K260" i="84"/>
  <c r="L260" i="84"/>
  <c r="P260" i="84"/>
  <c r="N260" i="84" s="1"/>
  <c r="M260" i="84" s="1"/>
  <c r="J261" i="84"/>
  <c r="K261" i="84"/>
  <c r="L261" i="84"/>
  <c r="P261" i="84"/>
  <c r="N261" i="84" s="1"/>
  <c r="M261" i="84" s="1"/>
  <c r="G253" i="84"/>
  <c r="F253" i="84" s="1"/>
  <c r="G254" i="84"/>
  <c r="F254" i="84" s="1"/>
  <c r="G255" i="84"/>
  <c r="F255" i="84" s="1"/>
  <c r="G256" i="84"/>
  <c r="F256" i="84" s="1"/>
  <c r="G257" i="84"/>
  <c r="F257" i="84" s="1"/>
  <c r="F258" i="84"/>
  <c r="G258" i="84"/>
  <c r="G259" i="84"/>
  <c r="F259" i="84" s="1"/>
  <c r="G260" i="84"/>
  <c r="F260" i="84" s="1"/>
  <c r="G261" i="84"/>
  <c r="F261" i="84" s="1"/>
  <c r="L1" i="47"/>
  <c r="A252" i="86"/>
  <c r="A253" i="86"/>
  <c r="A254" i="86"/>
  <c r="A255" i="86"/>
  <c r="A256" i="86"/>
  <c r="A257" i="86"/>
  <c r="A258" i="86"/>
  <c r="A259" i="86"/>
  <c r="A260" i="86"/>
  <c r="B211" i="45"/>
  <c r="B212" i="45"/>
  <c r="B213" i="45"/>
  <c r="B214" i="45"/>
  <c r="B215" i="45"/>
  <c r="M1" i="45"/>
  <c r="L1" i="45"/>
  <c r="K1" i="45"/>
  <c r="J1" i="45"/>
  <c r="I1" i="45"/>
  <c r="H1" i="45"/>
  <c r="G1" i="45"/>
  <c r="F1" i="45"/>
  <c r="E1" i="45"/>
  <c r="D1" i="45"/>
  <c r="N258" i="84" l="1"/>
  <c r="M258" i="84" s="1"/>
  <c r="O255" i="84"/>
  <c r="O260" i="84"/>
  <c r="O261" i="84"/>
  <c r="O257" i="84"/>
  <c r="N256" i="84"/>
  <c r="M256" i="84" s="1"/>
  <c r="O253" i="84"/>
  <c r="C4" i="102"/>
  <c r="J65" i="103"/>
  <c r="J64" i="103"/>
  <c r="J60" i="103"/>
  <c r="J59" i="103"/>
  <c r="J58" i="103"/>
  <c r="J56" i="103"/>
  <c r="J55" i="103"/>
  <c r="J54" i="103"/>
  <c r="J53" i="103"/>
  <c r="J52" i="103"/>
  <c r="J48" i="103"/>
  <c r="J47" i="103"/>
  <c r="J45" i="103"/>
  <c r="J44" i="103"/>
  <c r="J43" i="103"/>
  <c r="J42" i="103"/>
  <c r="J40" i="103"/>
  <c r="J39" i="103"/>
  <c r="J38" i="103"/>
  <c r="J37" i="103"/>
  <c r="J36" i="103"/>
  <c r="J33" i="103"/>
  <c r="J32" i="103"/>
  <c r="J31" i="103"/>
  <c r="J29" i="103"/>
  <c r="J27" i="103"/>
  <c r="J26" i="103"/>
  <c r="J24" i="103"/>
  <c r="J23" i="103"/>
  <c r="J22" i="103"/>
  <c r="J21" i="103"/>
  <c r="J20" i="103"/>
  <c r="J17" i="103"/>
  <c r="J16" i="103"/>
  <c r="J15" i="103"/>
  <c r="J13" i="103"/>
  <c r="J12" i="103"/>
  <c r="J11" i="103"/>
  <c r="J9" i="103"/>
  <c r="J8" i="103"/>
  <c r="J7" i="103"/>
  <c r="G65" i="103"/>
  <c r="G56" i="103"/>
  <c r="G54" i="103"/>
  <c r="G53" i="103"/>
  <c r="G33" i="103"/>
  <c r="G32" i="103"/>
  <c r="G31" i="103"/>
  <c r="G29" i="103"/>
  <c r="G24" i="103"/>
  <c r="G23" i="103"/>
  <c r="G22" i="103"/>
  <c r="G17" i="103"/>
  <c r="G16" i="103"/>
  <c r="G15" i="103"/>
  <c r="C65" i="103"/>
  <c r="C64" i="103"/>
  <c r="C60" i="103"/>
  <c r="C59" i="103"/>
  <c r="C58" i="103"/>
  <c r="C56" i="103"/>
  <c r="C55" i="103"/>
  <c r="C54" i="103"/>
  <c r="C53" i="103"/>
  <c r="C52" i="103"/>
  <c r="C48" i="103"/>
  <c r="C47" i="103"/>
  <c r="C45" i="103"/>
  <c r="C44" i="103"/>
  <c r="C43" i="103"/>
  <c r="C42" i="103"/>
  <c r="C40" i="103"/>
  <c r="C39" i="103"/>
  <c r="C38" i="103"/>
  <c r="C37" i="103"/>
  <c r="C36" i="103"/>
  <c r="C33" i="103"/>
  <c r="C32" i="103"/>
  <c r="C31" i="103"/>
  <c r="C29" i="103"/>
  <c r="C27" i="103"/>
  <c r="C26" i="103"/>
  <c r="C21" i="103"/>
  <c r="C20" i="103"/>
  <c r="C17" i="103"/>
  <c r="C16" i="103"/>
  <c r="C15" i="103"/>
  <c r="C13" i="103"/>
  <c r="C12" i="103"/>
  <c r="C11" i="103"/>
  <c r="C9" i="103"/>
  <c r="C8" i="103"/>
  <c r="C7" i="103"/>
  <c r="J71" i="102"/>
  <c r="G64" i="103" s="1"/>
  <c r="B70" i="102"/>
  <c r="B69" i="102"/>
  <c r="B68" i="102"/>
  <c r="B64" i="102"/>
  <c r="J62" i="102"/>
  <c r="G55" i="103" s="1"/>
  <c r="B58" i="102"/>
  <c r="B57" i="102" s="1"/>
  <c r="B56" i="102" s="1"/>
  <c r="B53" i="102"/>
  <c r="B48" i="102"/>
  <c r="B42" i="102"/>
  <c r="B41" i="102" s="1"/>
  <c r="B37" i="102"/>
  <c r="B35" i="102"/>
  <c r="J34" i="102"/>
  <c r="G27" i="103" s="1"/>
  <c r="J33" i="102"/>
  <c r="G26" i="103" s="1"/>
  <c r="B32" i="102"/>
  <c r="G21" i="103"/>
  <c r="G20" i="103"/>
  <c r="B25" i="102"/>
  <c r="B21" i="102"/>
  <c r="M20" i="102"/>
  <c r="J20" i="102"/>
  <c r="G13" i="103" s="1"/>
  <c r="M19" i="102"/>
  <c r="J19" i="102"/>
  <c r="G12" i="103" s="1"/>
  <c r="M18" i="102"/>
  <c r="J18" i="102"/>
  <c r="G11" i="103" s="1"/>
  <c r="B17" i="102"/>
  <c r="J16" i="102"/>
  <c r="G9" i="103" s="1"/>
  <c r="J15" i="102"/>
  <c r="G8" i="103" s="1"/>
  <c r="J14" i="102"/>
  <c r="G7" i="103" s="1"/>
  <c r="B13" i="102"/>
  <c r="B12" i="102" s="1"/>
  <c r="B11" i="102" s="1"/>
  <c r="R430" i="101"/>
  <c r="Q430" i="101"/>
  <c r="P430" i="101"/>
  <c r="O430" i="101"/>
  <c r="N430" i="101"/>
  <c r="M430" i="101"/>
  <c r="L430" i="101"/>
  <c r="K430" i="101"/>
  <c r="J430" i="101"/>
  <c r="I430" i="101"/>
  <c r="H430" i="101"/>
  <c r="G430" i="101"/>
  <c r="C430" i="101"/>
  <c r="R429" i="101"/>
  <c r="Q429" i="101"/>
  <c r="P429" i="101"/>
  <c r="O429" i="101"/>
  <c r="N429" i="101"/>
  <c r="M429" i="101"/>
  <c r="L429" i="101"/>
  <c r="K429" i="101"/>
  <c r="J429" i="101"/>
  <c r="I429" i="101"/>
  <c r="H429" i="101"/>
  <c r="G429" i="101"/>
  <c r="C429" i="101"/>
  <c r="R428" i="101"/>
  <c r="Q428" i="101"/>
  <c r="P428" i="101"/>
  <c r="O428" i="101"/>
  <c r="N428" i="101"/>
  <c r="M428" i="101"/>
  <c r="L428" i="101"/>
  <c r="K428" i="101"/>
  <c r="J428" i="101"/>
  <c r="I428" i="101"/>
  <c r="H428" i="101"/>
  <c r="G428" i="101"/>
  <c r="C428" i="101"/>
  <c r="R427" i="101"/>
  <c r="Q427" i="101"/>
  <c r="P427" i="101"/>
  <c r="O427" i="101"/>
  <c r="N427" i="101"/>
  <c r="M427" i="101"/>
  <c r="L427" i="101"/>
  <c r="K427" i="101"/>
  <c r="J427" i="101"/>
  <c r="I427" i="101"/>
  <c r="H427" i="101"/>
  <c r="G427" i="101"/>
  <c r="C427" i="101"/>
  <c r="R426" i="101"/>
  <c r="Q426" i="101"/>
  <c r="P426" i="101"/>
  <c r="O426" i="101"/>
  <c r="N426" i="101"/>
  <c r="M426" i="101"/>
  <c r="L426" i="101"/>
  <c r="K426" i="101"/>
  <c r="J426" i="101"/>
  <c r="I426" i="101"/>
  <c r="H426" i="101"/>
  <c r="G426" i="101"/>
  <c r="C426" i="101"/>
  <c r="R425" i="101"/>
  <c r="Q425" i="101"/>
  <c r="P425" i="101"/>
  <c r="O425" i="101"/>
  <c r="N425" i="101"/>
  <c r="M425" i="101"/>
  <c r="L425" i="101"/>
  <c r="K425" i="101"/>
  <c r="J425" i="101"/>
  <c r="I425" i="101"/>
  <c r="H425" i="101"/>
  <c r="G425" i="101"/>
  <c r="C425" i="101"/>
  <c r="R424" i="101"/>
  <c r="Q424" i="101"/>
  <c r="P424" i="101"/>
  <c r="O424" i="101"/>
  <c r="N424" i="101"/>
  <c r="M424" i="101"/>
  <c r="L424" i="101"/>
  <c r="K424" i="101"/>
  <c r="J424" i="101"/>
  <c r="I424" i="101"/>
  <c r="H424" i="101"/>
  <c r="G424" i="101"/>
  <c r="C424" i="101"/>
  <c r="R423" i="101"/>
  <c r="Q423" i="101"/>
  <c r="P423" i="101"/>
  <c r="O423" i="101"/>
  <c r="N423" i="101"/>
  <c r="M423" i="101"/>
  <c r="L423" i="101"/>
  <c r="K423" i="101"/>
  <c r="J423" i="101"/>
  <c r="I423" i="101"/>
  <c r="H423" i="101"/>
  <c r="G423" i="101"/>
  <c r="C423" i="101"/>
  <c r="R422" i="101"/>
  <c r="Q422" i="101"/>
  <c r="P422" i="101"/>
  <c r="O422" i="101"/>
  <c r="N422" i="101"/>
  <c r="M422" i="101"/>
  <c r="L422" i="101"/>
  <c r="K422" i="101"/>
  <c r="J422" i="101"/>
  <c r="I422" i="101"/>
  <c r="H422" i="101"/>
  <c r="G422" i="101"/>
  <c r="C422" i="101"/>
  <c r="R421" i="101"/>
  <c r="Q421" i="101"/>
  <c r="P421" i="101"/>
  <c r="O421" i="101"/>
  <c r="N421" i="101"/>
  <c r="M421" i="101"/>
  <c r="L421" i="101"/>
  <c r="K421" i="101"/>
  <c r="J421" i="101"/>
  <c r="I421" i="101"/>
  <c r="H421" i="101"/>
  <c r="G421" i="101"/>
  <c r="C421" i="101"/>
  <c r="R420" i="101"/>
  <c r="Q420" i="101"/>
  <c r="P420" i="101"/>
  <c r="O420" i="101"/>
  <c r="N420" i="101"/>
  <c r="M420" i="101"/>
  <c r="L420" i="101"/>
  <c r="K420" i="101"/>
  <c r="J420" i="101"/>
  <c r="I420" i="101"/>
  <c r="H420" i="101"/>
  <c r="G420" i="101"/>
  <c r="C420" i="101"/>
  <c r="R419" i="101"/>
  <c r="Q419" i="101"/>
  <c r="P419" i="101"/>
  <c r="O419" i="101"/>
  <c r="N419" i="101"/>
  <c r="M419" i="101"/>
  <c r="L419" i="101"/>
  <c r="K419" i="101"/>
  <c r="J419" i="101"/>
  <c r="I419" i="101"/>
  <c r="H419" i="101"/>
  <c r="G419" i="101"/>
  <c r="C419" i="101"/>
  <c r="R418" i="101"/>
  <c r="Q418" i="101"/>
  <c r="P418" i="101"/>
  <c r="O418" i="101"/>
  <c r="N418" i="101"/>
  <c r="M418" i="101"/>
  <c r="L418" i="101"/>
  <c r="K418" i="101"/>
  <c r="J418" i="101"/>
  <c r="I418" i="101"/>
  <c r="H418" i="101"/>
  <c r="G418" i="101"/>
  <c r="C418" i="101"/>
  <c r="R417" i="101"/>
  <c r="Q417" i="101"/>
  <c r="P417" i="101"/>
  <c r="O417" i="101"/>
  <c r="N417" i="101"/>
  <c r="M417" i="101"/>
  <c r="L417" i="101"/>
  <c r="K417" i="101"/>
  <c r="J417" i="101"/>
  <c r="I417" i="101"/>
  <c r="H417" i="101"/>
  <c r="G417" i="101"/>
  <c r="C417" i="101"/>
  <c r="R416" i="101"/>
  <c r="Q416" i="101"/>
  <c r="P416" i="101"/>
  <c r="O416" i="101"/>
  <c r="N416" i="101"/>
  <c r="M416" i="101"/>
  <c r="L416" i="101"/>
  <c r="K416" i="101"/>
  <c r="J416" i="101"/>
  <c r="I416" i="101"/>
  <c r="H416" i="101"/>
  <c r="G416" i="101"/>
  <c r="C416" i="101"/>
  <c r="R415" i="101"/>
  <c r="Q415" i="101"/>
  <c r="P415" i="101"/>
  <c r="O415" i="101"/>
  <c r="N415" i="101"/>
  <c r="M415" i="101"/>
  <c r="L415" i="101"/>
  <c r="K415" i="101"/>
  <c r="J415" i="101"/>
  <c r="I415" i="101"/>
  <c r="H415" i="101"/>
  <c r="G415" i="101"/>
  <c r="C415" i="101"/>
  <c r="R414" i="101"/>
  <c r="Q414" i="101"/>
  <c r="P414" i="101"/>
  <c r="O414" i="101"/>
  <c r="N414" i="101"/>
  <c r="M414" i="101"/>
  <c r="L414" i="101"/>
  <c r="K414" i="101"/>
  <c r="J414" i="101"/>
  <c r="I414" i="101"/>
  <c r="H414" i="101"/>
  <c r="G414" i="101"/>
  <c r="C414" i="101"/>
  <c r="R413" i="101"/>
  <c r="Q413" i="101"/>
  <c r="P413" i="101"/>
  <c r="O413" i="101"/>
  <c r="N413" i="101"/>
  <c r="M413" i="101"/>
  <c r="L413" i="101"/>
  <c r="K413" i="101"/>
  <c r="J413" i="101"/>
  <c r="I413" i="101"/>
  <c r="H413" i="101"/>
  <c r="G413" i="101"/>
  <c r="C413" i="101"/>
  <c r="R412" i="101"/>
  <c r="Q412" i="101"/>
  <c r="P412" i="101"/>
  <c r="O412" i="101"/>
  <c r="N412" i="101"/>
  <c r="M412" i="101"/>
  <c r="L412" i="101"/>
  <c r="K412" i="101"/>
  <c r="J412" i="101"/>
  <c r="I412" i="101"/>
  <c r="H412" i="101"/>
  <c r="G412" i="101"/>
  <c r="C412" i="101"/>
  <c r="R411" i="101"/>
  <c r="Q411" i="101"/>
  <c r="P411" i="101"/>
  <c r="O411" i="101"/>
  <c r="N411" i="101"/>
  <c r="M411" i="101"/>
  <c r="L411" i="101"/>
  <c r="K411" i="101"/>
  <c r="J411" i="101"/>
  <c r="I411" i="101"/>
  <c r="H411" i="101"/>
  <c r="G411" i="101"/>
  <c r="C411" i="101"/>
  <c r="R410" i="101"/>
  <c r="Q410" i="101"/>
  <c r="P410" i="101"/>
  <c r="O410" i="101"/>
  <c r="N410" i="101"/>
  <c r="M410" i="101"/>
  <c r="L410" i="101"/>
  <c r="K410" i="101"/>
  <c r="J410" i="101"/>
  <c r="I410" i="101"/>
  <c r="H410" i="101"/>
  <c r="G410" i="101"/>
  <c r="C410" i="101"/>
  <c r="R409" i="101"/>
  <c r="Q409" i="101"/>
  <c r="P409" i="101"/>
  <c r="O409" i="101"/>
  <c r="N409" i="101"/>
  <c r="M409" i="101"/>
  <c r="L409" i="101"/>
  <c r="K409" i="101"/>
  <c r="J409" i="101"/>
  <c r="I409" i="101"/>
  <c r="H409" i="101"/>
  <c r="G409" i="101"/>
  <c r="C409" i="101"/>
  <c r="R408" i="101"/>
  <c r="Q408" i="101"/>
  <c r="P408" i="101"/>
  <c r="O408" i="101"/>
  <c r="N408" i="101"/>
  <c r="M408" i="101"/>
  <c r="L408" i="101"/>
  <c r="K408" i="101"/>
  <c r="J408" i="101"/>
  <c r="I408" i="101"/>
  <c r="H408" i="101"/>
  <c r="G408" i="101"/>
  <c r="C408" i="101"/>
  <c r="R407" i="101"/>
  <c r="Q407" i="101"/>
  <c r="P407" i="101"/>
  <c r="O407" i="101"/>
  <c r="N407" i="101"/>
  <c r="M407" i="101"/>
  <c r="L407" i="101"/>
  <c r="K407" i="101"/>
  <c r="J407" i="101"/>
  <c r="I407" i="101"/>
  <c r="H407" i="101"/>
  <c r="G407" i="101"/>
  <c r="C407" i="101"/>
  <c r="R406" i="101"/>
  <c r="Q406" i="101"/>
  <c r="P406" i="101"/>
  <c r="O406" i="101"/>
  <c r="N406" i="101"/>
  <c r="M406" i="101"/>
  <c r="L406" i="101"/>
  <c r="K406" i="101"/>
  <c r="J406" i="101"/>
  <c r="I406" i="101"/>
  <c r="H406" i="101"/>
  <c r="G406" i="101"/>
  <c r="C406" i="101"/>
  <c r="R405" i="101"/>
  <c r="Q405" i="101"/>
  <c r="P405" i="101"/>
  <c r="O405" i="101"/>
  <c r="N405" i="101"/>
  <c r="M405" i="101"/>
  <c r="L405" i="101"/>
  <c r="K405" i="101"/>
  <c r="J405" i="101"/>
  <c r="I405" i="101"/>
  <c r="H405" i="101"/>
  <c r="G405" i="101"/>
  <c r="C405" i="101"/>
  <c r="R404" i="101"/>
  <c r="Q404" i="101"/>
  <c r="P404" i="101"/>
  <c r="O404" i="101"/>
  <c r="N404" i="101"/>
  <c r="M404" i="101"/>
  <c r="L404" i="101"/>
  <c r="K404" i="101"/>
  <c r="J404" i="101"/>
  <c r="I404" i="101"/>
  <c r="H404" i="101"/>
  <c r="G404" i="101"/>
  <c r="C404" i="101"/>
  <c r="R403" i="101"/>
  <c r="Q403" i="101"/>
  <c r="P403" i="101"/>
  <c r="O403" i="101"/>
  <c r="N403" i="101"/>
  <c r="M403" i="101"/>
  <c r="L403" i="101"/>
  <c r="K403" i="101"/>
  <c r="J403" i="101"/>
  <c r="I403" i="101"/>
  <c r="H403" i="101"/>
  <c r="G403" i="101"/>
  <c r="C403" i="101"/>
  <c r="R402" i="101"/>
  <c r="Q402" i="101"/>
  <c r="P402" i="101"/>
  <c r="O402" i="101"/>
  <c r="N402" i="101"/>
  <c r="M402" i="101"/>
  <c r="L402" i="101"/>
  <c r="K402" i="101"/>
  <c r="J402" i="101"/>
  <c r="I402" i="101"/>
  <c r="H402" i="101"/>
  <c r="G402" i="101"/>
  <c r="C402" i="101"/>
  <c r="R401" i="101"/>
  <c r="Q401" i="101"/>
  <c r="P401" i="101"/>
  <c r="O401" i="101"/>
  <c r="N401" i="101"/>
  <c r="M401" i="101"/>
  <c r="L401" i="101"/>
  <c r="K401" i="101"/>
  <c r="J401" i="101"/>
  <c r="I401" i="101"/>
  <c r="H401" i="101"/>
  <c r="G401" i="101"/>
  <c r="C401" i="101"/>
  <c r="R400" i="101"/>
  <c r="Q400" i="101"/>
  <c r="P400" i="101"/>
  <c r="O400" i="101"/>
  <c r="N400" i="101"/>
  <c r="M400" i="101"/>
  <c r="L400" i="101"/>
  <c r="K400" i="101"/>
  <c r="J400" i="101"/>
  <c r="I400" i="101"/>
  <c r="H400" i="101"/>
  <c r="G400" i="101"/>
  <c r="C400" i="101"/>
  <c r="R399" i="101"/>
  <c r="Q399" i="101"/>
  <c r="P399" i="101"/>
  <c r="O399" i="101"/>
  <c r="N399" i="101"/>
  <c r="M399" i="101"/>
  <c r="L399" i="101"/>
  <c r="K399" i="101"/>
  <c r="J399" i="101"/>
  <c r="I399" i="101"/>
  <c r="H399" i="101"/>
  <c r="G399" i="101"/>
  <c r="C399" i="101"/>
  <c r="R398" i="101"/>
  <c r="Q398" i="101"/>
  <c r="P398" i="101"/>
  <c r="O398" i="101"/>
  <c r="N398" i="101"/>
  <c r="M398" i="101"/>
  <c r="L398" i="101"/>
  <c r="K398" i="101"/>
  <c r="J398" i="101"/>
  <c r="I398" i="101"/>
  <c r="H398" i="101"/>
  <c r="G398" i="101"/>
  <c r="C398" i="101"/>
  <c r="R397" i="101"/>
  <c r="Q397" i="101"/>
  <c r="P397" i="101"/>
  <c r="O397" i="101"/>
  <c r="N397" i="101"/>
  <c r="M397" i="101"/>
  <c r="L397" i="101"/>
  <c r="K397" i="101"/>
  <c r="J397" i="101"/>
  <c r="I397" i="101"/>
  <c r="H397" i="101"/>
  <c r="G397" i="101"/>
  <c r="C397" i="101"/>
  <c r="R396" i="101"/>
  <c r="Q396" i="101"/>
  <c r="P396" i="101"/>
  <c r="O396" i="101"/>
  <c r="N396" i="101"/>
  <c r="M396" i="101"/>
  <c r="L396" i="101"/>
  <c r="K396" i="101"/>
  <c r="J396" i="101"/>
  <c r="I396" i="101"/>
  <c r="H396" i="101"/>
  <c r="G396" i="101"/>
  <c r="C396" i="101"/>
  <c r="R395" i="101"/>
  <c r="Q395" i="101"/>
  <c r="P395" i="101"/>
  <c r="O395" i="101"/>
  <c r="N395" i="101"/>
  <c r="M395" i="101"/>
  <c r="L395" i="101"/>
  <c r="K395" i="101"/>
  <c r="J395" i="101"/>
  <c r="I395" i="101"/>
  <c r="H395" i="101"/>
  <c r="G395" i="101"/>
  <c r="C395" i="101"/>
  <c r="R394" i="101"/>
  <c r="Q394" i="101"/>
  <c r="P394" i="101"/>
  <c r="O394" i="101"/>
  <c r="N394" i="101"/>
  <c r="M394" i="101"/>
  <c r="L394" i="101"/>
  <c r="K394" i="101"/>
  <c r="J394" i="101"/>
  <c r="I394" i="101"/>
  <c r="H394" i="101"/>
  <c r="G394" i="101"/>
  <c r="C394" i="101"/>
  <c r="R393" i="101"/>
  <c r="Q393" i="101"/>
  <c r="P393" i="101"/>
  <c r="O393" i="101"/>
  <c r="N393" i="101"/>
  <c r="M393" i="101"/>
  <c r="L393" i="101"/>
  <c r="K393" i="101"/>
  <c r="J393" i="101"/>
  <c r="I393" i="101"/>
  <c r="H393" i="101"/>
  <c r="G393" i="101"/>
  <c r="C393" i="101"/>
  <c r="R392" i="101"/>
  <c r="Q392" i="101"/>
  <c r="P392" i="101"/>
  <c r="O392" i="101"/>
  <c r="N392" i="101"/>
  <c r="M392" i="101"/>
  <c r="L392" i="101"/>
  <c r="K392" i="101"/>
  <c r="J392" i="101"/>
  <c r="I392" i="101"/>
  <c r="H392" i="101"/>
  <c r="G392" i="101"/>
  <c r="C392" i="101"/>
  <c r="R391" i="101"/>
  <c r="Q391" i="101"/>
  <c r="P391" i="101"/>
  <c r="O391" i="101"/>
  <c r="N391" i="101"/>
  <c r="M391" i="101"/>
  <c r="L391" i="101"/>
  <c r="K391" i="101"/>
  <c r="J391" i="101"/>
  <c r="I391" i="101"/>
  <c r="H391" i="101"/>
  <c r="G391" i="101"/>
  <c r="C391" i="101"/>
  <c r="R390" i="101"/>
  <c r="Q390" i="101"/>
  <c r="P390" i="101"/>
  <c r="O390" i="101"/>
  <c r="N390" i="101"/>
  <c r="M390" i="101"/>
  <c r="L390" i="101"/>
  <c r="K390" i="101"/>
  <c r="J390" i="101"/>
  <c r="I390" i="101"/>
  <c r="H390" i="101"/>
  <c r="G390" i="101"/>
  <c r="C390" i="101"/>
  <c r="R389" i="101"/>
  <c r="Q389" i="101"/>
  <c r="P389" i="101"/>
  <c r="O389" i="101"/>
  <c r="N389" i="101"/>
  <c r="M389" i="101"/>
  <c r="L389" i="101"/>
  <c r="K389" i="101"/>
  <c r="J389" i="101"/>
  <c r="I389" i="101"/>
  <c r="H389" i="101"/>
  <c r="G389" i="101"/>
  <c r="C389" i="101"/>
  <c r="R388" i="101"/>
  <c r="Q388" i="101"/>
  <c r="P388" i="101"/>
  <c r="O388" i="101"/>
  <c r="N388" i="101"/>
  <c r="M388" i="101"/>
  <c r="L388" i="101"/>
  <c r="K388" i="101"/>
  <c r="J388" i="101"/>
  <c r="I388" i="101"/>
  <c r="H388" i="101"/>
  <c r="G388" i="101"/>
  <c r="C388" i="101"/>
  <c r="R387" i="101"/>
  <c r="Q387" i="101"/>
  <c r="P387" i="101"/>
  <c r="O387" i="101"/>
  <c r="N387" i="101"/>
  <c r="M387" i="101"/>
  <c r="L387" i="101"/>
  <c r="K387" i="101"/>
  <c r="J387" i="101"/>
  <c r="I387" i="101"/>
  <c r="H387" i="101"/>
  <c r="G387" i="101"/>
  <c r="C387" i="101"/>
  <c r="R386" i="101"/>
  <c r="Q386" i="101"/>
  <c r="P386" i="101"/>
  <c r="O386" i="101"/>
  <c r="N386" i="101"/>
  <c r="M386" i="101"/>
  <c r="L386" i="101"/>
  <c r="K386" i="101"/>
  <c r="J386" i="101"/>
  <c r="I386" i="101"/>
  <c r="H386" i="101"/>
  <c r="G386" i="101"/>
  <c r="C386" i="101"/>
  <c r="R385" i="101"/>
  <c r="Q385" i="101"/>
  <c r="P385" i="101"/>
  <c r="O385" i="101"/>
  <c r="N385" i="101"/>
  <c r="M385" i="101"/>
  <c r="L385" i="101"/>
  <c r="K385" i="101"/>
  <c r="J385" i="101"/>
  <c r="I385" i="101"/>
  <c r="H385" i="101"/>
  <c r="G385" i="101"/>
  <c r="C385" i="101"/>
  <c r="R384" i="101"/>
  <c r="Q384" i="101"/>
  <c r="P384" i="101"/>
  <c r="O384" i="101"/>
  <c r="N384" i="101"/>
  <c r="M384" i="101"/>
  <c r="L384" i="101"/>
  <c r="K384" i="101"/>
  <c r="J384" i="101"/>
  <c r="I384" i="101"/>
  <c r="H384" i="101"/>
  <c r="G384" i="101"/>
  <c r="C384" i="101"/>
  <c r="R383" i="101"/>
  <c r="Q383" i="101"/>
  <c r="P383" i="101"/>
  <c r="O383" i="101"/>
  <c r="N383" i="101"/>
  <c r="M383" i="101"/>
  <c r="L383" i="101"/>
  <c r="K383" i="101"/>
  <c r="J383" i="101"/>
  <c r="I383" i="101"/>
  <c r="H383" i="101"/>
  <c r="G383" i="101"/>
  <c r="C383" i="101"/>
  <c r="R382" i="101"/>
  <c r="Q382" i="101"/>
  <c r="P382" i="101"/>
  <c r="O382" i="101"/>
  <c r="N382" i="101"/>
  <c r="M382" i="101"/>
  <c r="L382" i="101"/>
  <c r="K382" i="101"/>
  <c r="J382" i="101"/>
  <c r="I382" i="101"/>
  <c r="H382" i="101"/>
  <c r="G382" i="101"/>
  <c r="C382" i="101"/>
  <c r="R381" i="101"/>
  <c r="Q381" i="101"/>
  <c r="P381" i="101"/>
  <c r="O381" i="101"/>
  <c r="N381" i="101"/>
  <c r="M381" i="101"/>
  <c r="L381" i="101"/>
  <c r="K381" i="101"/>
  <c r="J381" i="101"/>
  <c r="I381" i="101"/>
  <c r="H381" i="101"/>
  <c r="G381" i="101"/>
  <c r="C381" i="101"/>
  <c r="R380" i="101"/>
  <c r="Q380" i="101"/>
  <c r="P380" i="101"/>
  <c r="O380" i="101"/>
  <c r="N380" i="101"/>
  <c r="M380" i="101"/>
  <c r="L380" i="101"/>
  <c r="K380" i="101"/>
  <c r="J380" i="101"/>
  <c r="I380" i="101"/>
  <c r="H380" i="101"/>
  <c r="G380" i="101"/>
  <c r="C380" i="101"/>
  <c r="R379" i="101"/>
  <c r="Q379" i="101"/>
  <c r="P379" i="101"/>
  <c r="O379" i="101"/>
  <c r="N379" i="101"/>
  <c r="M379" i="101"/>
  <c r="L379" i="101"/>
  <c r="K379" i="101"/>
  <c r="J379" i="101"/>
  <c r="I379" i="101"/>
  <c r="H379" i="101"/>
  <c r="G379" i="101"/>
  <c r="C379" i="101"/>
  <c r="R378" i="101"/>
  <c r="Q378" i="101"/>
  <c r="P378" i="101"/>
  <c r="O378" i="101"/>
  <c r="N378" i="101"/>
  <c r="M378" i="101"/>
  <c r="L378" i="101"/>
  <c r="K378" i="101"/>
  <c r="J378" i="101"/>
  <c r="I378" i="101"/>
  <c r="H378" i="101"/>
  <c r="G378" i="101"/>
  <c r="C378" i="101"/>
  <c r="R377" i="101"/>
  <c r="Q377" i="101"/>
  <c r="P377" i="101"/>
  <c r="O377" i="101"/>
  <c r="N377" i="101"/>
  <c r="M377" i="101"/>
  <c r="L377" i="101"/>
  <c r="K377" i="101"/>
  <c r="J377" i="101"/>
  <c r="I377" i="101"/>
  <c r="H377" i="101"/>
  <c r="G377" i="101"/>
  <c r="C377" i="101"/>
  <c r="R376" i="101"/>
  <c r="Q376" i="101"/>
  <c r="P376" i="101"/>
  <c r="O376" i="101"/>
  <c r="N376" i="101"/>
  <c r="M376" i="101"/>
  <c r="L376" i="101"/>
  <c r="K376" i="101"/>
  <c r="J376" i="101"/>
  <c r="I376" i="101"/>
  <c r="H376" i="101"/>
  <c r="G376" i="101"/>
  <c r="C376" i="101"/>
  <c r="R375" i="101"/>
  <c r="Q375" i="101"/>
  <c r="P375" i="101"/>
  <c r="O375" i="101"/>
  <c r="N375" i="101"/>
  <c r="M375" i="101"/>
  <c r="L375" i="101"/>
  <c r="K375" i="101"/>
  <c r="J375" i="101"/>
  <c r="I375" i="101"/>
  <c r="H375" i="101"/>
  <c r="G375" i="101"/>
  <c r="C375" i="101"/>
  <c r="R374" i="101"/>
  <c r="Q374" i="101"/>
  <c r="P374" i="101"/>
  <c r="O374" i="101"/>
  <c r="N374" i="101"/>
  <c r="M374" i="101"/>
  <c r="L374" i="101"/>
  <c r="K374" i="101"/>
  <c r="J374" i="101"/>
  <c r="I374" i="101"/>
  <c r="H374" i="101"/>
  <c r="G374" i="101"/>
  <c r="C374" i="101"/>
  <c r="R373" i="101"/>
  <c r="Q373" i="101"/>
  <c r="P373" i="101"/>
  <c r="O373" i="101"/>
  <c r="N373" i="101"/>
  <c r="M373" i="101"/>
  <c r="L373" i="101"/>
  <c r="K373" i="101"/>
  <c r="J373" i="101"/>
  <c r="I373" i="101"/>
  <c r="H373" i="101"/>
  <c r="G373" i="101"/>
  <c r="C373" i="101"/>
  <c r="R372" i="101"/>
  <c r="Q372" i="101"/>
  <c r="P372" i="101"/>
  <c r="O372" i="101"/>
  <c r="N372" i="101"/>
  <c r="M372" i="101"/>
  <c r="L372" i="101"/>
  <c r="K372" i="101"/>
  <c r="J372" i="101"/>
  <c r="I372" i="101"/>
  <c r="H372" i="101"/>
  <c r="G372" i="101"/>
  <c r="C372" i="101"/>
  <c r="R371" i="101"/>
  <c r="Q371" i="101"/>
  <c r="P371" i="101"/>
  <c r="O371" i="101"/>
  <c r="N371" i="101"/>
  <c r="M371" i="101"/>
  <c r="L371" i="101"/>
  <c r="K371" i="101"/>
  <c r="J371" i="101"/>
  <c r="I371" i="101"/>
  <c r="H371" i="101"/>
  <c r="G371" i="101"/>
  <c r="C371" i="101"/>
  <c r="R370" i="101"/>
  <c r="Q370" i="101"/>
  <c r="P370" i="101"/>
  <c r="O370" i="101"/>
  <c r="N370" i="101"/>
  <c r="M370" i="101"/>
  <c r="L370" i="101"/>
  <c r="K370" i="101"/>
  <c r="J370" i="101"/>
  <c r="I370" i="101"/>
  <c r="H370" i="101"/>
  <c r="G370" i="101"/>
  <c r="C370" i="101"/>
  <c r="R369" i="101"/>
  <c r="Q369" i="101"/>
  <c r="P369" i="101"/>
  <c r="O369" i="101"/>
  <c r="N369" i="101"/>
  <c r="M369" i="101"/>
  <c r="L369" i="101"/>
  <c r="K369" i="101"/>
  <c r="J369" i="101"/>
  <c r="I369" i="101"/>
  <c r="H369" i="101"/>
  <c r="G369" i="101"/>
  <c r="C369" i="101"/>
  <c r="R368" i="101"/>
  <c r="Q368" i="101"/>
  <c r="P368" i="101"/>
  <c r="O368" i="101"/>
  <c r="N368" i="101"/>
  <c r="M368" i="101"/>
  <c r="L368" i="101"/>
  <c r="K368" i="101"/>
  <c r="J368" i="101"/>
  <c r="I368" i="101"/>
  <c r="H368" i="101"/>
  <c r="G368" i="101"/>
  <c r="C368" i="101"/>
  <c r="R367" i="101"/>
  <c r="Q367" i="101"/>
  <c r="P367" i="101"/>
  <c r="O367" i="101"/>
  <c r="N367" i="101"/>
  <c r="M367" i="101"/>
  <c r="L367" i="101"/>
  <c r="K367" i="101"/>
  <c r="J367" i="101"/>
  <c r="I367" i="101"/>
  <c r="H367" i="101"/>
  <c r="G367" i="101"/>
  <c r="C367" i="101"/>
  <c r="R366" i="101"/>
  <c r="Q366" i="101"/>
  <c r="P366" i="101"/>
  <c r="O366" i="101"/>
  <c r="N366" i="101"/>
  <c r="M366" i="101"/>
  <c r="L366" i="101"/>
  <c r="K366" i="101"/>
  <c r="J366" i="101"/>
  <c r="I366" i="101"/>
  <c r="H366" i="101"/>
  <c r="G366" i="101"/>
  <c r="C366" i="101"/>
  <c r="R365" i="101"/>
  <c r="Q365" i="101"/>
  <c r="P365" i="101"/>
  <c r="O365" i="101"/>
  <c r="N365" i="101"/>
  <c r="M365" i="101"/>
  <c r="L365" i="101"/>
  <c r="K365" i="101"/>
  <c r="J365" i="101"/>
  <c r="I365" i="101"/>
  <c r="H365" i="101"/>
  <c r="G365" i="101"/>
  <c r="C365" i="101"/>
  <c r="R364" i="101"/>
  <c r="Q364" i="101"/>
  <c r="P364" i="101"/>
  <c r="O364" i="101"/>
  <c r="N364" i="101"/>
  <c r="M364" i="101"/>
  <c r="L364" i="101"/>
  <c r="K364" i="101"/>
  <c r="J364" i="101"/>
  <c r="I364" i="101"/>
  <c r="H364" i="101"/>
  <c r="G364" i="101"/>
  <c r="C364" i="101"/>
  <c r="R363" i="101"/>
  <c r="Q363" i="101"/>
  <c r="P363" i="101"/>
  <c r="O363" i="101"/>
  <c r="N363" i="101"/>
  <c r="M363" i="101"/>
  <c r="L363" i="101"/>
  <c r="K363" i="101"/>
  <c r="J363" i="101"/>
  <c r="I363" i="101"/>
  <c r="H363" i="101"/>
  <c r="G363" i="101"/>
  <c r="C363" i="101"/>
  <c r="R362" i="101"/>
  <c r="Q362" i="101"/>
  <c r="P362" i="101"/>
  <c r="O362" i="101"/>
  <c r="N362" i="101"/>
  <c r="M362" i="101"/>
  <c r="L362" i="101"/>
  <c r="K362" i="101"/>
  <c r="J362" i="101"/>
  <c r="I362" i="101"/>
  <c r="H362" i="101"/>
  <c r="G362" i="101"/>
  <c r="C362" i="101"/>
  <c r="R361" i="101"/>
  <c r="Q361" i="101"/>
  <c r="P361" i="101"/>
  <c r="O361" i="101"/>
  <c r="N361" i="101"/>
  <c r="M361" i="101"/>
  <c r="L361" i="101"/>
  <c r="K361" i="101"/>
  <c r="J361" i="101"/>
  <c r="I361" i="101"/>
  <c r="H361" i="101"/>
  <c r="G361" i="101"/>
  <c r="C361" i="101"/>
  <c r="R360" i="101"/>
  <c r="Q360" i="101"/>
  <c r="P360" i="101"/>
  <c r="O360" i="101"/>
  <c r="N360" i="101"/>
  <c r="M360" i="101"/>
  <c r="L360" i="101"/>
  <c r="K360" i="101"/>
  <c r="J360" i="101"/>
  <c r="I360" i="101"/>
  <c r="H360" i="101"/>
  <c r="G360" i="101"/>
  <c r="C360" i="101"/>
  <c r="R359" i="101"/>
  <c r="Q359" i="101"/>
  <c r="P359" i="101"/>
  <c r="O359" i="101"/>
  <c r="N359" i="101"/>
  <c r="M359" i="101"/>
  <c r="L359" i="101"/>
  <c r="K359" i="101"/>
  <c r="J359" i="101"/>
  <c r="I359" i="101"/>
  <c r="H359" i="101"/>
  <c r="G359" i="101"/>
  <c r="C359" i="101"/>
  <c r="R358" i="101"/>
  <c r="Q358" i="101"/>
  <c r="P358" i="101"/>
  <c r="O358" i="101"/>
  <c r="N358" i="101"/>
  <c r="M358" i="101"/>
  <c r="L358" i="101"/>
  <c r="K358" i="101"/>
  <c r="J358" i="101"/>
  <c r="I358" i="101"/>
  <c r="H358" i="101"/>
  <c r="G358" i="101"/>
  <c r="C358" i="101"/>
  <c r="R357" i="101"/>
  <c r="Q357" i="101"/>
  <c r="P357" i="101"/>
  <c r="O357" i="101"/>
  <c r="N357" i="101"/>
  <c r="M357" i="101"/>
  <c r="L357" i="101"/>
  <c r="K357" i="101"/>
  <c r="J357" i="101"/>
  <c r="I357" i="101"/>
  <c r="H357" i="101"/>
  <c r="G357" i="101"/>
  <c r="C357" i="101"/>
  <c r="R356" i="101"/>
  <c r="Q356" i="101"/>
  <c r="P356" i="101"/>
  <c r="O356" i="101"/>
  <c r="N356" i="101"/>
  <c r="M356" i="101"/>
  <c r="L356" i="101"/>
  <c r="K356" i="101"/>
  <c r="J356" i="101"/>
  <c r="I356" i="101"/>
  <c r="H356" i="101"/>
  <c r="G356" i="101"/>
  <c r="C356" i="101"/>
  <c r="R355" i="101"/>
  <c r="Q355" i="101"/>
  <c r="P355" i="101"/>
  <c r="O355" i="101"/>
  <c r="N355" i="101"/>
  <c r="M355" i="101"/>
  <c r="L355" i="101"/>
  <c r="K355" i="101"/>
  <c r="J355" i="101"/>
  <c r="I355" i="101"/>
  <c r="H355" i="101"/>
  <c r="G355" i="101"/>
  <c r="C355" i="101"/>
  <c r="R354" i="101"/>
  <c r="Q354" i="101"/>
  <c r="P354" i="101"/>
  <c r="O354" i="101"/>
  <c r="N354" i="101"/>
  <c r="M354" i="101"/>
  <c r="L354" i="101"/>
  <c r="K354" i="101"/>
  <c r="J354" i="101"/>
  <c r="I354" i="101"/>
  <c r="H354" i="101"/>
  <c r="G354" i="101"/>
  <c r="C354" i="101"/>
  <c r="R353" i="101"/>
  <c r="Q353" i="101"/>
  <c r="P353" i="101"/>
  <c r="O353" i="101"/>
  <c r="N353" i="101"/>
  <c r="M353" i="101"/>
  <c r="L353" i="101"/>
  <c r="K353" i="101"/>
  <c r="J353" i="101"/>
  <c r="I353" i="101"/>
  <c r="H353" i="101"/>
  <c r="G353" i="101"/>
  <c r="C353" i="101"/>
  <c r="R352" i="101"/>
  <c r="Q352" i="101"/>
  <c r="P352" i="101"/>
  <c r="O352" i="101"/>
  <c r="N352" i="101"/>
  <c r="M352" i="101"/>
  <c r="L352" i="101"/>
  <c r="K352" i="101"/>
  <c r="J352" i="101"/>
  <c r="I352" i="101"/>
  <c r="H352" i="101"/>
  <c r="G352" i="101"/>
  <c r="C352" i="101"/>
  <c r="R351" i="101"/>
  <c r="Q351" i="101"/>
  <c r="P351" i="101"/>
  <c r="O351" i="101"/>
  <c r="N351" i="101"/>
  <c r="M351" i="101"/>
  <c r="L351" i="101"/>
  <c r="K351" i="101"/>
  <c r="J351" i="101"/>
  <c r="I351" i="101"/>
  <c r="H351" i="101"/>
  <c r="G351" i="101"/>
  <c r="C351" i="101"/>
  <c r="R350" i="101"/>
  <c r="Q350" i="101"/>
  <c r="P350" i="101"/>
  <c r="O350" i="101"/>
  <c r="N350" i="101"/>
  <c r="M350" i="101"/>
  <c r="L350" i="101"/>
  <c r="K350" i="101"/>
  <c r="J350" i="101"/>
  <c r="I350" i="101"/>
  <c r="H350" i="101"/>
  <c r="G350" i="101"/>
  <c r="C350" i="101"/>
  <c r="R349" i="101"/>
  <c r="Q349" i="101"/>
  <c r="P349" i="101"/>
  <c r="O349" i="101"/>
  <c r="N349" i="101"/>
  <c r="M349" i="101"/>
  <c r="L349" i="101"/>
  <c r="K349" i="101"/>
  <c r="J349" i="101"/>
  <c r="I349" i="101"/>
  <c r="H349" i="101"/>
  <c r="G349" i="101"/>
  <c r="C349" i="101"/>
  <c r="R348" i="101"/>
  <c r="Q348" i="101"/>
  <c r="P348" i="101"/>
  <c r="O348" i="101"/>
  <c r="N348" i="101"/>
  <c r="M348" i="101"/>
  <c r="L348" i="101"/>
  <c r="K348" i="101"/>
  <c r="J348" i="101"/>
  <c r="I348" i="101"/>
  <c r="H348" i="101"/>
  <c r="G348" i="101"/>
  <c r="C348" i="101"/>
  <c r="R347" i="101"/>
  <c r="Q347" i="101"/>
  <c r="P347" i="101"/>
  <c r="O347" i="101"/>
  <c r="N347" i="101"/>
  <c r="M347" i="101"/>
  <c r="L347" i="101"/>
  <c r="K347" i="101"/>
  <c r="J347" i="101"/>
  <c r="I347" i="101"/>
  <c r="H347" i="101"/>
  <c r="G347" i="101"/>
  <c r="C347" i="101"/>
  <c r="R346" i="101"/>
  <c r="Q346" i="101"/>
  <c r="P346" i="101"/>
  <c r="O346" i="101"/>
  <c r="N346" i="101"/>
  <c r="M346" i="101"/>
  <c r="L346" i="101"/>
  <c r="K346" i="101"/>
  <c r="J346" i="101"/>
  <c r="I346" i="101"/>
  <c r="H346" i="101"/>
  <c r="G346" i="101"/>
  <c r="C346" i="101"/>
  <c r="R345" i="101"/>
  <c r="Q345" i="101"/>
  <c r="P345" i="101"/>
  <c r="O345" i="101"/>
  <c r="N345" i="101"/>
  <c r="M345" i="101"/>
  <c r="L345" i="101"/>
  <c r="K345" i="101"/>
  <c r="J345" i="101"/>
  <c r="I345" i="101"/>
  <c r="H345" i="101"/>
  <c r="G345" i="101"/>
  <c r="C345" i="101"/>
  <c r="R344" i="101"/>
  <c r="Q344" i="101"/>
  <c r="P344" i="101"/>
  <c r="O344" i="101"/>
  <c r="N344" i="101"/>
  <c r="M344" i="101"/>
  <c r="L344" i="101"/>
  <c r="K344" i="101"/>
  <c r="J344" i="101"/>
  <c r="I344" i="101"/>
  <c r="H344" i="101"/>
  <c r="G344" i="101"/>
  <c r="C344" i="101"/>
  <c r="R343" i="101"/>
  <c r="Q343" i="101"/>
  <c r="P343" i="101"/>
  <c r="O343" i="101"/>
  <c r="N343" i="101"/>
  <c r="M343" i="101"/>
  <c r="L343" i="101"/>
  <c r="K343" i="101"/>
  <c r="J343" i="101"/>
  <c r="I343" i="101"/>
  <c r="H343" i="101"/>
  <c r="G343" i="101"/>
  <c r="C343" i="101"/>
  <c r="R342" i="101"/>
  <c r="Q342" i="101"/>
  <c r="P342" i="101"/>
  <c r="O342" i="101"/>
  <c r="N342" i="101"/>
  <c r="M342" i="101"/>
  <c r="L342" i="101"/>
  <c r="K342" i="101"/>
  <c r="J342" i="101"/>
  <c r="I342" i="101"/>
  <c r="H342" i="101"/>
  <c r="G342" i="101"/>
  <c r="C342" i="101"/>
  <c r="R341" i="101"/>
  <c r="Q341" i="101"/>
  <c r="P341" i="101"/>
  <c r="O341" i="101"/>
  <c r="N341" i="101"/>
  <c r="M341" i="101"/>
  <c r="L341" i="101"/>
  <c r="K341" i="101"/>
  <c r="J341" i="101"/>
  <c r="I341" i="101"/>
  <c r="H341" i="101"/>
  <c r="G341" i="101"/>
  <c r="C341" i="101"/>
  <c r="R340" i="101"/>
  <c r="Q340" i="101"/>
  <c r="P340" i="101"/>
  <c r="O340" i="101"/>
  <c r="N340" i="101"/>
  <c r="M340" i="101"/>
  <c r="L340" i="101"/>
  <c r="K340" i="101"/>
  <c r="J340" i="101"/>
  <c r="I340" i="101"/>
  <c r="H340" i="101"/>
  <c r="G340" i="101"/>
  <c r="C340" i="101"/>
  <c r="R339" i="101"/>
  <c r="Q339" i="101"/>
  <c r="P339" i="101"/>
  <c r="O339" i="101"/>
  <c r="N339" i="101"/>
  <c r="M339" i="101"/>
  <c r="L339" i="101"/>
  <c r="K339" i="101"/>
  <c r="J339" i="101"/>
  <c r="I339" i="101"/>
  <c r="H339" i="101"/>
  <c r="G339" i="101"/>
  <c r="C339" i="101"/>
  <c r="R338" i="101"/>
  <c r="Q338" i="101"/>
  <c r="P338" i="101"/>
  <c r="O338" i="101"/>
  <c r="N338" i="101"/>
  <c r="M338" i="101"/>
  <c r="L338" i="101"/>
  <c r="K338" i="101"/>
  <c r="J338" i="101"/>
  <c r="I338" i="101"/>
  <c r="H338" i="101"/>
  <c r="G338" i="101"/>
  <c r="C338" i="101"/>
  <c r="R337" i="101"/>
  <c r="Q337" i="101"/>
  <c r="P337" i="101"/>
  <c r="O337" i="101"/>
  <c r="N337" i="101"/>
  <c r="M337" i="101"/>
  <c r="L337" i="101"/>
  <c r="K337" i="101"/>
  <c r="J337" i="101"/>
  <c r="I337" i="101"/>
  <c r="H337" i="101"/>
  <c r="G337" i="101"/>
  <c r="C337" i="101"/>
  <c r="R336" i="101"/>
  <c r="Q336" i="101"/>
  <c r="P336" i="101"/>
  <c r="O336" i="101"/>
  <c r="N336" i="101"/>
  <c r="M336" i="101"/>
  <c r="L336" i="101"/>
  <c r="K336" i="101"/>
  <c r="J336" i="101"/>
  <c r="I336" i="101"/>
  <c r="H336" i="101"/>
  <c r="G336" i="101"/>
  <c r="C336" i="101"/>
  <c r="R335" i="101"/>
  <c r="Q335" i="101"/>
  <c r="P335" i="101"/>
  <c r="O335" i="101"/>
  <c r="N335" i="101"/>
  <c r="M335" i="101"/>
  <c r="L335" i="101"/>
  <c r="K335" i="101"/>
  <c r="J335" i="101"/>
  <c r="I335" i="101"/>
  <c r="H335" i="101"/>
  <c r="G335" i="101"/>
  <c r="C335" i="101"/>
  <c r="R334" i="101"/>
  <c r="Q334" i="101"/>
  <c r="P334" i="101"/>
  <c r="O334" i="101"/>
  <c r="N334" i="101"/>
  <c r="M334" i="101"/>
  <c r="L334" i="101"/>
  <c r="K334" i="101"/>
  <c r="J334" i="101"/>
  <c r="I334" i="101"/>
  <c r="H334" i="101"/>
  <c r="G334" i="101"/>
  <c r="C334" i="101"/>
  <c r="R333" i="101"/>
  <c r="Q333" i="101"/>
  <c r="P333" i="101"/>
  <c r="O333" i="101"/>
  <c r="N333" i="101"/>
  <c r="M333" i="101"/>
  <c r="L333" i="101"/>
  <c r="K333" i="101"/>
  <c r="J333" i="101"/>
  <c r="I333" i="101"/>
  <c r="H333" i="101"/>
  <c r="G333" i="101"/>
  <c r="C333" i="101"/>
  <c r="R332" i="101"/>
  <c r="Q332" i="101"/>
  <c r="P332" i="101"/>
  <c r="O332" i="101"/>
  <c r="N332" i="101"/>
  <c r="M332" i="101"/>
  <c r="L332" i="101"/>
  <c r="K332" i="101"/>
  <c r="J332" i="101"/>
  <c r="I332" i="101"/>
  <c r="H332" i="101"/>
  <c r="G332" i="101"/>
  <c r="C332" i="101"/>
  <c r="R331" i="101"/>
  <c r="Q331" i="101"/>
  <c r="P331" i="101"/>
  <c r="O331" i="101"/>
  <c r="N331" i="101"/>
  <c r="M331" i="101"/>
  <c r="L331" i="101"/>
  <c r="K331" i="101"/>
  <c r="J331" i="101"/>
  <c r="I331" i="101"/>
  <c r="H331" i="101"/>
  <c r="G331" i="101"/>
  <c r="C331" i="101"/>
  <c r="R330" i="101"/>
  <c r="Q330" i="101"/>
  <c r="P330" i="101"/>
  <c r="O330" i="101"/>
  <c r="N330" i="101"/>
  <c r="M330" i="101"/>
  <c r="L330" i="101"/>
  <c r="K330" i="101"/>
  <c r="J330" i="101"/>
  <c r="I330" i="101"/>
  <c r="H330" i="101"/>
  <c r="G330" i="101"/>
  <c r="C330" i="101"/>
  <c r="R329" i="101"/>
  <c r="Q329" i="101"/>
  <c r="P329" i="101"/>
  <c r="O329" i="101"/>
  <c r="N329" i="101"/>
  <c r="M329" i="101"/>
  <c r="L329" i="101"/>
  <c r="K329" i="101"/>
  <c r="J329" i="101"/>
  <c r="I329" i="101"/>
  <c r="H329" i="101"/>
  <c r="G329" i="101"/>
  <c r="C329" i="101"/>
  <c r="R328" i="101"/>
  <c r="Q328" i="101"/>
  <c r="P328" i="101"/>
  <c r="O328" i="101"/>
  <c r="N328" i="101"/>
  <c r="M328" i="101"/>
  <c r="L328" i="101"/>
  <c r="K328" i="101"/>
  <c r="J328" i="101"/>
  <c r="I328" i="101"/>
  <c r="H328" i="101"/>
  <c r="G328" i="101"/>
  <c r="C328" i="101"/>
  <c r="R327" i="101"/>
  <c r="Q327" i="101"/>
  <c r="P327" i="101"/>
  <c r="O327" i="101"/>
  <c r="N327" i="101"/>
  <c r="M327" i="101"/>
  <c r="L327" i="101"/>
  <c r="K327" i="101"/>
  <c r="J327" i="101"/>
  <c r="I327" i="101"/>
  <c r="H327" i="101"/>
  <c r="G327" i="101"/>
  <c r="C327" i="101"/>
  <c r="R326" i="101"/>
  <c r="Q326" i="101"/>
  <c r="P326" i="101"/>
  <c r="O326" i="101"/>
  <c r="N326" i="101"/>
  <c r="M326" i="101"/>
  <c r="L326" i="101"/>
  <c r="K326" i="101"/>
  <c r="J326" i="101"/>
  <c r="I326" i="101"/>
  <c r="H326" i="101"/>
  <c r="G326" i="101"/>
  <c r="C326" i="101"/>
  <c r="R325" i="101"/>
  <c r="Q325" i="101"/>
  <c r="P325" i="101"/>
  <c r="O325" i="101"/>
  <c r="N325" i="101"/>
  <c r="M325" i="101"/>
  <c r="L325" i="101"/>
  <c r="K325" i="101"/>
  <c r="J325" i="101"/>
  <c r="I325" i="101"/>
  <c r="H325" i="101"/>
  <c r="G325" i="101"/>
  <c r="C325" i="101"/>
  <c r="R324" i="101"/>
  <c r="Q324" i="101"/>
  <c r="P324" i="101"/>
  <c r="O324" i="101"/>
  <c r="N324" i="101"/>
  <c r="M324" i="101"/>
  <c r="L324" i="101"/>
  <c r="K324" i="101"/>
  <c r="J324" i="101"/>
  <c r="I324" i="101"/>
  <c r="H324" i="101"/>
  <c r="G324" i="101"/>
  <c r="C324" i="101"/>
  <c r="R323" i="101"/>
  <c r="Q323" i="101"/>
  <c r="P323" i="101"/>
  <c r="O323" i="101"/>
  <c r="N323" i="101"/>
  <c r="M323" i="101"/>
  <c r="L323" i="101"/>
  <c r="K323" i="101"/>
  <c r="J323" i="101"/>
  <c r="I323" i="101"/>
  <c r="H323" i="101"/>
  <c r="G323" i="101"/>
  <c r="C323" i="101"/>
  <c r="R322" i="101"/>
  <c r="Q322" i="101"/>
  <c r="P322" i="101"/>
  <c r="O322" i="101"/>
  <c r="N322" i="101"/>
  <c r="M322" i="101"/>
  <c r="L322" i="101"/>
  <c r="K322" i="101"/>
  <c r="J322" i="101"/>
  <c r="I322" i="101"/>
  <c r="H322" i="101"/>
  <c r="G322" i="101"/>
  <c r="C322" i="101"/>
  <c r="R321" i="101"/>
  <c r="Q321" i="101"/>
  <c r="P321" i="101"/>
  <c r="O321" i="101"/>
  <c r="N321" i="101"/>
  <c r="M321" i="101"/>
  <c r="L321" i="101"/>
  <c r="K321" i="101"/>
  <c r="J321" i="101"/>
  <c r="I321" i="101"/>
  <c r="H321" i="101"/>
  <c r="G321" i="101"/>
  <c r="C321" i="101"/>
  <c r="R320" i="101"/>
  <c r="Q320" i="101"/>
  <c r="P320" i="101"/>
  <c r="O320" i="101"/>
  <c r="N320" i="101"/>
  <c r="M320" i="101"/>
  <c r="L320" i="101"/>
  <c r="K320" i="101"/>
  <c r="J320" i="101"/>
  <c r="I320" i="101"/>
  <c r="H320" i="101"/>
  <c r="G320" i="101"/>
  <c r="C320" i="101"/>
  <c r="R319" i="101"/>
  <c r="Q319" i="101"/>
  <c r="P319" i="101"/>
  <c r="O319" i="101"/>
  <c r="N319" i="101"/>
  <c r="M319" i="101"/>
  <c r="L319" i="101"/>
  <c r="K319" i="101"/>
  <c r="J319" i="101"/>
  <c r="I319" i="101"/>
  <c r="H319" i="101"/>
  <c r="G319" i="101"/>
  <c r="C319" i="101"/>
  <c r="R318" i="101"/>
  <c r="Q318" i="101"/>
  <c r="P318" i="101"/>
  <c r="O318" i="101"/>
  <c r="N318" i="101"/>
  <c r="M318" i="101"/>
  <c r="L318" i="101"/>
  <c r="K318" i="101"/>
  <c r="J318" i="101"/>
  <c r="I318" i="101"/>
  <c r="H318" i="101"/>
  <c r="G318" i="101"/>
  <c r="C318" i="101"/>
  <c r="R317" i="101"/>
  <c r="Q317" i="101"/>
  <c r="P317" i="101"/>
  <c r="O317" i="101"/>
  <c r="N317" i="101"/>
  <c r="M317" i="101"/>
  <c r="L317" i="101"/>
  <c r="K317" i="101"/>
  <c r="J317" i="101"/>
  <c r="I317" i="101"/>
  <c r="H317" i="101"/>
  <c r="G317" i="101"/>
  <c r="C317" i="101"/>
  <c r="R316" i="101"/>
  <c r="Q316" i="101"/>
  <c r="P316" i="101"/>
  <c r="O316" i="101"/>
  <c r="N316" i="101"/>
  <c r="M316" i="101"/>
  <c r="L316" i="101"/>
  <c r="K316" i="101"/>
  <c r="J316" i="101"/>
  <c r="I316" i="101"/>
  <c r="H316" i="101"/>
  <c r="G316" i="101"/>
  <c r="C316" i="101"/>
  <c r="R315" i="101"/>
  <c r="Q315" i="101"/>
  <c r="P315" i="101"/>
  <c r="O315" i="101"/>
  <c r="N315" i="101"/>
  <c r="M315" i="101"/>
  <c r="L315" i="101"/>
  <c r="K315" i="101"/>
  <c r="J315" i="101"/>
  <c r="I315" i="101"/>
  <c r="H315" i="101"/>
  <c r="G315" i="101"/>
  <c r="C315" i="101"/>
  <c r="R314" i="101"/>
  <c r="Q314" i="101"/>
  <c r="P314" i="101"/>
  <c r="O314" i="101"/>
  <c r="N314" i="101"/>
  <c r="M314" i="101"/>
  <c r="L314" i="101"/>
  <c r="K314" i="101"/>
  <c r="J314" i="101"/>
  <c r="I314" i="101"/>
  <c r="H314" i="101"/>
  <c r="G314" i="101"/>
  <c r="C314" i="101"/>
  <c r="R313" i="101"/>
  <c r="Q313" i="101"/>
  <c r="P313" i="101"/>
  <c r="O313" i="101"/>
  <c r="N313" i="101"/>
  <c r="M313" i="101"/>
  <c r="L313" i="101"/>
  <c r="K313" i="101"/>
  <c r="J313" i="101"/>
  <c r="I313" i="101"/>
  <c r="H313" i="101"/>
  <c r="G313" i="101"/>
  <c r="C313" i="101"/>
  <c r="R312" i="101"/>
  <c r="Q312" i="101"/>
  <c r="P312" i="101"/>
  <c r="O312" i="101"/>
  <c r="N312" i="101"/>
  <c r="M312" i="101"/>
  <c r="L312" i="101"/>
  <c r="K312" i="101"/>
  <c r="J312" i="101"/>
  <c r="I312" i="101"/>
  <c r="H312" i="101"/>
  <c r="G312" i="101"/>
  <c r="C312" i="101"/>
  <c r="R311" i="101"/>
  <c r="Q311" i="101"/>
  <c r="P311" i="101"/>
  <c r="O311" i="101"/>
  <c r="N311" i="101"/>
  <c r="M311" i="101"/>
  <c r="L311" i="101"/>
  <c r="K311" i="101"/>
  <c r="J311" i="101"/>
  <c r="I311" i="101"/>
  <c r="H311" i="101"/>
  <c r="G311" i="101"/>
  <c r="C311" i="101"/>
  <c r="R310" i="101"/>
  <c r="Q310" i="101"/>
  <c r="P310" i="101"/>
  <c r="O310" i="101"/>
  <c r="N310" i="101"/>
  <c r="M310" i="101"/>
  <c r="L310" i="101"/>
  <c r="K310" i="101"/>
  <c r="J310" i="101"/>
  <c r="I310" i="101"/>
  <c r="H310" i="101"/>
  <c r="G310" i="101"/>
  <c r="C310" i="101"/>
  <c r="R309" i="101"/>
  <c r="Q309" i="101"/>
  <c r="P309" i="101"/>
  <c r="O309" i="101"/>
  <c r="N309" i="101"/>
  <c r="M309" i="101"/>
  <c r="L309" i="101"/>
  <c r="K309" i="101"/>
  <c r="J309" i="101"/>
  <c r="I309" i="101"/>
  <c r="H309" i="101"/>
  <c r="G309" i="101"/>
  <c r="C309" i="101"/>
  <c r="R308" i="101"/>
  <c r="Q308" i="101"/>
  <c r="P308" i="101"/>
  <c r="O308" i="101"/>
  <c r="N308" i="101"/>
  <c r="M308" i="101"/>
  <c r="L308" i="101"/>
  <c r="K308" i="101"/>
  <c r="J308" i="101"/>
  <c r="I308" i="101"/>
  <c r="H308" i="101"/>
  <c r="G308" i="101"/>
  <c r="C308" i="101"/>
  <c r="R307" i="101"/>
  <c r="Q307" i="101"/>
  <c r="P307" i="101"/>
  <c r="O307" i="101"/>
  <c r="N307" i="101"/>
  <c r="M307" i="101"/>
  <c r="L307" i="101"/>
  <c r="K307" i="101"/>
  <c r="J307" i="101"/>
  <c r="I307" i="101"/>
  <c r="H307" i="101"/>
  <c r="G307" i="101"/>
  <c r="C307" i="101"/>
  <c r="R306" i="101"/>
  <c r="Q306" i="101"/>
  <c r="P306" i="101"/>
  <c r="O306" i="101"/>
  <c r="N306" i="101"/>
  <c r="M306" i="101"/>
  <c r="L306" i="101"/>
  <c r="K306" i="101"/>
  <c r="J306" i="101"/>
  <c r="I306" i="101"/>
  <c r="H306" i="101"/>
  <c r="G306" i="101"/>
  <c r="C306" i="101"/>
  <c r="R305" i="101"/>
  <c r="Q305" i="101"/>
  <c r="P305" i="101"/>
  <c r="O305" i="101"/>
  <c r="N305" i="101"/>
  <c r="M305" i="101"/>
  <c r="L305" i="101"/>
  <c r="K305" i="101"/>
  <c r="J305" i="101"/>
  <c r="I305" i="101"/>
  <c r="H305" i="101"/>
  <c r="G305" i="101"/>
  <c r="C305" i="101"/>
  <c r="R304" i="101"/>
  <c r="Q304" i="101"/>
  <c r="P304" i="101"/>
  <c r="O304" i="101"/>
  <c r="N304" i="101"/>
  <c r="M304" i="101"/>
  <c r="L304" i="101"/>
  <c r="K304" i="101"/>
  <c r="J304" i="101"/>
  <c r="I304" i="101"/>
  <c r="H304" i="101"/>
  <c r="G304" i="101"/>
  <c r="C304" i="101"/>
  <c r="R303" i="101"/>
  <c r="Q303" i="101"/>
  <c r="P303" i="101"/>
  <c r="O303" i="101"/>
  <c r="N303" i="101"/>
  <c r="M303" i="101"/>
  <c r="L303" i="101"/>
  <c r="K303" i="101"/>
  <c r="J303" i="101"/>
  <c r="I303" i="101"/>
  <c r="H303" i="101"/>
  <c r="G303" i="101"/>
  <c r="C303" i="101"/>
  <c r="R302" i="101"/>
  <c r="Q302" i="101"/>
  <c r="P302" i="101"/>
  <c r="O302" i="101"/>
  <c r="N302" i="101"/>
  <c r="M302" i="101"/>
  <c r="L302" i="101"/>
  <c r="K302" i="101"/>
  <c r="J302" i="101"/>
  <c r="I302" i="101"/>
  <c r="H302" i="101"/>
  <c r="G302" i="101"/>
  <c r="C302" i="101"/>
  <c r="R301" i="101"/>
  <c r="Q301" i="101"/>
  <c r="P301" i="101"/>
  <c r="O301" i="101"/>
  <c r="N301" i="101"/>
  <c r="M301" i="101"/>
  <c r="L301" i="101"/>
  <c r="K301" i="101"/>
  <c r="J301" i="101"/>
  <c r="I301" i="101"/>
  <c r="H301" i="101"/>
  <c r="G301" i="101"/>
  <c r="C301" i="101"/>
  <c r="R300" i="101"/>
  <c r="Q300" i="101"/>
  <c r="P300" i="101"/>
  <c r="O300" i="101"/>
  <c r="N300" i="101"/>
  <c r="M300" i="101"/>
  <c r="L300" i="101"/>
  <c r="K300" i="101"/>
  <c r="J300" i="101"/>
  <c r="I300" i="101"/>
  <c r="H300" i="101"/>
  <c r="G300" i="101"/>
  <c r="C300" i="101"/>
  <c r="R299" i="101"/>
  <c r="Q299" i="101"/>
  <c r="P299" i="101"/>
  <c r="O299" i="101"/>
  <c r="N299" i="101"/>
  <c r="M299" i="101"/>
  <c r="L299" i="101"/>
  <c r="K299" i="101"/>
  <c r="J299" i="101"/>
  <c r="I299" i="101"/>
  <c r="H299" i="101"/>
  <c r="G299" i="101"/>
  <c r="C299" i="101"/>
  <c r="R298" i="101"/>
  <c r="Q298" i="101"/>
  <c r="P298" i="101"/>
  <c r="O298" i="101"/>
  <c r="N298" i="101"/>
  <c r="M298" i="101"/>
  <c r="L298" i="101"/>
  <c r="K298" i="101"/>
  <c r="J298" i="101"/>
  <c r="I298" i="101"/>
  <c r="H298" i="101"/>
  <c r="G298" i="101"/>
  <c r="C298" i="101"/>
  <c r="R297" i="101"/>
  <c r="Q297" i="101"/>
  <c r="P297" i="101"/>
  <c r="O297" i="101"/>
  <c r="N297" i="101"/>
  <c r="M297" i="101"/>
  <c r="L297" i="101"/>
  <c r="K297" i="101"/>
  <c r="J297" i="101"/>
  <c r="I297" i="101"/>
  <c r="H297" i="101"/>
  <c r="G297" i="101"/>
  <c r="C297" i="101"/>
  <c r="R296" i="101"/>
  <c r="Q296" i="101"/>
  <c r="P296" i="101"/>
  <c r="O296" i="101"/>
  <c r="N296" i="101"/>
  <c r="M296" i="101"/>
  <c r="L296" i="101"/>
  <c r="K296" i="101"/>
  <c r="J296" i="101"/>
  <c r="I296" i="101"/>
  <c r="H296" i="101"/>
  <c r="G296" i="101"/>
  <c r="C296" i="101"/>
  <c r="R295" i="101"/>
  <c r="Q295" i="101"/>
  <c r="P295" i="101"/>
  <c r="O295" i="101"/>
  <c r="N295" i="101"/>
  <c r="M295" i="101"/>
  <c r="L295" i="101"/>
  <c r="K295" i="101"/>
  <c r="J295" i="101"/>
  <c r="I295" i="101"/>
  <c r="H295" i="101"/>
  <c r="G295" i="101"/>
  <c r="C295" i="101"/>
  <c r="R294" i="101"/>
  <c r="Q294" i="101"/>
  <c r="P294" i="101"/>
  <c r="O294" i="101"/>
  <c r="N294" i="101"/>
  <c r="M294" i="101"/>
  <c r="L294" i="101"/>
  <c r="K294" i="101"/>
  <c r="J294" i="101"/>
  <c r="I294" i="101"/>
  <c r="H294" i="101"/>
  <c r="G294" i="101"/>
  <c r="C294" i="101"/>
  <c r="R293" i="101"/>
  <c r="Q293" i="101"/>
  <c r="P293" i="101"/>
  <c r="O293" i="101"/>
  <c r="N293" i="101"/>
  <c r="M293" i="101"/>
  <c r="L293" i="101"/>
  <c r="K293" i="101"/>
  <c r="J293" i="101"/>
  <c r="I293" i="101"/>
  <c r="H293" i="101"/>
  <c r="G293" i="101"/>
  <c r="C293" i="101"/>
  <c r="R292" i="101"/>
  <c r="Q292" i="101"/>
  <c r="P292" i="101"/>
  <c r="O292" i="101"/>
  <c r="N292" i="101"/>
  <c r="M292" i="101"/>
  <c r="L292" i="101"/>
  <c r="K292" i="101"/>
  <c r="J292" i="101"/>
  <c r="I292" i="101"/>
  <c r="H292" i="101"/>
  <c r="G292" i="101"/>
  <c r="C292" i="101"/>
  <c r="R291" i="101"/>
  <c r="Q291" i="101"/>
  <c r="P291" i="101"/>
  <c r="O291" i="101"/>
  <c r="N291" i="101"/>
  <c r="M291" i="101"/>
  <c r="L291" i="101"/>
  <c r="K291" i="101"/>
  <c r="J291" i="101"/>
  <c r="I291" i="101"/>
  <c r="H291" i="101"/>
  <c r="G291" i="101"/>
  <c r="C291" i="101"/>
  <c r="R290" i="101"/>
  <c r="Q290" i="101"/>
  <c r="P290" i="101"/>
  <c r="O290" i="101"/>
  <c r="N290" i="101"/>
  <c r="M290" i="101"/>
  <c r="L290" i="101"/>
  <c r="K290" i="101"/>
  <c r="J290" i="101"/>
  <c r="I290" i="101"/>
  <c r="H290" i="101"/>
  <c r="G290" i="101"/>
  <c r="C290" i="101"/>
  <c r="R289" i="101"/>
  <c r="Q289" i="101"/>
  <c r="P289" i="101"/>
  <c r="O289" i="101"/>
  <c r="N289" i="101"/>
  <c r="M289" i="101"/>
  <c r="L289" i="101"/>
  <c r="K289" i="101"/>
  <c r="J289" i="101"/>
  <c r="I289" i="101"/>
  <c r="H289" i="101"/>
  <c r="G289" i="101"/>
  <c r="C289" i="101"/>
  <c r="R288" i="101"/>
  <c r="Q288" i="101"/>
  <c r="P288" i="101"/>
  <c r="O288" i="101"/>
  <c r="N288" i="101"/>
  <c r="M288" i="101"/>
  <c r="L288" i="101"/>
  <c r="K288" i="101"/>
  <c r="J288" i="101"/>
  <c r="I288" i="101"/>
  <c r="H288" i="101"/>
  <c r="G288" i="101"/>
  <c r="C288" i="101"/>
  <c r="R287" i="101"/>
  <c r="Q287" i="101"/>
  <c r="P287" i="101"/>
  <c r="O287" i="101"/>
  <c r="N287" i="101"/>
  <c r="M287" i="101"/>
  <c r="L287" i="101"/>
  <c r="K287" i="101"/>
  <c r="J287" i="101"/>
  <c r="I287" i="101"/>
  <c r="H287" i="101"/>
  <c r="G287" i="101"/>
  <c r="C287" i="101"/>
  <c r="R286" i="101"/>
  <c r="Q286" i="101"/>
  <c r="P286" i="101"/>
  <c r="O286" i="101"/>
  <c r="N286" i="101"/>
  <c r="M286" i="101"/>
  <c r="L286" i="101"/>
  <c r="K286" i="101"/>
  <c r="J286" i="101"/>
  <c r="I286" i="101"/>
  <c r="H286" i="101"/>
  <c r="G286" i="101"/>
  <c r="C286" i="101"/>
  <c r="R285" i="101"/>
  <c r="Q285" i="101"/>
  <c r="P285" i="101"/>
  <c r="O285" i="101"/>
  <c r="N285" i="101"/>
  <c r="M285" i="101"/>
  <c r="L285" i="101"/>
  <c r="K285" i="101"/>
  <c r="J285" i="101"/>
  <c r="I285" i="101"/>
  <c r="H285" i="101"/>
  <c r="G285" i="101"/>
  <c r="C285" i="101"/>
  <c r="R284" i="101"/>
  <c r="Q284" i="101"/>
  <c r="P284" i="101"/>
  <c r="O284" i="101"/>
  <c r="N284" i="101"/>
  <c r="M284" i="101"/>
  <c r="L284" i="101"/>
  <c r="K284" i="101"/>
  <c r="J284" i="101"/>
  <c r="I284" i="101"/>
  <c r="H284" i="101"/>
  <c r="G284" i="101"/>
  <c r="C284" i="101"/>
  <c r="R283" i="101"/>
  <c r="Q283" i="101"/>
  <c r="P283" i="101"/>
  <c r="O283" i="101"/>
  <c r="N283" i="101"/>
  <c r="M283" i="101"/>
  <c r="L283" i="101"/>
  <c r="K283" i="101"/>
  <c r="J283" i="101"/>
  <c r="I283" i="101"/>
  <c r="H283" i="101"/>
  <c r="G283" i="101"/>
  <c r="C283" i="101"/>
  <c r="R282" i="101"/>
  <c r="Q282" i="101"/>
  <c r="P282" i="101"/>
  <c r="O282" i="101"/>
  <c r="N282" i="101"/>
  <c r="M282" i="101"/>
  <c r="L282" i="101"/>
  <c r="K282" i="101"/>
  <c r="J282" i="101"/>
  <c r="I282" i="101"/>
  <c r="H282" i="101"/>
  <c r="G282" i="101"/>
  <c r="C282" i="101"/>
  <c r="R281" i="101"/>
  <c r="Q281" i="101"/>
  <c r="P281" i="101"/>
  <c r="O281" i="101"/>
  <c r="N281" i="101"/>
  <c r="M281" i="101"/>
  <c r="L281" i="101"/>
  <c r="K281" i="101"/>
  <c r="J281" i="101"/>
  <c r="I281" i="101"/>
  <c r="H281" i="101"/>
  <c r="G281" i="101"/>
  <c r="C281" i="101"/>
  <c r="R280" i="101"/>
  <c r="Q280" i="101"/>
  <c r="P280" i="101"/>
  <c r="O280" i="101"/>
  <c r="N280" i="101"/>
  <c r="M280" i="101"/>
  <c r="L280" i="101"/>
  <c r="K280" i="101"/>
  <c r="J280" i="101"/>
  <c r="I280" i="101"/>
  <c r="H280" i="101"/>
  <c r="G280" i="101"/>
  <c r="C280" i="101"/>
  <c r="R279" i="101"/>
  <c r="Q279" i="101"/>
  <c r="P279" i="101"/>
  <c r="O279" i="101"/>
  <c r="N279" i="101"/>
  <c r="M279" i="101"/>
  <c r="L279" i="101"/>
  <c r="K279" i="101"/>
  <c r="J279" i="101"/>
  <c r="I279" i="101"/>
  <c r="H279" i="101"/>
  <c r="G279" i="101"/>
  <c r="C279" i="101"/>
  <c r="R278" i="101"/>
  <c r="Q278" i="101"/>
  <c r="P278" i="101"/>
  <c r="O278" i="101"/>
  <c r="N278" i="101"/>
  <c r="M278" i="101"/>
  <c r="L278" i="101"/>
  <c r="K278" i="101"/>
  <c r="J278" i="101"/>
  <c r="I278" i="101"/>
  <c r="H278" i="101"/>
  <c r="G278" i="101"/>
  <c r="C278" i="101"/>
  <c r="R277" i="101"/>
  <c r="Q277" i="101"/>
  <c r="P277" i="101"/>
  <c r="O277" i="101"/>
  <c r="N277" i="101"/>
  <c r="M277" i="101"/>
  <c r="L277" i="101"/>
  <c r="K277" i="101"/>
  <c r="J277" i="101"/>
  <c r="I277" i="101"/>
  <c r="H277" i="101"/>
  <c r="G277" i="101"/>
  <c r="C277" i="101"/>
  <c r="R276" i="101"/>
  <c r="Q276" i="101"/>
  <c r="P276" i="101"/>
  <c r="O276" i="101"/>
  <c r="N276" i="101"/>
  <c r="M276" i="101"/>
  <c r="L276" i="101"/>
  <c r="K276" i="101"/>
  <c r="J276" i="101"/>
  <c r="I276" i="101"/>
  <c r="H276" i="101"/>
  <c r="G276" i="101"/>
  <c r="C276" i="101"/>
  <c r="R275" i="101"/>
  <c r="Q275" i="101"/>
  <c r="P275" i="101"/>
  <c r="O275" i="101"/>
  <c r="N275" i="101"/>
  <c r="M275" i="101"/>
  <c r="L275" i="101"/>
  <c r="K275" i="101"/>
  <c r="J275" i="101"/>
  <c r="I275" i="101"/>
  <c r="H275" i="101"/>
  <c r="G275" i="101"/>
  <c r="C275" i="101"/>
  <c r="R274" i="101"/>
  <c r="Q274" i="101"/>
  <c r="P274" i="101"/>
  <c r="O274" i="101"/>
  <c r="N274" i="101"/>
  <c r="M274" i="101"/>
  <c r="L274" i="101"/>
  <c r="K274" i="101"/>
  <c r="J274" i="101"/>
  <c r="I274" i="101"/>
  <c r="H274" i="101"/>
  <c r="G274" i="101"/>
  <c r="C274" i="101"/>
  <c r="R273" i="101"/>
  <c r="Q273" i="101"/>
  <c r="P273" i="101"/>
  <c r="O273" i="101"/>
  <c r="N273" i="101"/>
  <c r="M273" i="101"/>
  <c r="L273" i="101"/>
  <c r="K273" i="101"/>
  <c r="J273" i="101"/>
  <c r="I273" i="101"/>
  <c r="H273" i="101"/>
  <c r="G273" i="101"/>
  <c r="C273" i="101"/>
  <c r="R272" i="101"/>
  <c r="Q272" i="101"/>
  <c r="P272" i="101"/>
  <c r="O272" i="101"/>
  <c r="N272" i="101"/>
  <c r="M272" i="101"/>
  <c r="L272" i="101"/>
  <c r="K272" i="101"/>
  <c r="J272" i="101"/>
  <c r="I272" i="101"/>
  <c r="H272" i="101"/>
  <c r="G272" i="101"/>
  <c r="C272" i="101"/>
  <c r="R271" i="101"/>
  <c r="Q271" i="101"/>
  <c r="P271" i="101"/>
  <c r="O271" i="101"/>
  <c r="N271" i="101"/>
  <c r="M271" i="101"/>
  <c r="L271" i="101"/>
  <c r="K271" i="101"/>
  <c r="J271" i="101"/>
  <c r="I271" i="101"/>
  <c r="H271" i="101"/>
  <c r="G271" i="101"/>
  <c r="C271" i="101"/>
  <c r="R270" i="101"/>
  <c r="Q270" i="101"/>
  <c r="P270" i="101"/>
  <c r="O270" i="101"/>
  <c r="N270" i="101"/>
  <c r="M270" i="101"/>
  <c r="L270" i="101"/>
  <c r="K270" i="101"/>
  <c r="J270" i="101"/>
  <c r="I270" i="101"/>
  <c r="H270" i="101"/>
  <c r="G270" i="101"/>
  <c r="C270" i="101"/>
  <c r="R269" i="101"/>
  <c r="Q269" i="101"/>
  <c r="P269" i="101"/>
  <c r="O269" i="101"/>
  <c r="N269" i="101"/>
  <c r="M269" i="101"/>
  <c r="L269" i="101"/>
  <c r="K269" i="101"/>
  <c r="J269" i="101"/>
  <c r="I269" i="101"/>
  <c r="H269" i="101"/>
  <c r="G269" i="101"/>
  <c r="C269" i="101"/>
  <c r="R268" i="101"/>
  <c r="Q268" i="101"/>
  <c r="P268" i="101"/>
  <c r="O268" i="101"/>
  <c r="N268" i="101"/>
  <c r="M268" i="101"/>
  <c r="L268" i="101"/>
  <c r="K268" i="101"/>
  <c r="J268" i="101"/>
  <c r="I268" i="101"/>
  <c r="H268" i="101"/>
  <c r="G268" i="101"/>
  <c r="C268" i="101"/>
  <c r="R267" i="101"/>
  <c r="Q267" i="101"/>
  <c r="P267" i="101"/>
  <c r="O267" i="101"/>
  <c r="N267" i="101"/>
  <c r="M267" i="101"/>
  <c r="L267" i="101"/>
  <c r="K267" i="101"/>
  <c r="J267" i="101"/>
  <c r="I267" i="101"/>
  <c r="H267" i="101"/>
  <c r="G267" i="101"/>
  <c r="C267" i="101"/>
  <c r="R266" i="101"/>
  <c r="Q266" i="101"/>
  <c r="P266" i="101"/>
  <c r="O266" i="101"/>
  <c r="N266" i="101"/>
  <c r="M266" i="101"/>
  <c r="L266" i="101"/>
  <c r="K266" i="101"/>
  <c r="J266" i="101"/>
  <c r="I266" i="101"/>
  <c r="H266" i="101"/>
  <c r="G266" i="101"/>
  <c r="C266" i="101"/>
  <c r="R265" i="101"/>
  <c r="Q265" i="101"/>
  <c r="P265" i="101"/>
  <c r="O265" i="101"/>
  <c r="N265" i="101"/>
  <c r="M265" i="101"/>
  <c r="L265" i="101"/>
  <c r="K265" i="101"/>
  <c r="J265" i="101"/>
  <c r="I265" i="101"/>
  <c r="H265" i="101"/>
  <c r="G265" i="101"/>
  <c r="C265" i="101"/>
  <c r="R264" i="101"/>
  <c r="Q264" i="101"/>
  <c r="P264" i="101"/>
  <c r="O264" i="101"/>
  <c r="N264" i="101"/>
  <c r="M264" i="101"/>
  <c r="L264" i="101"/>
  <c r="K264" i="101"/>
  <c r="J264" i="101"/>
  <c r="I264" i="101"/>
  <c r="H264" i="101"/>
  <c r="G264" i="101"/>
  <c r="C264" i="101"/>
  <c r="R263" i="101"/>
  <c r="Q263" i="101"/>
  <c r="P263" i="101"/>
  <c r="O263" i="101"/>
  <c r="N263" i="101"/>
  <c r="M263" i="101"/>
  <c r="L263" i="101"/>
  <c r="K263" i="101"/>
  <c r="J263" i="101"/>
  <c r="I263" i="101"/>
  <c r="H263" i="101"/>
  <c r="G263" i="101"/>
  <c r="C263" i="101"/>
  <c r="R262" i="101"/>
  <c r="Q262" i="101"/>
  <c r="P262" i="101"/>
  <c r="O262" i="101"/>
  <c r="N262" i="101"/>
  <c r="M262" i="101"/>
  <c r="L262" i="101"/>
  <c r="K262" i="101"/>
  <c r="J262" i="101"/>
  <c r="I262" i="101"/>
  <c r="H262" i="101"/>
  <c r="G262" i="101"/>
  <c r="C262" i="101"/>
  <c r="R261" i="101"/>
  <c r="Q261" i="101"/>
  <c r="P261" i="101"/>
  <c r="O261" i="101"/>
  <c r="N261" i="101"/>
  <c r="M261" i="101"/>
  <c r="L261" i="101"/>
  <c r="K261" i="101"/>
  <c r="J261" i="101"/>
  <c r="I261" i="101"/>
  <c r="H261" i="101"/>
  <c r="G261" i="101"/>
  <c r="C261" i="101"/>
  <c r="R260" i="101"/>
  <c r="Q260" i="101"/>
  <c r="P260" i="101"/>
  <c r="O260" i="101"/>
  <c r="N260" i="101"/>
  <c r="M260" i="101"/>
  <c r="L260" i="101"/>
  <c r="K260" i="101"/>
  <c r="J260" i="101"/>
  <c r="I260" i="101"/>
  <c r="H260" i="101"/>
  <c r="G260" i="101"/>
  <c r="C260" i="101"/>
  <c r="R259" i="101"/>
  <c r="Q259" i="101"/>
  <c r="P259" i="101"/>
  <c r="O259" i="101"/>
  <c r="N259" i="101"/>
  <c r="M259" i="101"/>
  <c r="L259" i="101"/>
  <c r="K259" i="101"/>
  <c r="J259" i="101"/>
  <c r="I259" i="101"/>
  <c r="H259" i="101"/>
  <c r="G259" i="101"/>
  <c r="C259" i="101"/>
  <c r="R258" i="101"/>
  <c r="Q258" i="101"/>
  <c r="P258" i="101"/>
  <c r="O258" i="101"/>
  <c r="N258" i="101"/>
  <c r="M258" i="101"/>
  <c r="L258" i="101"/>
  <c r="K258" i="101"/>
  <c r="J258" i="101"/>
  <c r="I258" i="101"/>
  <c r="H258" i="101"/>
  <c r="G258" i="101"/>
  <c r="C258" i="101"/>
  <c r="R257" i="101"/>
  <c r="Q257" i="101"/>
  <c r="P257" i="101"/>
  <c r="O257" i="101"/>
  <c r="N257" i="101"/>
  <c r="M257" i="101"/>
  <c r="L257" i="101"/>
  <c r="K257" i="101"/>
  <c r="J257" i="101"/>
  <c r="I257" i="101"/>
  <c r="H257" i="101"/>
  <c r="G257" i="101"/>
  <c r="C257" i="101"/>
  <c r="R256" i="101"/>
  <c r="Q256" i="101"/>
  <c r="P256" i="101"/>
  <c r="O256" i="101"/>
  <c r="N256" i="101"/>
  <c r="M256" i="101"/>
  <c r="L256" i="101"/>
  <c r="K256" i="101"/>
  <c r="J256" i="101"/>
  <c r="I256" i="101"/>
  <c r="H256" i="101"/>
  <c r="G256" i="101"/>
  <c r="C256" i="101"/>
  <c r="R255" i="101"/>
  <c r="Q255" i="101"/>
  <c r="P255" i="101"/>
  <c r="O255" i="101"/>
  <c r="N255" i="101"/>
  <c r="M255" i="101"/>
  <c r="L255" i="101"/>
  <c r="K255" i="101"/>
  <c r="J255" i="101"/>
  <c r="I255" i="101"/>
  <c r="H255" i="101"/>
  <c r="G255" i="101"/>
  <c r="C255" i="101"/>
  <c r="R254" i="101"/>
  <c r="Q254" i="101"/>
  <c r="P254" i="101"/>
  <c r="O254" i="101"/>
  <c r="N254" i="101"/>
  <c r="M254" i="101"/>
  <c r="L254" i="101"/>
  <c r="K254" i="101"/>
  <c r="J254" i="101"/>
  <c r="I254" i="101"/>
  <c r="H254" i="101"/>
  <c r="G254" i="101"/>
  <c r="C254" i="101"/>
  <c r="R253" i="101"/>
  <c r="Q253" i="101"/>
  <c r="P253" i="101"/>
  <c r="O253" i="101"/>
  <c r="N253" i="101"/>
  <c r="M253" i="101"/>
  <c r="L253" i="101"/>
  <c r="K253" i="101"/>
  <c r="J253" i="101"/>
  <c r="I253" i="101"/>
  <c r="H253" i="101"/>
  <c r="G253" i="101"/>
  <c r="C253" i="101"/>
  <c r="R252" i="101"/>
  <c r="Q252" i="101"/>
  <c r="P252" i="101"/>
  <c r="O252" i="101"/>
  <c r="N252" i="101"/>
  <c r="M252" i="101"/>
  <c r="L252" i="101"/>
  <c r="K252" i="101"/>
  <c r="J252" i="101"/>
  <c r="I252" i="101"/>
  <c r="H252" i="101"/>
  <c r="G252" i="101"/>
  <c r="C252" i="101"/>
  <c r="R251" i="101"/>
  <c r="Q251" i="101"/>
  <c r="P251" i="101"/>
  <c r="O251" i="101"/>
  <c r="N251" i="101"/>
  <c r="M251" i="101"/>
  <c r="L251" i="101"/>
  <c r="K251" i="101"/>
  <c r="J251" i="101"/>
  <c r="I251" i="101"/>
  <c r="H251" i="101"/>
  <c r="G251" i="101"/>
  <c r="C251" i="101"/>
  <c r="R250" i="101"/>
  <c r="Q250" i="101"/>
  <c r="P250" i="101"/>
  <c r="O250" i="101"/>
  <c r="N250" i="101"/>
  <c r="M250" i="101"/>
  <c r="L250" i="101"/>
  <c r="K250" i="101"/>
  <c r="J250" i="101"/>
  <c r="I250" i="101"/>
  <c r="H250" i="101"/>
  <c r="G250" i="101"/>
  <c r="C250" i="101"/>
  <c r="R249" i="101"/>
  <c r="Q249" i="101"/>
  <c r="P249" i="101"/>
  <c r="O249" i="101"/>
  <c r="N249" i="101"/>
  <c r="M249" i="101"/>
  <c r="L249" i="101"/>
  <c r="K249" i="101"/>
  <c r="J249" i="101"/>
  <c r="I249" i="101"/>
  <c r="H249" i="101"/>
  <c r="G249" i="101"/>
  <c r="C249" i="101"/>
  <c r="R248" i="101"/>
  <c r="Q248" i="101"/>
  <c r="P248" i="101"/>
  <c r="O248" i="101"/>
  <c r="N248" i="101"/>
  <c r="M248" i="101"/>
  <c r="L248" i="101"/>
  <c r="K248" i="101"/>
  <c r="J248" i="101"/>
  <c r="I248" i="101"/>
  <c r="H248" i="101"/>
  <c r="G248" i="101"/>
  <c r="C248" i="101"/>
  <c r="R247" i="101"/>
  <c r="Q247" i="101"/>
  <c r="P247" i="101"/>
  <c r="O247" i="101"/>
  <c r="N247" i="101"/>
  <c r="M247" i="101"/>
  <c r="L247" i="101"/>
  <c r="K247" i="101"/>
  <c r="J247" i="101"/>
  <c r="I247" i="101"/>
  <c r="H247" i="101"/>
  <c r="G247" i="101"/>
  <c r="C247" i="101"/>
  <c r="R246" i="101"/>
  <c r="Q246" i="101"/>
  <c r="P246" i="101"/>
  <c r="O246" i="101"/>
  <c r="N246" i="101"/>
  <c r="M246" i="101"/>
  <c r="L246" i="101"/>
  <c r="K246" i="101"/>
  <c r="J246" i="101"/>
  <c r="I246" i="101"/>
  <c r="H246" i="101"/>
  <c r="G246" i="101"/>
  <c r="C246" i="101"/>
  <c r="R245" i="101"/>
  <c r="Q245" i="101"/>
  <c r="P245" i="101"/>
  <c r="O245" i="101"/>
  <c r="N245" i="101"/>
  <c r="M245" i="101"/>
  <c r="L245" i="101"/>
  <c r="K245" i="101"/>
  <c r="J245" i="101"/>
  <c r="I245" i="101"/>
  <c r="H245" i="101"/>
  <c r="G245" i="101"/>
  <c r="C245" i="101"/>
  <c r="R244" i="101"/>
  <c r="Q244" i="101"/>
  <c r="P244" i="101"/>
  <c r="O244" i="101"/>
  <c r="N244" i="101"/>
  <c r="M244" i="101"/>
  <c r="L244" i="101"/>
  <c r="K244" i="101"/>
  <c r="J244" i="101"/>
  <c r="I244" i="101"/>
  <c r="H244" i="101"/>
  <c r="G244" i="101"/>
  <c r="C244" i="101"/>
  <c r="R243" i="101"/>
  <c r="Q243" i="101"/>
  <c r="P243" i="101"/>
  <c r="O243" i="101"/>
  <c r="N243" i="101"/>
  <c r="M243" i="101"/>
  <c r="L243" i="101"/>
  <c r="K243" i="101"/>
  <c r="J243" i="101"/>
  <c r="I243" i="101"/>
  <c r="H243" i="101"/>
  <c r="G243" i="101"/>
  <c r="C243" i="101"/>
  <c r="R242" i="101"/>
  <c r="Q242" i="101"/>
  <c r="P242" i="101"/>
  <c r="O242" i="101"/>
  <c r="N242" i="101"/>
  <c r="M242" i="101"/>
  <c r="L242" i="101"/>
  <c r="K242" i="101"/>
  <c r="J242" i="101"/>
  <c r="I242" i="101"/>
  <c r="H242" i="101"/>
  <c r="G242" i="101"/>
  <c r="C242" i="101"/>
  <c r="R241" i="101"/>
  <c r="Q241" i="101"/>
  <c r="P241" i="101"/>
  <c r="O241" i="101"/>
  <c r="N241" i="101"/>
  <c r="M241" i="101"/>
  <c r="L241" i="101"/>
  <c r="K241" i="101"/>
  <c r="J241" i="101"/>
  <c r="I241" i="101"/>
  <c r="H241" i="101"/>
  <c r="G241" i="101"/>
  <c r="C241" i="101"/>
  <c r="R240" i="101"/>
  <c r="Q240" i="101"/>
  <c r="P240" i="101"/>
  <c r="O240" i="101"/>
  <c r="N240" i="101"/>
  <c r="M240" i="101"/>
  <c r="L240" i="101"/>
  <c r="K240" i="101"/>
  <c r="J240" i="101"/>
  <c r="I240" i="101"/>
  <c r="H240" i="101"/>
  <c r="G240" i="101"/>
  <c r="C240" i="101"/>
  <c r="R239" i="101"/>
  <c r="Q239" i="101"/>
  <c r="P239" i="101"/>
  <c r="O239" i="101"/>
  <c r="N239" i="101"/>
  <c r="M239" i="101"/>
  <c r="L239" i="101"/>
  <c r="K239" i="101"/>
  <c r="J239" i="101"/>
  <c r="I239" i="101"/>
  <c r="H239" i="101"/>
  <c r="G239" i="101"/>
  <c r="C239" i="101"/>
  <c r="R238" i="101"/>
  <c r="Q238" i="101"/>
  <c r="P238" i="101"/>
  <c r="O238" i="101"/>
  <c r="N238" i="101"/>
  <c r="M238" i="101"/>
  <c r="L238" i="101"/>
  <c r="K238" i="101"/>
  <c r="J238" i="101"/>
  <c r="I238" i="101"/>
  <c r="H238" i="101"/>
  <c r="G238" i="101"/>
  <c r="C238" i="101"/>
  <c r="R237" i="101"/>
  <c r="Q237" i="101"/>
  <c r="P237" i="101"/>
  <c r="O237" i="101"/>
  <c r="N237" i="101"/>
  <c r="M237" i="101"/>
  <c r="L237" i="101"/>
  <c r="K237" i="101"/>
  <c r="J237" i="101"/>
  <c r="I237" i="101"/>
  <c r="H237" i="101"/>
  <c r="G237" i="101"/>
  <c r="C237" i="101"/>
  <c r="R236" i="101"/>
  <c r="Q236" i="101"/>
  <c r="P236" i="101"/>
  <c r="O236" i="101"/>
  <c r="N236" i="101"/>
  <c r="M236" i="101"/>
  <c r="L236" i="101"/>
  <c r="K236" i="101"/>
  <c r="J236" i="101"/>
  <c r="I236" i="101"/>
  <c r="H236" i="101"/>
  <c r="G236" i="101"/>
  <c r="C236" i="101"/>
  <c r="R235" i="101"/>
  <c r="Q235" i="101"/>
  <c r="P235" i="101"/>
  <c r="O235" i="101"/>
  <c r="N235" i="101"/>
  <c r="M235" i="101"/>
  <c r="L235" i="101"/>
  <c r="K235" i="101"/>
  <c r="J235" i="101"/>
  <c r="I235" i="101"/>
  <c r="H235" i="101"/>
  <c r="G235" i="101"/>
  <c r="C235" i="101"/>
  <c r="R234" i="101"/>
  <c r="Q234" i="101"/>
  <c r="P234" i="101"/>
  <c r="O234" i="101"/>
  <c r="N234" i="101"/>
  <c r="M234" i="101"/>
  <c r="L234" i="101"/>
  <c r="K234" i="101"/>
  <c r="J234" i="101"/>
  <c r="I234" i="101"/>
  <c r="H234" i="101"/>
  <c r="G234" i="101"/>
  <c r="C234" i="101"/>
  <c r="R233" i="101"/>
  <c r="Q233" i="101"/>
  <c r="P233" i="101"/>
  <c r="O233" i="101"/>
  <c r="N233" i="101"/>
  <c r="M233" i="101"/>
  <c r="L233" i="101"/>
  <c r="K233" i="101"/>
  <c r="J233" i="101"/>
  <c r="I233" i="101"/>
  <c r="H233" i="101"/>
  <c r="G233" i="101"/>
  <c r="C233" i="101"/>
  <c r="R232" i="101"/>
  <c r="Q232" i="101"/>
  <c r="P232" i="101"/>
  <c r="O232" i="101"/>
  <c r="N232" i="101"/>
  <c r="M232" i="101"/>
  <c r="L232" i="101"/>
  <c r="K232" i="101"/>
  <c r="J232" i="101"/>
  <c r="I232" i="101"/>
  <c r="H232" i="101"/>
  <c r="G232" i="101"/>
  <c r="C232" i="101"/>
  <c r="R231" i="101"/>
  <c r="Q231" i="101"/>
  <c r="P231" i="101"/>
  <c r="O231" i="101"/>
  <c r="N231" i="101"/>
  <c r="M231" i="101"/>
  <c r="L231" i="101"/>
  <c r="K231" i="101"/>
  <c r="J231" i="101"/>
  <c r="I231" i="101"/>
  <c r="H231" i="101"/>
  <c r="G231" i="101"/>
  <c r="C231" i="101"/>
  <c r="R230" i="101"/>
  <c r="Q230" i="101"/>
  <c r="P230" i="101"/>
  <c r="O230" i="101"/>
  <c r="N230" i="101"/>
  <c r="M230" i="101"/>
  <c r="L230" i="101"/>
  <c r="K230" i="101"/>
  <c r="J230" i="101"/>
  <c r="I230" i="101"/>
  <c r="H230" i="101"/>
  <c r="G230" i="101"/>
  <c r="C230" i="101"/>
  <c r="R229" i="101"/>
  <c r="Q229" i="101"/>
  <c r="P229" i="101"/>
  <c r="O229" i="101"/>
  <c r="N229" i="101"/>
  <c r="M229" i="101"/>
  <c r="L229" i="101"/>
  <c r="K229" i="101"/>
  <c r="J229" i="101"/>
  <c r="I229" i="101"/>
  <c r="H229" i="101"/>
  <c r="G229" i="101"/>
  <c r="C229" i="101"/>
  <c r="R228" i="101"/>
  <c r="Q228" i="101"/>
  <c r="P228" i="101"/>
  <c r="O228" i="101"/>
  <c r="N228" i="101"/>
  <c r="M228" i="101"/>
  <c r="L228" i="101"/>
  <c r="K228" i="101"/>
  <c r="J228" i="101"/>
  <c r="I228" i="101"/>
  <c r="H228" i="101"/>
  <c r="G228" i="101"/>
  <c r="C228" i="101"/>
  <c r="R227" i="101"/>
  <c r="Q227" i="101"/>
  <c r="P227" i="101"/>
  <c r="O227" i="101"/>
  <c r="N227" i="101"/>
  <c r="M227" i="101"/>
  <c r="L227" i="101"/>
  <c r="K227" i="101"/>
  <c r="J227" i="101"/>
  <c r="I227" i="101"/>
  <c r="H227" i="101"/>
  <c r="G227" i="101"/>
  <c r="C227" i="101"/>
  <c r="R226" i="101"/>
  <c r="Q226" i="101"/>
  <c r="P226" i="101"/>
  <c r="O226" i="101"/>
  <c r="N226" i="101"/>
  <c r="M226" i="101"/>
  <c r="L226" i="101"/>
  <c r="K226" i="101"/>
  <c r="J226" i="101"/>
  <c r="I226" i="101"/>
  <c r="H226" i="101"/>
  <c r="G226" i="101"/>
  <c r="C226" i="101"/>
  <c r="R225" i="101"/>
  <c r="Q225" i="101"/>
  <c r="P225" i="101"/>
  <c r="O225" i="101"/>
  <c r="N225" i="101"/>
  <c r="M225" i="101"/>
  <c r="L225" i="101"/>
  <c r="K225" i="101"/>
  <c r="J225" i="101"/>
  <c r="I225" i="101"/>
  <c r="H225" i="101"/>
  <c r="G225" i="101"/>
  <c r="C225" i="101"/>
  <c r="R224" i="101"/>
  <c r="Q224" i="101"/>
  <c r="P224" i="101"/>
  <c r="O224" i="101"/>
  <c r="N224" i="101"/>
  <c r="M224" i="101"/>
  <c r="L224" i="101"/>
  <c r="K224" i="101"/>
  <c r="J224" i="101"/>
  <c r="I224" i="101"/>
  <c r="H224" i="101"/>
  <c r="G224" i="101"/>
  <c r="C224" i="101"/>
  <c r="R223" i="101"/>
  <c r="Q223" i="101"/>
  <c r="P223" i="101"/>
  <c r="O223" i="101"/>
  <c r="N223" i="101"/>
  <c r="M223" i="101"/>
  <c r="L223" i="101"/>
  <c r="K223" i="101"/>
  <c r="J223" i="101"/>
  <c r="I223" i="101"/>
  <c r="H223" i="101"/>
  <c r="G223" i="101"/>
  <c r="C223" i="101"/>
  <c r="R222" i="101"/>
  <c r="Q222" i="101"/>
  <c r="P222" i="101"/>
  <c r="O222" i="101"/>
  <c r="N222" i="101"/>
  <c r="M222" i="101"/>
  <c r="L222" i="101"/>
  <c r="K222" i="101"/>
  <c r="J222" i="101"/>
  <c r="I222" i="101"/>
  <c r="H222" i="101"/>
  <c r="G222" i="101"/>
  <c r="C222" i="101"/>
  <c r="R221" i="101"/>
  <c r="Q221" i="101"/>
  <c r="P221" i="101"/>
  <c r="O221" i="101"/>
  <c r="N221" i="101"/>
  <c r="M221" i="101"/>
  <c r="L221" i="101"/>
  <c r="K221" i="101"/>
  <c r="J221" i="101"/>
  <c r="I221" i="101"/>
  <c r="H221" i="101"/>
  <c r="G221" i="101"/>
  <c r="C221" i="101"/>
  <c r="R220" i="101"/>
  <c r="Q220" i="101"/>
  <c r="P220" i="101"/>
  <c r="O220" i="101"/>
  <c r="N220" i="101"/>
  <c r="M220" i="101"/>
  <c r="L220" i="101"/>
  <c r="K220" i="101"/>
  <c r="J220" i="101"/>
  <c r="I220" i="101"/>
  <c r="H220" i="101"/>
  <c r="G220" i="101"/>
  <c r="C220" i="101"/>
  <c r="R219" i="101"/>
  <c r="Q219" i="101"/>
  <c r="P219" i="101"/>
  <c r="O219" i="101"/>
  <c r="N219" i="101"/>
  <c r="M219" i="101"/>
  <c r="L219" i="101"/>
  <c r="K219" i="101"/>
  <c r="J219" i="101"/>
  <c r="I219" i="101"/>
  <c r="H219" i="101"/>
  <c r="G219" i="101"/>
  <c r="C219" i="101"/>
  <c r="R218" i="101"/>
  <c r="Q218" i="101"/>
  <c r="P218" i="101"/>
  <c r="O218" i="101"/>
  <c r="N218" i="101"/>
  <c r="M218" i="101"/>
  <c r="L218" i="101"/>
  <c r="K218" i="101"/>
  <c r="J218" i="101"/>
  <c r="I218" i="101"/>
  <c r="H218" i="101"/>
  <c r="G218" i="101"/>
  <c r="C218" i="101"/>
  <c r="R217" i="101"/>
  <c r="Q217" i="101"/>
  <c r="P217" i="101"/>
  <c r="O217" i="101"/>
  <c r="N217" i="101"/>
  <c r="M217" i="101"/>
  <c r="L217" i="101"/>
  <c r="K217" i="101"/>
  <c r="J217" i="101"/>
  <c r="I217" i="101"/>
  <c r="H217" i="101"/>
  <c r="G217" i="101"/>
  <c r="C217" i="101"/>
  <c r="R216" i="101"/>
  <c r="Q216" i="101"/>
  <c r="P216" i="101"/>
  <c r="O216" i="101"/>
  <c r="N216" i="101"/>
  <c r="M216" i="101"/>
  <c r="L216" i="101"/>
  <c r="K216" i="101"/>
  <c r="J216" i="101"/>
  <c r="I216" i="101"/>
  <c r="H216" i="101"/>
  <c r="G216" i="101"/>
  <c r="C216" i="101"/>
  <c r="R215" i="101"/>
  <c r="Q215" i="101"/>
  <c r="P215" i="101"/>
  <c r="O215" i="101"/>
  <c r="N215" i="101"/>
  <c r="M215" i="101"/>
  <c r="L215" i="101"/>
  <c r="K215" i="101"/>
  <c r="J215" i="101"/>
  <c r="I215" i="101"/>
  <c r="H215" i="101"/>
  <c r="G215" i="101"/>
  <c r="C215" i="101"/>
  <c r="R214" i="101"/>
  <c r="Q214" i="101"/>
  <c r="P214" i="101"/>
  <c r="O214" i="101"/>
  <c r="N214" i="101"/>
  <c r="M214" i="101"/>
  <c r="L214" i="101"/>
  <c r="K214" i="101"/>
  <c r="J214" i="101"/>
  <c r="I214" i="101"/>
  <c r="H214" i="101"/>
  <c r="G214" i="101"/>
  <c r="C214" i="101"/>
  <c r="R213" i="101"/>
  <c r="Q213" i="101"/>
  <c r="P213" i="101"/>
  <c r="O213" i="101"/>
  <c r="N213" i="101"/>
  <c r="M213" i="101"/>
  <c r="L213" i="101"/>
  <c r="K213" i="101"/>
  <c r="J213" i="101"/>
  <c r="I213" i="101"/>
  <c r="H213" i="101"/>
  <c r="G213" i="101"/>
  <c r="C213" i="101"/>
  <c r="R212" i="101"/>
  <c r="Q212" i="101"/>
  <c r="P212" i="101"/>
  <c r="O212" i="101"/>
  <c r="N212" i="101"/>
  <c r="M212" i="101"/>
  <c r="L212" i="101"/>
  <c r="K212" i="101"/>
  <c r="J212" i="101"/>
  <c r="I212" i="101"/>
  <c r="H212" i="101"/>
  <c r="G212" i="101"/>
  <c r="C212" i="101"/>
  <c r="R211" i="101"/>
  <c r="Q211" i="101"/>
  <c r="P211" i="101"/>
  <c r="O211" i="101"/>
  <c r="N211" i="101"/>
  <c r="M211" i="101"/>
  <c r="L211" i="101"/>
  <c r="K211" i="101"/>
  <c r="J211" i="101"/>
  <c r="I211" i="101"/>
  <c r="H211" i="101"/>
  <c r="G211" i="101"/>
  <c r="C211" i="101"/>
  <c r="R210" i="101"/>
  <c r="Q210" i="101"/>
  <c r="P210" i="101"/>
  <c r="O210" i="101"/>
  <c r="N210" i="101"/>
  <c r="M210" i="101"/>
  <c r="L210" i="101"/>
  <c r="K210" i="101"/>
  <c r="J210" i="101"/>
  <c r="I210" i="101"/>
  <c r="H210" i="101"/>
  <c r="G210" i="101"/>
  <c r="C210" i="101"/>
  <c r="R209" i="101"/>
  <c r="Q209" i="101"/>
  <c r="P209" i="101"/>
  <c r="O209" i="101"/>
  <c r="N209" i="101"/>
  <c r="M209" i="101"/>
  <c r="L209" i="101"/>
  <c r="K209" i="101"/>
  <c r="J209" i="101"/>
  <c r="I209" i="101"/>
  <c r="H209" i="101"/>
  <c r="G209" i="101"/>
  <c r="C209" i="101"/>
  <c r="R208" i="101"/>
  <c r="Q208" i="101"/>
  <c r="P208" i="101"/>
  <c r="O208" i="101"/>
  <c r="N208" i="101"/>
  <c r="M208" i="101"/>
  <c r="L208" i="101"/>
  <c r="K208" i="101"/>
  <c r="J208" i="101"/>
  <c r="I208" i="101"/>
  <c r="H208" i="101"/>
  <c r="G208" i="101"/>
  <c r="C208" i="101"/>
  <c r="R207" i="101"/>
  <c r="Q207" i="101"/>
  <c r="P207" i="101"/>
  <c r="O207" i="101"/>
  <c r="N207" i="101"/>
  <c r="M207" i="101"/>
  <c r="L207" i="101"/>
  <c r="K207" i="101"/>
  <c r="J207" i="101"/>
  <c r="I207" i="101"/>
  <c r="H207" i="101"/>
  <c r="G207" i="101"/>
  <c r="C207" i="101"/>
  <c r="R206" i="101"/>
  <c r="Q206" i="101"/>
  <c r="P206" i="101"/>
  <c r="O206" i="101"/>
  <c r="N206" i="101"/>
  <c r="M206" i="101"/>
  <c r="L206" i="101"/>
  <c r="K206" i="101"/>
  <c r="J206" i="101"/>
  <c r="I206" i="101"/>
  <c r="H206" i="101"/>
  <c r="G206" i="101"/>
  <c r="C206" i="101"/>
  <c r="R205" i="101"/>
  <c r="Q205" i="101"/>
  <c r="P205" i="101"/>
  <c r="O205" i="101"/>
  <c r="N205" i="101"/>
  <c r="M205" i="101"/>
  <c r="L205" i="101"/>
  <c r="K205" i="101"/>
  <c r="J205" i="101"/>
  <c r="I205" i="101"/>
  <c r="H205" i="101"/>
  <c r="G205" i="101"/>
  <c r="C205" i="101"/>
  <c r="R204" i="101"/>
  <c r="Q204" i="101"/>
  <c r="P204" i="101"/>
  <c r="O204" i="101"/>
  <c r="N204" i="101"/>
  <c r="M204" i="101"/>
  <c r="L204" i="101"/>
  <c r="K204" i="101"/>
  <c r="J204" i="101"/>
  <c r="I204" i="101"/>
  <c r="H204" i="101"/>
  <c r="G204" i="101"/>
  <c r="C204" i="101"/>
  <c r="R203" i="101"/>
  <c r="Q203" i="101"/>
  <c r="P203" i="101"/>
  <c r="O203" i="101"/>
  <c r="N203" i="101"/>
  <c r="M203" i="101"/>
  <c r="L203" i="101"/>
  <c r="K203" i="101"/>
  <c r="J203" i="101"/>
  <c r="I203" i="101"/>
  <c r="H203" i="101"/>
  <c r="G203" i="101"/>
  <c r="C203" i="101"/>
  <c r="R202" i="101"/>
  <c r="Q202" i="101"/>
  <c r="P202" i="101"/>
  <c r="O202" i="101"/>
  <c r="N202" i="101"/>
  <c r="M202" i="101"/>
  <c r="L202" i="101"/>
  <c r="K202" i="101"/>
  <c r="J202" i="101"/>
  <c r="I202" i="101"/>
  <c r="H202" i="101"/>
  <c r="G202" i="101"/>
  <c r="C202" i="101"/>
  <c r="R201" i="101"/>
  <c r="Q201" i="101"/>
  <c r="P201" i="101"/>
  <c r="O201" i="101"/>
  <c r="N201" i="101"/>
  <c r="M201" i="101"/>
  <c r="L201" i="101"/>
  <c r="K201" i="101"/>
  <c r="J201" i="101"/>
  <c r="I201" i="101"/>
  <c r="H201" i="101"/>
  <c r="G201" i="101"/>
  <c r="C201" i="101"/>
  <c r="R200" i="101"/>
  <c r="Q200" i="101"/>
  <c r="P200" i="101"/>
  <c r="O200" i="101"/>
  <c r="N200" i="101"/>
  <c r="M200" i="101"/>
  <c r="L200" i="101"/>
  <c r="K200" i="101"/>
  <c r="J200" i="101"/>
  <c r="I200" i="101"/>
  <c r="H200" i="101"/>
  <c r="G200" i="101"/>
  <c r="C200" i="101"/>
  <c r="R199" i="101"/>
  <c r="Q199" i="101"/>
  <c r="P199" i="101"/>
  <c r="O199" i="101"/>
  <c r="N199" i="101"/>
  <c r="M199" i="101"/>
  <c r="L199" i="101"/>
  <c r="K199" i="101"/>
  <c r="J199" i="101"/>
  <c r="I199" i="101"/>
  <c r="H199" i="101"/>
  <c r="G199" i="101"/>
  <c r="C199" i="101"/>
  <c r="R198" i="101"/>
  <c r="Q198" i="101"/>
  <c r="P198" i="101"/>
  <c r="O198" i="101"/>
  <c r="N198" i="101"/>
  <c r="M198" i="101"/>
  <c r="L198" i="101"/>
  <c r="K198" i="101"/>
  <c r="J198" i="101"/>
  <c r="I198" i="101"/>
  <c r="H198" i="101"/>
  <c r="G198" i="101"/>
  <c r="C198" i="101"/>
  <c r="R197" i="101"/>
  <c r="Q197" i="101"/>
  <c r="P197" i="101"/>
  <c r="O197" i="101"/>
  <c r="N197" i="101"/>
  <c r="M197" i="101"/>
  <c r="L197" i="101"/>
  <c r="K197" i="101"/>
  <c r="J197" i="101"/>
  <c r="I197" i="101"/>
  <c r="H197" i="101"/>
  <c r="G197" i="101"/>
  <c r="C197" i="101"/>
  <c r="R196" i="101"/>
  <c r="Q196" i="101"/>
  <c r="P196" i="101"/>
  <c r="O196" i="101"/>
  <c r="N196" i="101"/>
  <c r="M196" i="101"/>
  <c r="L196" i="101"/>
  <c r="K196" i="101"/>
  <c r="J196" i="101"/>
  <c r="I196" i="101"/>
  <c r="H196" i="101"/>
  <c r="G196" i="101"/>
  <c r="C196" i="101"/>
  <c r="R195" i="101"/>
  <c r="Q195" i="101"/>
  <c r="P195" i="101"/>
  <c r="O195" i="101"/>
  <c r="N195" i="101"/>
  <c r="M195" i="101"/>
  <c r="L195" i="101"/>
  <c r="K195" i="101"/>
  <c r="J195" i="101"/>
  <c r="I195" i="101"/>
  <c r="H195" i="101"/>
  <c r="G195" i="101"/>
  <c r="C195" i="101"/>
  <c r="R194" i="101"/>
  <c r="Q194" i="101"/>
  <c r="P194" i="101"/>
  <c r="O194" i="101"/>
  <c r="N194" i="101"/>
  <c r="M194" i="101"/>
  <c r="L194" i="101"/>
  <c r="K194" i="101"/>
  <c r="J194" i="101"/>
  <c r="I194" i="101"/>
  <c r="H194" i="101"/>
  <c r="G194" i="101"/>
  <c r="C194" i="101"/>
  <c r="R193" i="101"/>
  <c r="Q193" i="101"/>
  <c r="P193" i="101"/>
  <c r="O193" i="101"/>
  <c r="N193" i="101"/>
  <c r="M193" i="101"/>
  <c r="L193" i="101"/>
  <c r="K193" i="101"/>
  <c r="J193" i="101"/>
  <c r="I193" i="101"/>
  <c r="H193" i="101"/>
  <c r="G193" i="101"/>
  <c r="C193" i="101"/>
  <c r="R192" i="101"/>
  <c r="Q192" i="101"/>
  <c r="P192" i="101"/>
  <c r="O192" i="101"/>
  <c r="N192" i="101"/>
  <c r="M192" i="101"/>
  <c r="L192" i="101"/>
  <c r="K192" i="101"/>
  <c r="J192" i="101"/>
  <c r="I192" i="101"/>
  <c r="H192" i="101"/>
  <c r="G192" i="101"/>
  <c r="C192" i="101"/>
  <c r="R191" i="101"/>
  <c r="Q191" i="101"/>
  <c r="P191" i="101"/>
  <c r="O191" i="101"/>
  <c r="N191" i="101"/>
  <c r="M191" i="101"/>
  <c r="L191" i="101"/>
  <c r="K191" i="101"/>
  <c r="J191" i="101"/>
  <c r="I191" i="101"/>
  <c r="H191" i="101"/>
  <c r="G191" i="101"/>
  <c r="C191" i="101"/>
  <c r="R190" i="101"/>
  <c r="Q190" i="101"/>
  <c r="P190" i="101"/>
  <c r="O190" i="101"/>
  <c r="N190" i="101"/>
  <c r="M190" i="101"/>
  <c r="L190" i="101"/>
  <c r="K190" i="101"/>
  <c r="J190" i="101"/>
  <c r="I190" i="101"/>
  <c r="H190" i="101"/>
  <c r="G190" i="101"/>
  <c r="C190" i="101"/>
  <c r="R189" i="101"/>
  <c r="Q189" i="101"/>
  <c r="P189" i="101"/>
  <c r="O189" i="101"/>
  <c r="N189" i="101"/>
  <c r="M189" i="101"/>
  <c r="L189" i="101"/>
  <c r="K189" i="101"/>
  <c r="J189" i="101"/>
  <c r="I189" i="101"/>
  <c r="H189" i="101"/>
  <c r="G189" i="101"/>
  <c r="C189" i="101"/>
  <c r="R188" i="101"/>
  <c r="Q188" i="101"/>
  <c r="P188" i="101"/>
  <c r="O188" i="101"/>
  <c r="N188" i="101"/>
  <c r="M188" i="101"/>
  <c r="L188" i="101"/>
  <c r="K188" i="101"/>
  <c r="J188" i="101"/>
  <c r="I188" i="101"/>
  <c r="H188" i="101"/>
  <c r="G188" i="101"/>
  <c r="C188" i="101"/>
  <c r="R187" i="101"/>
  <c r="Q187" i="101"/>
  <c r="P187" i="101"/>
  <c r="O187" i="101"/>
  <c r="N187" i="101"/>
  <c r="M187" i="101"/>
  <c r="L187" i="101"/>
  <c r="K187" i="101"/>
  <c r="J187" i="101"/>
  <c r="I187" i="101"/>
  <c r="H187" i="101"/>
  <c r="G187" i="101"/>
  <c r="C187" i="101"/>
  <c r="R186" i="101"/>
  <c r="Q186" i="101"/>
  <c r="P186" i="101"/>
  <c r="O186" i="101"/>
  <c r="N186" i="101"/>
  <c r="M186" i="101"/>
  <c r="L186" i="101"/>
  <c r="K186" i="101"/>
  <c r="J186" i="101"/>
  <c r="I186" i="101"/>
  <c r="H186" i="101"/>
  <c r="G186" i="101"/>
  <c r="C186" i="101"/>
  <c r="R185" i="101"/>
  <c r="Q185" i="101"/>
  <c r="P185" i="101"/>
  <c r="O185" i="101"/>
  <c r="N185" i="101"/>
  <c r="M185" i="101"/>
  <c r="L185" i="101"/>
  <c r="K185" i="101"/>
  <c r="J185" i="101"/>
  <c r="I185" i="101"/>
  <c r="H185" i="101"/>
  <c r="G185" i="101"/>
  <c r="C185" i="101"/>
  <c r="R184" i="101"/>
  <c r="Q184" i="101"/>
  <c r="P184" i="101"/>
  <c r="O184" i="101"/>
  <c r="N184" i="101"/>
  <c r="M184" i="101"/>
  <c r="L184" i="101"/>
  <c r="K184" i="101"/>
  <c r="J184" i="101"/>
  <c r="I184" i="101"/>
  <c r="H184" i="101"/>
  <c r="G184" i="101"/>
  <c r="C184" i="101"/>
  <c r="R183" i="101"/>
  <c r="Q183" i="101"/>
  <c r="P183" i="101"/>
  <c r="O183" i="101"/>
  <c r="N183" i="101"/>
  <c r="M183" i="101"/>
  <c r="L183" i="101"/>
  <c r="K183" i="101"/>
  <c r="J183" i="101"/>
  <c r="I183" i="101"/>
  <c r="H183" i="101"/>
  <c r="G183" i="101"/>
  <c r="C183" i="101"/>
  <c r="R182" i="101"/>
  <c r="Q182" i="101"/>
  <c r="P182" i="101"/>
  <c r="O182" i="101"/>
  <c r="N182" i="101"/>
  <c r="M182" i="101"/>
  <c r="L182" i="101"/>
  <c r="K182" i="101"/>
  <c r="J182" i="101"/>
  <c r="I182" i="101"/>
  <c r="H182" i="101"/>
  <c r="G182" i="101"/>
  <c r="C182" i="101"/>
  <c r="R181" i="101"/>
  <c r="Q181" i="101"/>
  <c r="P181" i="101"/>
  <c r="O181" i="101"/>
  <c r="N181" i="101"/>
  <c r="M181" i="101"/>
  <c r="L181" i="101"/>
  <c r="K181" i="101"/>
  <c r="J181" i="101"/>
  <c r="I181" i="101"/>
  <c r="H181" i="101"/>
  <c r="G181" i="101"/>
  <c r="C181" i="101"/>
  <c r="R180" i="101"/>
  <c r="Q180" i="101"/>
  <c r="P180" i="101"/>
  <c r="O180" i="101"/>
  <c r="N180" i="101"/>
  <c r="M180" i="101"/>
  <c r="L180" i="101"/>
  <c r="K180" i="101"/>
  <c r="J180" i="101"/>
  <c r="I180" i="101"/>
  <c r="H180" i="101"/>
  <c r="G180" i="101"/>
  <c r="C180" i="101"/>
  <c r="R179" i="101"/>
  <c r="Q179" i="101"/>
  <c r="P179" i="101"/>
  <c r="O179" i="101"/>
  <c r="N179" i="101"/>
  <c r="M179" i="101"/>
  <c r="L179" i="101"/>
  <c r="K179" i="101"/>
  <c r="J179" i="101"/>
  <c r="I179" i="101"/>
  <c r="H179" i="101"/>
  <c r="G179" i="101"/>
  <c r="C179" i="101"/>
  <c r="R178" i="101"/>
  <c r="Q178" i="101"/>
  <c r="P178" i="101"/>
  <c r="O178" i="101"/>
  <c r="N178" i="101"/>
  <c r="M178" i="101"/>
  <c r="L178" i="101"/>
  <c r="K178" i="101"/>
  <c r="J178" i="101"/>
  <c r="I178" i="101"/>
  <c r="H178" i="101"/>
  <c r="G178" i="101"/>
  <c r="C178" i="101"/>
  <c r="R177" i="101"/>
  <c r="Q177" i="101"/>
  <c r="P177" i="101"/>
  <c r="O177" i="101"/>
  <c r="N177" i="101"/>
  <c r="M177" i="101"/>
  <c r="L177" i="101"/>
  <c r="K177" i="101"/>
  <c r="J177" i="101"/>
  <c r="I177" i="101"/>
  <c r="H177" i="101"/>
  <c r="G177" i="101"/>
  <c r="C177" i="101"/>
  <c r="R176" i="101"/>
  <c r="Q176" i="101"/>
  <c r="P176" i="101"/>
  <c r="O176" i="101"/>
  <c r="N176" i="101"/>
  <c r="M176" i="101"/>
  <c r="L176" i="101"/>
  <c r="K176" i="101"/>
  <c r="J176" i="101"/>
  <c r="I176" i="101"/>
  <c r="H176" i="101"/>
  <c r="G176" i="101"/>
  <c r="C176" i="101"/>
  <c r="R175" i="101"/>
  <c r="Q175" i="101"/>
  <c r="P175" i="101"/>
  <c r="O175" i="101"/>
  <c r="N175" i="101"/>
  <c r="M175" i="101"/>
  <c r="L175" i="101"/>
  <c r="K175" i="101"/>
  <c r="J175" i="101"/>
  <c r="I175" i="101"/>
  <c r="H175" i="101"/>
  <c r="G175" i="101"/>
  <c r="C175" i="101"/>
  <c r="R174" i="101"/>
  <c r="Q174" i="101"/>
  <c r="P174" i="101"/>
  <c r="O174" i="101"/>
  <c r="N174" i="101"/>
  <c r="M174" i="101"/>
  <c r="L174" i="101"/>
  <c r="K174" i="101"/>
  <c r="J174" i="101"/>
  <c r="I174" i="101"/>
  <c r="H174" i="101"/>
  <c r="G174" i="101"/>
  <c r="C174" i="101"/>
  <c r="R173" i="101"/>
  <c r="Q173" i="101"/>
  <c r="P173" i="101"/>
  <c r="O173" i="101"/>
  <c r="N173" i="101"/>
  <c r="M173" i="101"/>
  <c r="L173" i="101"/>
  <c r="K173" i="101"/>
  <c r="J173" i="101"/>
  <c r="I173" i="101"/>
  <c r="H173" i="101"/>
  <c r="G173" i="101"/>
  <c r="C173" i="101"/>
  <c r="R172" i="101"/>
  <c r="Q172" i="101"/>
  <c r="P172" i="101"/>
  <c r="O172" i="101"/>
  <c r="N172" i="101"/>
  <c r="M172" i="101"/>
  <c r="L172" i="101"/>
  <c r="K172" i="101"/>
  <c r="J172" i="101"/>
  <c r="I172" i="101"/>
  <c r="H172" i="101"/>
  <c r="G172" i="101"/>
  <c r="C172" i="101"/>
  <c r="R171" i="101"/>
  <c r="Q171" i="101"/>
  <c r="P171" i="101"/>
  <c r="O171" i="101"/>
  <c r="N171" i="101"/>
  <c r="M171" i="101"/>
  <c r="L171" i="101"/>
  <c r="K171" i="101"/>
  <c r="J171" i="101"/>
  <c r="I171" i="101"/>
  <c r="H171" i="101"/>
  <c r="G171" i="101"/>
  <c r="C171" i="101"/>
  <c r="R170" i="101"/>
  <c r="Q170" i="101"/>
  <c r="P170" i="101"/>
  <c r="O170" i="101"/>
  <c r="N170" i="101"/>
  <c r="M170" i="101"/>
  <c r="L170" i="101"/>
  <c r="K170" i="101"/>
  <c r="J170" i="101"/>
  <c r="I170" i="101"/>
  <c r="H170" i="101"/>
  <c r="G170" i="101"/>
  <c r="C170" i="101"/>
  <c r="R169" i="101"/>
  <c r="Q169" i="101"/>
  <c r="P169" i="101"/>
  <c r="O169" i="101"/>
  <c r="N169" i="101"/>
  <c r="M169" i="101"/>
  <c r="L169" i="101"/>
  <c r="K169" i="101"/>
  <c r="J169" i="101"/>
  <c r="I169" i="101"/>
  <c r="H169" i="101"/>
  <c r="G169" i="101"/>
  <c r="C169" i="101"/>
  <c r="R168" i="101"/>
  <c r="Q168" i="101"/>
  <c r="P168" i="101"/>
  <c r="O168" i="101"/>
  <c r="N168" i="101"/>
  <c r="M168" i="101"/>
  <c r="L168" i="101"/>
  <c r="K168" i="101"/>
  <c r="J168" i="101"/>
  <c r="I168" i="101"/>
  <c r="H168" i="101"/>
  <c r="G168" i="101"/>
  <c r="C168" i="101"/>
  <c r="R167" i="101"/>
  <c r="Q167" i="101"/>
  <c r="P167" i="101"/>
  <c r="O167" i="101"/>
  <c r="N167" i="101"/>
  <c r="M167" i="101"/>
  <c r="L167" i="101"/>
  <c r="K167" i="101"/>
  <c r="J167" i="101"/>
  <c r="I167" i="101"/>
  <c r="H167" i="101"/>
  <c r="G167" i="101"/>
  <c r="C167" i="101"/>
  <c r="R166" i="101"/>
  <c r="Q166" i="101"/>
  <c r="P166" i="101"/>
  <c r="O166" i="101"/>
  <c r="N166" i="101"/>
  <c r="M166" i="101"/>
  <c r="L166" i="101"/>
  <c r="K166" i="101"/>
  <c r="J166" i="101"/>
  <c r="I166" i="101"/>
  <c r="H166" i="101"/>
  <c r="G166" i="101"/>
  <c r="C166" i="101"/>
  <c r="R165" i="101"/>
  <c r="Q165" i="101"/>
  <c r="P165" i="101"/>
  <c r="O165" i="101"/>
  <c r="N165" i="101"/>
  <c r="M165" i="101"/>
  <c r="L165" i="101"/>
  <c r="K165" i="101"/>
  <c r="J165" i="101"/>
  <c r="I165" i="101"/>
  <c r="H165" i="101"/>
  <c r="G165" i="101"/>
  <c r="C165" i="101"/>
  <c r="R164" i="101"/>
  <c r="Q164" i="101"/>
  <c r="P164" i="101"/>
  <c r="O164" i="101"/>
  <c r="N164" i="101"/>
  <c r="M164" i="101"/>
  <c r="L164" i="101"/>
  <c r="K164" i="101"/>
  <c r="J164" i="101"/>
  <c r="I164" i="101"/>
  <c r="H164" i="101"/>
  <c r="G164" i="101"/>
  <c r="C164" i="101"/>
  <c r="R163" i="101"/>
  <c r="Q163" i="101"/>
  <c r="P163" i="101"/>
  <c r="O163" i="101"/>
  <c r="N163" i="101"/>
  <c r="M163" i="101"/>
  <c r="L163" i="101"/>
  <c r="K163" i="101"/>
  <c r="J163" i="101"/>
  <c r="I163" i="101"/>
  <c r="H163" i="101"/>
  <c r="G163" i="101"/>
  <c r="C163" i="101"/>
  <c r="R162" i="101"/>
  <c r="Q162" i="101"/>
  <c r="P162" i="101"/>
  <c r="O162" i="101"/>
  <c r="N162" i="101"/>
  <c r="M162" i="101"/>
  <c r="L162" i="101"/>
  <c r="K162" i="101"/>
  <c r="J162" i="101"/>
  <c r="I162" i="101"/>
  <c r="H162" i="101"/>
  <c r="G162" i="101"/>
  <c r="C162" i="101"/>
  <c r="R161" i="101"/>
  <c r="Q161" i="101"/>
  <c r="P161" i="101"/>
  <c r="O161" i="101"/>
  <c r="N161" i="101"/>
  <c r="M161" i="101"/>
  <c r="L161" i="101"/>
  <c r="K161" i="101"/>
  <c r="J161" i="101"/>
  <c r="I161" i="101"/>
  <c r="H161" i="101"/>
  <c r="G161" i="101"/>
  <c r="C161" i="101"/>
  <c r="R160" i="101"/>
  <c r="Q160" i="101"/>
  <c r="P160" i="101"/>
  <c r="O160" i="101"/>
  <c r="N160" i="101"/>
  <c r="M160" i="101"/>
  <c r="L160" i="101"/>
  <c r="K160" i="101"/>
  <c r="J160" i="101"/>
  <c r="I160" i="101"/>
  <c r="H160" i="101"/>
  <c r="G160" i="101"/>
  <c r="C160" i="101"/>
  <c r="R159" i="101"/>
  <c r="Q159" i="101"/>
  <c r="P159" i="101"/>
  <c r="O159" i="101"/>
  <c r="N159" i="101"/>
  <c r="M159" i="101"/>
  <c r="L159" i="101"/>
  <c r="K159" i="101"/>
  <c r="J159" i="101"/>
  <c r="I159" i="101"/>
  <c r="H159" i="101"/>
  <c r="G159" i="101"/>
  <c r="C159" i="101"/>
  <c r="R158" i="101"/>
  <c r="Q158" i="101"/>
  <c r="P158" i="101"/>
  <c r="O158" i="101"/>
  <c r="N158" i="101"/>
  <c r="M158" i="101"/>
  <c r="L158" i="101"/>
  <c r="K158" i="101"/>
  <c r="J158" i="101"/>
  <c r="I158" i="101"/>
  <c r="H158" i="101"/>
  <c r="G158" i="101"/>
  <c r="C158" i="101"/>
  <c r="R157" i="101"/>
  <c r="Q157" i="101"/>
  <c r="P157" i="101"/>
  <c r="O157" i="101"/>
  <c r="N157" i="101"/>
  <c r="M157" i="101"/>
  <c r="L157" i="101"/>
  <c r="K157" i="101"/>
  <c r="J157" i="101"/>
  <c r="I157" i="101"/>
  <c r="H157" i="101"/>
  <c r="G157" i="101"/>
  <c r="C157" i="101"/>
  <c r="R156" i="101"/>
  <c r="Q156" i="101"/>
  <c r="P156" i="101"/>
  <c r="O156" i="101"/>
  <c r="N156" i="101"/>
  <c r="M156" i="101"/>
  <c r="L156" i="101"/>
  <c r="K156" i="101"/>
  <c r="J156" i="101"/>
  <c r="I156" i="101"/>
  <c r="H156" i="101"/>
  <c r="G156" i="101"/>
  <c r="C156" i="101"/>
  <c r="R155" i="101"/>
  <c r="Q155" i="101"/>
  <c r="P155" i="101"/>
  <c r="O155" i="101"/>
  <c r="N155" i="101"/>
  <c r="M155" i="101"/>
  <c r="L155" i="101"/>
  <c r="K155" i="101"/>
  <c r="J155" i="101"/>
  <c r="I155" i="101"/>
  <c r="H155" i="101"/>
  <c r="G155" i="101"/>
  <c r="C155" i="101"/>
  <c r="R154" i="101"/>
  <c r="Q154" i="101"/>
  <c r="P154" i="101"/>
  <c r="O154" i="101"/>
  <c r="N154" i="101"/>
  <c r="M154" i="101"/>
  <c r="L154" i="101"/>
  <c r="K154" i="101"/>
  <c r="J154" i="101"/>
  <c r="I154" i="101"/>
  <c r="H154" i="101"/>
  <c r="G154" i="101"/>
  <c r="C154" i="101"/>
  <c r="R153" i="101"/>
  <c r="Q153" i="101"/>
  <c r="P153" i="101"/>
  <c r="O153" i="101"/>
  <c r="N153" i="101"/>
  <c r="M153" i="101"/>
  <c r="L153" i="101"/>
  <c r="K153" i="101"/>
  <c r="J153" i="101"/>
  <c r="I153" i="101"/>
  <c r="H153" i="101"/>
  <c r="G153" i="101"/>
  <c r="C153" i="101"/>
  <c r="R152" i="101"/>
  <c r="Q152" i="101"/>
  <c r="P152" i="101"/>
  <c r="O152" i="101"/>
  <c r="N152" i="101"/>
  <c r="M152" i="101"/>
  <c r="L152" i="101"/>
  <c r="K152" i="101"/>
  <c r="J152" i="101"/>
  <c r="I152" i="101"/>
  <c r="H152" i="101"/>
  <c r="G152" i="101"/>
  <c r="C152" i="101"/>
  <c r="R151" i="101"/>
  <c r="Q151" i="101"/>
  <c r="P151" i="101"/>
  <c r="O151" i="101"/>
  <c r="N151" i="101"/>
  <c r="M151" i="101"/>
  <c r="L151" i="101"/>
  <c r="K151" i="101"/>
  <c r="J151" i="101"/>
  <c r="I151" i="101"/>
  <c r="H151" i="101"/>
  <c r="G151" i="101"/>
  <c r="C151" i="101"/>
  <c r="R150" i="101"/>
  <c r="Q150" i="101"/>
  <c r="P150" i="101"/>
  <c r="O150" i="101"/>
  <c r="N150" i="101"/>
  <c r="M150" i="101"/>
  <c r="L150" i="101"/>
  <c r="K150" i="101"/>
  <c r="J150" i="101"/>
  <c r="I150" i="101"/>
  <c r="H150" i="101"/>
  <c r="G150" i="101"/>
  <c r="C150" i="101"/>
  <c r="R149" i="101"/>
  <c r="Q149" i="101"/>
  <c r="P149" i="101"/>
  <c r="O149" i="101"/>
  <c r="N149" i="101"/>
  <c r="M149" i="101"/>
  <c r="L149" i="101"/>
  <c r="K149" i="101"/>
  <c r="J149" i="101"/>
  <c r="I149" i="101"/>
  <c r="H149" i="101"/>
  <c r="G149" i="101"/>
  <c r="C149" i="101"/>
  <c r="R148" i="101"/>
  <c r="Q148" i="101"/>
  <c r="P148" i="101"/>
  <c r="O148" i="101"/>
  <c r="N148" i="101"/>
  <c r="M148" i="101"/>
  <c r="L148" i="101"/>
  <c r="K148" i="101"/>
  <c r="J148" i="101"/>
  <c r="I148" i="101"/>
  <c r="H148" i="101"/>
  <c r="G148" i="101"/>
  <c r="C148" i="101"/>
  <c r="R147" i="101"/>
  <c r="Q147" i="101"/>
  <c r="P147" i="101"/>
  <c r="O147" i="101"/>
  <c r="N147" i="101"/>
  <c r="M147" i="101"/>
  <c r="L147" i="101"/>
  <c r="K147" i="101"/>
  <c r="J147" i="101"/>
  <c r="I147" i="101"/>
  <c r="H147" i="101"/>
  <c r="G147" i="101"/>
  <c r="C147" i="101"/>
  <c r="R146" i="101"/>
  <c r="Q146" i="101"/>
  <c r="P146" i="101"/>
  <c r="O146" i="101"/>
  <c r="N146" i="101"/>
  <c r="M146" i="101"/>
  <c r="L146" i="101"/>
  <c r="K146" i="101"/>
  <c r="J146" i="101"/>
  <c r="I146" i="101"/>
  <c r="H146" i="101"/>
  <c r="G146" i="101"/>
  <c r="C146" i="101"/>
  <c r="R145" i="101"/>
  <c r="Q145" i="101"/>
  <c r="P145" i="101"/>
  <c r="O145" i="101"/>
  <c r="N145" i="101"/>
  <c r="M145" i="101"/>
  <c r="L145" i="101"/>
  <c r="K145" i="101"/>
  <c r="J145" i="101"/>
  <c r="I145" i="101"/>
  <c r="H145" i="101"/>
  <c r="G145" i="101"/>
  <c r="C145" i="101"/>
  <c r="R144" i="101"/>
  <c r="Q144" i="101"/>
  <c r="P144" i="101"/>
  <c r="O144" i="101"/>
  <c r="N144" i="101"/>
  <c r="M144" i="101"/>
  <c r="L144" i="101"/>
  <c r="K144" i="101"/>
  <c r="J144" i="101"/>
  <c r="I144" i="101"/>
  <c r="H144" i="101"/>
  <c r="G144" i="101"/>
  <c r="C144" i="101"/>
  <c r="R143" i="101"/>
  <c r="Q143" i="101"/>
  <c r="P143" i="101"/>
  <c r="O143" i="101"/>
  <c r="N143" i="101"/>
  <c r="M143" i="101"/>
  <c r="L143" i="101"/>
  <c r="K143" i="101"/>
  <c r="J143" i="101"/>
  <c r="I143" i="101"/>
  <c r="H143" i="101"/>
  <c r="G143" i="101"/>
  <c r="C143" i="101"/>
  <c r="R142" i="101"/>
  <c r="Q142" i="101"/>
  <c r="P142" i="101"/>
  <c r="O142" i="101"/>
  <c r="N142" i="101"/>
  <c r="M142" i="101"/>
  <c r="L142" i="101"/>
  <c r="K142" i="101"/>
  <c r="J142" i="101"/>
  <c r="I142" i="101"/>
  <c r="H142" i="101"/>
  <c r="G142" i="101"/>
  <c r="C142" i="101"/>
  <c r="R141" i="101"/>
  <c r="Q141" i="101"/>
  <c r="P141" i="101"/>
  <c r="O141" i="101"/>
  <c r="N141" i="101"/>
  <c r="M141" i="101"/>
  <c r="L141" i="101"/>
  <c r="K141" i="101"/>
  <c r="J141" i="101"/>
  <c r="I141" i="101"/>
  <c r="H141" i="101"/>
  <c r="G141" i="101"/>
  <c r="C141" i="101"/>
  <c r="R140" i="101"/>
  <c r="Q140" i="101"/>
  <c r="P140" i="101"/>
  <c r="O140" i="101"/>
  <c r="N140" i="101"/>
  <c r="M140" i="101"/>
  <c r="L140" i="101"/>
  <c r="K140" i="101"/>
  <c r="J140" i="101"/>
  <c r="I140" i="101"/>
  <c r="H140" i="101"/>
  <c r="G140" i="101"/>
  <c r="C140" i="101"/>
  <c r="R139" i="101"/>
  <c r="Q139" i="101"/>
  <c r="P139" i="101"/>
  <c r="O139" i="101"/>
  <c r="N139" i="101"/>
  <c r="M139" i="101"/>
  <c r="L139" i="101"/>
  <c r="K139" i="101"/>
  <c r="J139" i="101"/>
  <c r="I139" i="101"/>
  <c r="H139" i="101"/>
  <c r="G139" i="101"/>
  <c r="C139" i="101"/>
  <c r="R138" i="101"/>
  <c r="Q138" i="101"/>
  <c r="P138" i="101"/>
  <c r="O138" i="101"/>
  <c r="N138" i="101"/>
  <c r="M138" i="101"/>
  <c r="L138" i="101"/>
  <c r="K138" i="101"/>
  <c r="J138" i="101"/>
  <c r="I138" i="101"/>
  <c r="H138" i="101"/>
  <c r="G138" i="101"/>
  <c r="C138" i="101"/>
  <c r="R137" i="101"/>
  <c r="Q137" i="101"/>
  <c r="P137" i="101"/>
  <c r="O137" i="101"/>
  <c r="N137" i="101"/>
  <c r="M137" i="101"/>
  <c r="L137" i="101"/>
  <c r="K137" i="101"/>
  <c r="J137" i="101"/>
  <c r="I137" i="101"/>
  <c r="H137" i="101"/>
  <c r="G137" i="101"/>
  <c r="C137" i="101"/>
  <c r="R136" i="101"/>
  <c r="Q136" i="101"/>
  <c r="P136" i="101"/>
  <c r="O136" i="101"/>
  <c r="N136" i="101"/>
  <c r="M136" i="101"/>
  <c r="L136" i="101"/>
  <c r="K136" i="101"/>
  <c r="J136" i="101"/>
  <c r="I136" i="101"/>
  <c r="H136" i="101"/>
  <c r="G136" i="101"/>
  <c r="C136" i="101"/>
  <c r="R135" i="101"/>
  <c r="Q135" i="101"/>
  <c r="P135" i="101"/>
  <c r="O135" i="101"/>
  <c r="N135" i="101"/>
  <c r="M135" i="101"/>
  <c r="L135" i="101"/>
  <c r="K135" i="101"/>
  <c r="J135" i="101"/>
  <c r="I135" i="101"/>
  <c r="H135" i="101"/>
  <c r="G135" i="101"/>
  <c r="C135" i="101"/>
  <c r="R134" i="101"/>
  <c r="Q134" i="101"/>
  <c r="P134" i="101"/>
  <c r="O134" i="101"/>
  <c r="N134" i="101"/>
  <c r="M134" i="101"/>
  <c r="L134" i="101"/>
  <c r="K134" i="101"/>
  <c r="J134" i="101"/>
  <c r="I134" i="101"/>
  <c r="H134" i="101"/>
  <c r="G134" i="101"/>
  <c r="C134" i="101"/>
  <c r="R133" i="101"/>
  <c r="Q133" i="101"/>
  <c r="P133" i="101"/>
  <c r="O133" i="101"/>
  <c r="N133" i="101"/>
  <c r="M133" i="101"/>
  <c r="L133" i="101"/>
  <c r="K133" i="101"/>
  <c r="J133" i="101"/>
  <c r="I133" i="101"/>
  <c r="H133" i="101"/>
  <c r="G133" i="101"/>
  <c r="C133" i="101"/>
  <c r="R132" i="101"/>
  <c r="Q132" i="101"/>
  <c r="P132" i="101"/>
  <c r="O132" i="101"/>
  <c r="N132" i="101"/>
  <c r="M132" i="101"/>
  <c r="L132" i="101"/>
  <c r="K132" i="101"/>
  <c r="J132" i="101"/>
  <c r="I132" i="101"/>
  <c r="H132" i="101"/>
  <c r="G132" i="101"/>
  <c r="C132" i="101"/>
  <c r="R131" i="101"/>
  <c r="Q131" i="101"/>
  <c r="P131" i="101"/>
  <c r="O131" i="101"/>
  <c r="N131" i="101"/>
  <c r="M131" i="101"/>
  <c r="L131" i="101"/>
  <c r="K131" i="101"/>
  <c r="J131" i="101"/>
  <c r="I131" i="101"/>
  <c r="H131" i="101"/>
  <c r="G131" i="101"/>
  <c r="C131" i="101"/>
  <c r="R130" i="101"/>
  <c r="Q130" i="101"/>
  <c r="P130" i="101"/>
  <c r="O130" i="101"/>
  <c r="N130" i="101"/>
  <c r="M130" i="101"/>
  <c r="L130" i="101"/>
  <c r="K130" i="101"/>
  <c r="J130" i="101"/>
  <c r="I130" i="101"/>
  <c r="H130" i="101"/>
  <c r="G130" i="101"/>
  <c r="C130" i="101"/>
  <c r="R129" i="101"/>
  <c r="Q129" i="101"/>
  <c r="P129" i="101"/>
  <c r="O129" i="101"/>
  <c r="N129" i="101"/>
  <c r="M129" i="101"/>
  <c r="L129" i="101"/>
  <c r="K129" i="101"/>
  <c r="J129" i="101"/>
  <c r="I129" i="101"/>
  <c r="H129" i="101"/>
  <c r="G129" i="101"/>
  <c r="C129" i="101"/>
  <c r="R128" i="101"/>
  <c r="Q128" i="101"/>
  <c r="P128" i="101"/>
  <c r="O128" i="101"/>
  <c r="N128" i="101"/>
  <c r="M128" i="101"/>
  <c r="L128" i="101"/>
  <c r="K128" i="101"/>
  <c r="J128" i="101"/>
  <c r="I128" i="101"/>
  <c r="H128" i="101"/>
  <c r="G128" i="101"/>
  <c r="C128" i="101"/>
  <c r="R127" i="101"/>
  <c r="Q127" i="101"/>
  <c r="P127" i="101"/>
  <c r="O127" i="101"/>
  <c r="N127" i="101"/>
  <c r="M127" i="101"/>
  <c r="L127" i="101"/>
  <c r="K127" i="101"/>
  <c r="J127" i="101"/>
  <c r="I127" i="101"/>
  <c r="H127" i="101"/>
  <c r="G127" i="101"/>
  <c r="C127" i="101"/>
  <c r="R126" i="101"/>
  <c r="Q126" i="101"/>
  <c r="P126" i="101"/>
  <c r="O126" i="101"/>
  <c r="N126" i="101"/>
  <c r="M126" i="101"/>
  <c r="L126" i="101"/>
  <c r="K126" i="101"/>
  <c r="J126" i="101"/>
  <c r="I126" i="101"/>
  <c r="H126" i="101"/>
  <c r="G126" i="101"/>
  <c r="C126" i="101"/>
  <c r="R125" i="101"/>
  <c r="Q125" i="101"/>
  <c r="P125" i="101"/>
  <c r="O125" i="101"/>
  <c r="N125" i="101"/>
  <c r="M125" i="101"/>
  <c r="L125" i="101"/>
  <c r="K125" i="101"/>
  <c r="J125" i="101"/>
  <c r="I125" i="101"/>
  <c r="H125" i="101"/>
  <c r="G125" i="101"/>
  <c r="C125" i="101"/>
  <c r="R124" i="101"/>
  <c r="Q124" i="101"/>
  <c r="P124" i="101"/>
  <c r="O124" i="101"/>
  <c r="N124" i="101"/>
  <c r="M124" i="101"/>
  <c r="L124" i="101"/>
  <c r="K124" i="101"/>
  <c r="J124" i="101"/>
  <c r="I124" i="101"/>
  <c r="H124" i="101"/>
  <c r="G124" i="101"/>
  <c r="C124" i="101"/>
  <c r="R123" i="101"/>
  <c r="Q123" i="101"/>
  <c r="P123" i="101"/>
  <c r="O123" i="101"/>
  <c r="N123" i="101"/>
  <c r="M123" i="101"/>
  <c r="L123" i="101"/>
  <c r="K123" i="101"/>
  <c r="J123" i="101"/>
  <c r="I123" i="101"/>
  <c r="H123" i="101"/>
  <c r="G123" i="101"/>
  <c r="C123" i="101"/>
  <c r="R122" i="101"/>
  <c r="Q122" i="101"/>
  <c r="P122" i="101"/>
  <c r="O122" i="101"/>
  <c r="N122" i="101"/>
  <c r="M122" i="101"/>
  <c r="L122" i="101"/>
  <c r="K122" i="101"/>
  <c r="J122" i="101"/>
  <c r="I122" i="101"/>
  <c r="H122" i="101"/>
  <c r="G122" i="101"/>
  <c r="C122" i="101"/>
  <c r="R121" i="101"/>
  <c r="Q121" i="101"/>
  <c r="P121" i="101"/>
  <c r="O121" i="101"/>
  <c r="N121" i="101"/>
  <c r="M121" i="101"/>
  <c r="L121" i="101"/>
  <c r="K121" i="101"/>
  <c r="J121" i="101"/>
  <c r="I121" i="101"/>
  <c r="H121" i="101"/>
  <c r="G121" i="101"/>
  <c r="C121" i="101"/>
  <c r="R120" i="101"/>
  <c r="Q120" i="101"/>
  <c r="P120" i="101"/>
  <c r="O120" i="101"/>
  <c r="N120" i="101"/>
  <c r="M120" i="101"/>
  <c r="L120" i="101"/>
  <c r="K120" i="101"/>
  <c r="J120" i="101"/>
  <c r="I120" i="101"/>
  <c r="H120" i="101"/>
  <c r="G120" i="101"/>
  <c r="C120" i="101"/>
  <c r="R119" i="101"/>
  <c r="Q119" i="101"/>
  <c r="P119" i="101"/>
  <c r="O119" i="101"/>
  <c r="N119" i="101"/>
  <c r="M119" i="101"/>
  <c r="L119" i="101"/>
  <c r="K119" i="101"/>
  <c r="J119" i="101"/>
  <c r="I119" i="101"/>
  <c r="H119" i="101"/>
  <c r="G119" i="101"/>
  <c r="C119" i="101"/>
  <c r="R118" i="101"/>
  <c r="Q118" i="101"/>
  <c r="P118" i="101"/>
  <c r="O118" i="101"/>
  <c r="N118" i="101"/>
  <c r="M118" i="101"/>
  <c r="L118" i="101"/>
  <c r="K118" i="101"/>
  <c r="J118" i="101"/>
  <c r="I118" i="101"/>
  <c r="H118" i="101"/>
  <c r="G118" i="101"/>
  <c r="C118" i="101"/>
  <c r="R117" i="101"/>
  <c r="Q117" i="101"/>
  <c r="P117" i="101"/>
  <c r="O117" i="101"/>
  <c r="N117" i="101"/>
  <c r="M117" i="101"/>
  <c r="L117" i="101"/>
  <c r="K117" i="101"/>
  <c r="J117" i="101"/>
  <c r="I117" i="101"/>
  <c r="H117" i="101"/>
  <c r="G117" i="101"/>
  <c r="C117" i="101"/>
  <c r="R116" i="101"/>
  <c r="Q116" i="101"/>
  <c r="P116" i="101"/>
  <c r="O116" i="101"/>
  <c r="N116" i="101"/>
  <c r="M116" i="101"/>
  <c r="L116" i="101"/>
  <c r="K116" i="101"/>
  <c r="J116" i="101"/>
  <c r="I116" i="101"/>
  <c r="H116" i="101"/>
  <c r="G116" i="101"/>
  <c r="C116" i="101"/>
  <c r="R115" i="101"/>
  <c r="Q115" i="101"/>
  <c r="P115" i="101"/>
  <c r="O115" i="101"/>
  <c r="N115" i="101"/>
  <c r="M115" i="101"/>
  <c r="L115" i="101"/>
  <c r="K115" i="101"/>
  <c r="J115" i="101"/>
  <c r="I115" i="101"/>
  <c r="H115" i="101"/>
  <c r="G115" i="101"/>
  <c r="C115" i="101"/>
  <c r="R114" i="101"/>
  <c r="Q114" i="101"/>
  <c r="P114" i="101"/>
  <c r="O114" i="101"/>
  <c r="N114" i="101"/>
  <c r="M114" i="101"/>
  <c r="L114" i="101"/>
  <c r="K114" i="101"/>
  <c r="J114" i="101"/>
  <c r="I114" i="101"/>
  <c r="H114" i="101"/>
  <c r="G114" i="101"/>
  <c r="C114" i="101"/>
  <c r="R113" i="101"/>
  <c r="Q113" i="101"/>
  <c r="P113" i="101"/>
  <c r="O113" i="101"/>
  <c r="N113" i="101"/>
  <c r="M113" i="101"/>
  <c r="L113" i="101"/>
  <c r="K113" i="101"/>
  <c r="J113" i="101"/>
  <c r="I113" i="101"/>
  <c r="H113" i="101"/>
  <c r="G113" i="101"/>
  <c r="C113" i="101"/>
  <c r="R112" i="101"/>
  <c r="Q112" i="101"/>
  <c r="P112" i="101"/>
  <c r="O112" i="101"/>
  <c r="N112" i="101"/>
  <c r="M112" i="101"/>
  <c r="L112" i="101"/>
  <c r="K112" i="101"/>
  <c r="J112" i="101"/>
  <c r="I112" i="101"/>
  <c r="H112" i="101"/>
  <c r="G112" i="101"/>
  <c r="C112" i="101"/>
  <c r="R111" i="101"/>
  <c r="Q111" i="101"/>
  <c r="P111" i="101"/>
  <c r="O111" i="101"/>
  <c r="N111" i="101"/>
  <c r="M111" i="101"/>
  <c r="L111" i="101"/>
  <c r="K111" i="101"/>
  <c r="J111" i="101"/>
  <c r="I111" i="101"/>
  <c r="H111" i="101"/>
  <c r="G111" i="101"/>
  <c r="C111" i="101"/>
  <c r="R110" i="101"/>
  <c r="Q110" i="101"/>
  <c r="P110" i="101"/>
  <c r="O110" i="101"/>
  <c r="N110" i="101"/>
  <c r="M110" i="101"/>
  <c r="L110" i="101"/>
  <c r="K110" i="101"/>
  <c r="J110" i="101"/>
  <c r="I110" i="101"/>
  <c r="H110" i="101"/>
  <c r="G110" i="101"/>
  <c r="C110" i="101"/>
  <c r="R109" i="101"/>
  <c r="Q109" i="101"/>
  <c r="P109" i="101"/>
  <c r="O109" i="101"/>
  <c r="N109" i="101"/>
  <c r="M109" i="101"/>
  <c r="L109" i="101"/>
  <c r="K109" i="101"/>
  <c r="J109" i="101"/>
  <c r="I109" i="101"/>
  <c r="H109" i="101"/>
  <c r="G109" i="101"/>
  <c r="C109" i="101"/>
  <c r="R108" i="101"/>
  <c r="Q108" i="101"/>
  <c r="P108" i="101"/>
  <c r="O108" i="101"/>
  <c r="N108" i="101"/>
  <c r="M108" i="101"/>
  <c r="L108" i="101"/>
  <c r="K108" i="101"/>
  <c r="J108" i="101"/>
  <c r="I108" i="101"/>
  <c r="H108" i="101"/>
  <c r="G108" i="101"/>
  <c r="C108" i="101"/>
  <c r="R107" i="101"/>
  <c r="Q107" i="101"/>
  <c r="P107" i="101"/>
  <c r="O107" i="101"/>
  <c r="N107" i="101"/>
  <c r="M107" i="101"/>
  <c r="L107" i="101"/>
  <c r="K107" i="101"/>
  <c r="J107" i="101"/>
  <c r="I107" i="101"/>
  <c r="H107" i="101"/>
  <c r="G107" i="101"/>
  <c r="C107" i="101"/>
  <c r="R106" i="101"/>
  <c r="Q106" i="101"/>
  <c r="P106" i="101"/>
  <c r="O106" i="101"/>
  <c r="N106" i="101"/>
  <c r="M106" i="101"/>
  <c r="L106" i="101"/>
  <c r="K106" i="101"/>
  <c r="J106" i="101"/>
  <c r="I106" i="101"/>
  <c r="H106" i="101"/>
  <c r="G106" i="101"/>
  <c r="C106" i="101"/>
  <c r="R105" i="101"/>
  <c r="Q105" i="101"/>
  <c r="P105" i="101"/>
  <c r="O105" i="101"/>
  <c r="N105" i="101"/>
  <c r="M105" i="101"/>
  <c r="L105" i="101"/>
  <c r="K105" i="101"/>
  <c r="J105" i="101"/>
  <c r="I105" i="101"/>
  <c r="H105" i="101"/>
  <c r="G105" i="101"/>
  <c r="C105" i="101"/>
  <c r="R104" i="101"/>
  <c r="Q104" i="101"/>
  <c r="P104" i="101"/>
  <c r="O104" i="101"/>
  <c r="N104" i="101"/>
  <c r="M104" i="101"/>
  <c r="L104" i="101"/>
  <c r="K104" i="101"/>
  <c r="J104" i="101"/>
  <c r="I104" i="101"/>
  <c r="H104" i="101"/>
  <c r="G104" i="101"/>
  <c r="C104" i="101"/>
  <c r="R103" i="101"/>
  <c r="Q103" i="101"/>
  <c r="P103" i="101"/>
  <c r="O103" i="101"/>
  <c r="N103" i="101"/>
  <c r="M103" i="101"/>
  <c r="L103" i="101"/>
  <c r="K103" i="101"/>
  <c r="J103" i="101"/>
  <c r="I103" i="101"/>
  <c r="H103" i="101"/>
  <c r="G103" i="101"/>
  <c r="C103" i="101"/>
  <c r="R102" i="101"/>
  <c r="Q102" i="101"/>
  <c r="P102" i="101"/>
  <c r="O102" i="101"/>
  <c r="N102" i="101"/>
  <c r="M102" i="101"/>
  <c r="L102" i="101"/>
  <c r="K102" i="101"/>
  <c r="J102" i="101"/>
  <c r="I102" i="101"/>
  <c r="H102" i="101"/>
  <c r="G102" i="101"/>
  <c r="C102" i="101"/>
  <c r="R101" i="101"/>
  <c r="Q101" i="101"/>
  <c r="P101" i="101"/>
  <c r="O101" i="101"/>
  <c r="N101" i="101"/>
  <c r="M101" i="101"/>
  <c r="L101" i="101"/>
  <c r="K101" i="101"/>
  <c r="J101" i="101"/>
  <c r="I101" i="101"/>
  <c r="H101" i="101"/>
  <c r="G101" i="101"/>
  <c r="C101" i="101"/>
  <c r="R100" i="101"/>
  <c r="Q100" i="101"/>
  <c r="P100" i="101"/>
  <c r="O100" i="101"/>
  <c r="N100" i="101"/>
  <c r="M100" i="101"/>
  <c r="L100" i="101"/>
  <c r="K100" i="101"/>
  <c r="J100" i="101"/>
  <c r="I100" i="101"/>
  <c r="H100" i="101"/>
  <c r="G100" i="101"/>
  <c r="C100" i="101"/>
  <c r="R99" i="101"/>
  <c r="Q99" i="101"/>
  <c r="P99" i="101"/>
  <c r="O99" i="101"/>
  <c r="N99" i="101"/>
  <c r="M99" i="101"/>
  <c r="L99" i="101"/>
  <c r="K99" i="101"/>
  <c r="J99" i="101"/>
  <c r="I99" i="101"/>
  <c r="H99" i="101"/>
  <c r="G99" i="101"/>
  <c r="C99" i="101"/>
  <c r="R98" i="101"/>
  <c r="Q98" i="101"/>
  <c r="P98" i="101"/>
  <c r="O98" i="101"/>
  <c r="N98" i="101"/>
  <c r="M98" i="101"/>
  <c r="L98" i="101"/>
  <c r="K98" i="101"/>
  <c r="J98" i="101"/>
  <c r="I98" i="101"/>
  <c r="H98" i="101"/>
  <c r="G98" i="101"/>
  <c r="C98" i="101"/>
  <c r="R97" i="101"/>
  <c r="Q97" i="101"/>
  <c r="P97" i="101"/>
  <c r="O97" i="101"/>
  <c r="N97" i="101"/>
  <c r="M97" i="101"/>
  <c r="L97" i="101"/>
  <c r="K97" i="101"/>
  <c r="J97" i="101"/>
  <c r="I97" i="101"/>
  <c r="H97" i="101"/>
  <c r="G97" i="101"/>
  <c r="C97" i="101"/>
  <c r="R96" i="101"/>
  <c r="Q96" i="101"/>
  <c r="P96" i="101"/>
  <c r="O96" i="101"/>
  <c r="N96" i="101"/>
  <c r="M96" i="101"/>
  <c r="L96" i="101"/>
  <c r="K96" i="101"/>
  <c r="J96" i="101"/>
  <c r="I96" i="101"/>
  <c r="H96" i="101"/>
  <c r="G96" i="101"/>
  <c r="C96" i="101"/>
  <c r="R95" i="101"/>
  <c r="Q95" i="101"/>
  <c r="P95" i="101"/>
  <c r="O95" i="101"/>
  <c r="N95" i="101"/>
  <c r="M95" i="101"/>
  <c r="L95" i="101"/>
  <c r="K95" i="101"/>
  <c r="J95" i="101"/>
  <c r="I95" i="101"/>
  <c r="H95" i="101"/>
  <c r="G95" i="101"/>
  <c r="C95" i="101"/>
  <c r="R94" i="101"/>
  <c r="Q94" i="101"/>
  <c r="P94" i="101"/>
  <c r="O94" i="101"/>
  <c r="N94" i="101"/>
  <c r="M94" i="101"/>
  <c r="L94" i="101"/>
  <c r="K94" i="101"/>
  <c r="J94" i="101"/>
  <c r="I94" i="101"/>
  <c r="H94" i="101"/>
  <c r="G94" i="101"/>
  <c r="C94" i="101"/>
  <c r="R93" i="101"/>
  <c r="Q93" i="101"/>
  <c r="P93" i="101"/>
  <c r="O93" i="101"/>
  <c r="N93" i="101"/>
  <c r="M93" i="101"/>
  <c r="L93" i="101"/>
  <c r="K93" i="101"/>
  <c r="J93" i="101"/>
  <c r="I93" i="101"/>
  <c r="H93" i="101"/>
  <c r="G93" i="101"/>
  <c r="C93" i="101"/>
  <c r="R92" i="101"/>
  <c r="Q92" i="101"/>
  <c r="P92" i="101"/>
  <c r="O92" i="101"/>
  <c r="N92" i="101"/>
  <c r="M92" i="101"/>
  <c r="L92" i="101"/>
  <c r="K92" i="101"/>
  <c r="J92" i="101"/>
  <c r="I92" i="101"/>
  <c r="H92" i="101"/>
  <c r="G92" i="101"/>
  <c r="C92" i="101"/>
  <c r="R91" i="101"/>
  <c r="Q91" i="101"/>
  <c r="P91" i="101"/>
  <c r="O91" i="101"/>
  <c r="N91" i="101"/>
  <c r="M91" i="101"/>
  <c r="L91" i="101"/>
  <c r="K91" i="101"/>
  <c r="J91" i="101"/>
  <c r="I91" i="101"/>
  <c r="H91" i="101"/>
  <c r="G91" i="101"/>
  <c r="C91" i="101"/>
  <c r="R90" i="101"/>
  <c r="Q90" i="101"/>
  <c r="P90" i="101"/>
  <c r="O90" i="101"/>
  <c r="N90" i="101"/>
  <c r="M90" i="101"/>
  <c r="L90" i="101"/>
  <c r="K90" i="101"/>
  <c r="J90" i="101"/>
  <c r="I90" i="101"/>
  <c r="H90" i="101"/>
  <c r="G90" i="101"/>
  <c r="C90" i="101"/>
  <c r="R89" i="101"/>
  <c r="Q89" i="101"/>
  <c r="P89" i="101"/>
  <c r="O89" i="101"/>
  <c r="N89" i="101"/>
  <c r="M89" i="101"/>
  <c r="L89" i="101"/>
  <c r="K89" i="101"/>
  <c r="J89" i="101"/>
  <c r="I89" i="101"/>
  <c r="H89" i="101"/>
  <c r="G89" i="101"/>
  <c r="C89" i="101"/>
  <c r="R88" i="101"/>
  <c r="Q88" i="101"/>
  <c r="P88" i="101"/>
  <c r="O88" i="101"/>
  <c r="N88" i="101"/>
  <c r="M88" i="101"/>
  <c r="L88" i="101"/>
  <c r="K88" i="101"/>
  <c r="J88" i="101"/>
  <c r="I88" i="101"/>
  <c r="H88" i="101"/>
  <c r="G88" i="101"/>
  <c r="C88" i="101"/>
  <c r="R87" i="101"/>
  <c r="Q87" i="101"/>
  <c r="P87" i="101"/>
  <c r="O87" i="101"/>
  <c r="N87" i="101"/>
  <c r="M87" i="101"/>
  <c r="L87" i="101"/>
  <c r="K87" i="101"/>
  <c r="J87" i="101"/>
  <c r="I87" i="101"/>
  <c r="H87" i="101"/>
  <c r="G87" i="101"/>
  <c r="C87" i="101"/>
  <c r="R86" i="101"/>
  <c r="Q86" i="101"/>
  <c r="P86" i="101"/>
  <c r="O86" i="101"/>
  <c r="N86" i="101"/>
  <c r="M86" i="101"/>
  <c r="L86" i="101"/>
  <c r="K86" i="101"/>
  <c r="J86" i="101"/>
  <c r="I86" i="101"/>
  <c r="H86" i="101"/>
  <c r="G86" i="101"/>
  <c r="C86" i="101"/>
  <c r="R85" i="101"/>
  <c r="Q85" i="101"/>
  <c r="P85" i="101"/>
  <c r="O85" i="101"/>
  <c r="N85" i="101"/>
  <c r="M85" i="101"/>
  <c r="L85" i="101"/>
  <c r="K85" i="101"/>
  <c r="J85" i="101"/>
  <c r="I85" i="101"/>
  <c r="H85" i="101"/>
  <c r="G85" i="101"/>
  <c r="C85" i="101"/>
  <c r="R84" i="101"/>
  <c r="Q84" i="101"/>
  <c r="P84" i="101"/>
  <c r="O84" i="101"/>
  <c r="N84" i="101"/>
  <c r="M84" i="101"/>
  <c r="L84" i="101"/>
  <c r="K84" i="101"/>
  <c r="J84" i="101"/>
  <c r="I84" i="101"/>
  <c r="H84" i="101"/>
  <c r="G84" i="101"/>
  <c r="C84" i="101"/>
  <c r="R83" i="101"/>
  <c r="Q83" i="101"/>
  <c r="P83" i="101"/>
  <c r="O83" i="101"/>
  <c r="N83" i="101"/>
  <c r="M83" i="101"/>
  <c r="L83" i="101"/>
  <c r="K83" i="101"/>
  <c r="J83" i="101"/>
  <c r="I83" i="101"/>
  <c r="H83" i="101"/>
  <c r="G83" i="101"/>
  <c r="C83" i="101"/>
  <c r="R82" i="101"/>
  <c r="Q82" i="101"/>
  <c r="P82" i="101"/>
  <c r="O82" i="101"/>
  <c r="N82" i="101"/>
  <c r="M82" i="101"/>
  <c r="L82" i="101"/>
  <c r="K82" i="101"/>
  <c r="J82" i="101"/>
  <c r="I82" i="101"/>
  <c r="H82" i="101"/>
  <c r="G82" i="101"/>
  <c r="C82" i="101"/>
  <c r="R81" i="101"/>
  <c r="Q81" i="101"/>
  <c r="P81" i="101"/>
  <c r="O81" i="101"/>
  <c r="N81" i="101"/>
  <c r="M81" i="101"/>
  <c r="L81" i="101"/>
  <c r="K81" i="101"/>
  <c r="J81" i="101"/>
  <c r="I81" i="101"/>
  <c r="H81" i="101"/>
  <c r="G81" i="101"/>
  <c r="C81" i="101"/>
  <c r="R80" i="101"/>
  <c r="Q80" i="101"/>
  <c r="P80" i="101"/>
  <c r="O80" i="101"/>
  <c r="N80" i="101"/>
  <c r="M80" i="101"/>
  <c r="L80" i="101"/>
  <c r="K80" i="101"/>
  <c r="J80" i="101"/>
  <c r="I80" i="101"/>
  <c r="H80" i="101"/>
  <c r="G80" i="101"/>
  <c r="C80" i="101"/>
  <c r="R79" i="101"/>
  <c r="Q79" i="101"/>
  <c r="P79" i="101"/>
  <c r="O79" i="101"/>
  <c r="N79" i="101"/>
  <c r="M79" i="101"/>
  <c r="L79" i="101"/>
  <c r="K79" i="101"/>
  <c r="J79" i="101"/>
  <c r="I79" i="101"/>
  <c r="H79" i="101"/>
  <c r="G79" i="101"/>
  <c r="C79" i="101"/>
  <c r="R78" i="101"/>
  <c r="Q78" i="101"/>
  <c r="P78" i="101"/>
  <c r="O78" i="101"/>
  <c r="N78" i="101"/>
  <c r="M78" i="101"/>
  <c r="L78" i="101"/>
  <c r="K78" i="101"/>
  <c r="J78" i="101"/>
  <c r="I78" i="101"/>
  <c r="H78" i="101"/>
  <c r="G78" i="101"/>
  <c r="C78" i="101"/>
  <c r="R77" i="101"/>
  <c r="Q77" i="101"/>
  <c r="P77" i="101"/>
  <c r="O77" i="101"/>
  <c r="N77" i="101"/>
  <c r="M77" i="101"/>
  <c r="L77" i="101"/>
  <c r="K77" i="101"/>
  <c r="J77" i="101"/>
  <c r="I77" i="101"/>
  <c r="H77" i="101"/>
  <c r="G77" i="101"/>
  <c r="C77" i="101"/>
  <c r="R76" i="101"/>
  <c r="Q76" i="101"/>
  <c r="P76" i="101"/>
  <c r="O76" i="101"/>
  <c r="N76" i="101"/>
  <c r="M76" i="101"/>
  <c r="L76" i="101"/>
  <c r="K76" i="101"/>
  <c r="J76" i="101"/>
  <c r="I76" i="101"/>
  <c r="H76" i="101"/>
  <c r="G76" i="101"/>
  <c r="R75" i="101"/>
  <c r="Q75" i="101"/>
  <c r="P75" i="101"/>
  <c r="O75" i="101"/>
  <c r="N75" i="101"/>
  <c r="M75" i="101"/>
  <c r="L75" i="101"/>
  <c r="K75" i="101"/>
  <c r="J75" i="101"/>
  <c r="I75" i="101"/>
  <c r="H75" i="101"/>
  <c r="G75" i="101"/>
  <c r="R74" i="101"/>
  <c r="Q74" i="101"/>
  <c r="P74" i="101"/>
  <c r="O74" i="101"/>
  <c r="N74" i="101"/>
  <c r="M74" i="101"/>
  <c r="L74" i="101"/>
  <c r="K74" i="101"/>
  <c r="J74" i="101"/>
  <c r="I74" i="101"/>
  <c r="H74" i="101"/>
  <c r="G74" i="101"/>
  <c r="R73" i="101"/>
  <c r="Q73" i="101"/>
  <c r="P73" i="101"/>
  <c r="O73" i="101"/>
  <c r="N73" i="101"/>
  <c r="M73" i="101"/>
  <c r="L73" i="101"/>
  <c r="K73" i="101"/>
  <c r="J73" i="101"/>
  <c r="I73" i="101"/>
  <c r="H73" i="101"/>
  <c r="G73" i="101"/>
  <c r="R72" i="101"/>
  <c r="Q72" i="101"/>
  <c r="P72" i="101"/>
  <c r="O72" i="101"/>
  <c r="N72" i="101"/>
  <c r="M72" i="101"/>
  <c r="L72" i="101"/>
  <c r="K72" i="101"/>
  <c r="J72" i="101"/>
  <c r="I72" i="101"/>
  <c r="H72" i="101"/>
  <c r="G72" i="101"/>
  <c r="R71" i="101"/>
  <c r="Q71" i="101"/>
  <c r="P71" i="101"/>
  <c r="O71" i="101"/>
  <c r="N71" i="101"/>
  <c r="M71" i="101"/>
  <c r="L71" i="101"/>
  <c r="K71" i="101"/>
  <c r="J71" i="101"/>
  <c r="I71" i="101"/>
  <c r="H71" i="101"/>
  <c r="G71" i="101"/>
  <c r="R70" i="101"/>
  <c r="Q70" i="101"/>
  <c r="P70" i="101"/>
  <c r="O70" i="101"/>
  <c r="N70" i="101"/>
  <c r="M70" i="101"/>
  <c r="L70" i="101"/>
  <c r="K70" i="101"/>
  <c r="J70" i="101"/>
  <c r="I70" i="101"/>
  <c r="H70" i="101"/>
  <c r="G70" i="101"/>
  <c r="R69" i="101"/>
  <c r="Q69" i="101"/>
  <c r="P69" i="101"/>
  <c r="O69" i="101"/>
  <c r="N69" i="101"/>
  <c r="M69" i="101"/>
  <c r="L69" i="101"/>
  <c r="K69" i="101"/>
  <c r="J69" i="101"/>
  <c r="I69" i="101"/>
  <c r="H69" i="101"/>
  <c r="G69" i="101"/>
  <c r="R68" i="101"/>
  <c r="Q68" i="101"/>
  <c r="P68" i="101"/>
  <c r="O68" i="101"/>
  <c r="N68" i="101"/>
  <c r="M68" i="101"/>
  <c r="L68" i="101"/>
  <c r="K68" i="101"/>
  <c r="J68" i="101"/>
  <c r="I68" i="101"/>
  <c r="H68" i="101"/>
  <c r="G68" i="101"/>
  <c r="R67" i="101"/>
  <c r="Q67" i="101"/>
  <c r="P67" i="101"/>
  <c r="O67" i="101"/>
  <c r="N67" i="101"/>
  <c r="M67" i="101"/>
  <c r="L67" i="101"/>
  <c r="K67" i="101"/>
  <c r="J67" i="101"/>
  <c r="I67" i="101"/>
  <c r="H67" i="101"/>
  <c r="G67" i="101"/>
  <c r="R66" i="101"/>
  <c r="Q66" i="101"/>
  <c r="P66" i="101"/>
  <c r="O66" i="101"/>
  <c r="N66" i="101"/>
  <c r="M66" i="101"/>
  <c r="L66" i="101"/>
  <c r="K66" i="101"/>
  <c r="J66" i="101"/>
  <c r="I66" i="101"/>
  <c r="H66" i="101"/>
  <c r="G66" i="101"/>
  <c r="R65" i="101"/>
  <c r="Q65" i="101"/>
  <c r="P65" i="101"/>
  <c r="O65" i="101"/>
  <c r="N65" i="101"/>
  <c r="M65" i="101"/>
  <c r="L65" i="101"/>
  <c r="K65" i="101"/>
  <c r="J65" i="101"/>
  <c r="I65" i="101"/>
  <c r="H65" i="101"/>
  <c r="G65" i="101"/>
  <c r="R64" i="101"/>
  <c r="Q64" i="101"/>
  <c r="P64" i="101"/>
  <c r="O64" i="101"/>
  <c r="N64" i="101"/>
  <c r="M64" i="101"/>
  <c r="L64" i="101"/>
  <c r="K64" i="101"/>
  <c r="J64" i="101"/>
  <c r="I64" i="101"/>
  <c r="H64" i="101"/>
  <c r="G64" i="101"/>
  <c r="R63" i="101"/>
  <c r="Q63" i="101"/>
  <c r="P63" i="101"/>
  <c r="O63" i="101"/>
  <c r="N63" i="101"/>
  <c r="M63" i="101"/>
  <c r="L63" i="101"/>
  <c r="K63" i="101"/>
  <c r="J63" i="101"/>
  <c r="I63" i="101"/>
  <c r="H63" i="101"/>
  <c r="G63" i="101"/>
  <c r="R62" i="101"/>
  <c r="Q62" i="101"/>
  <c r="P62" i="101"/>
  <c r="O62" i="101"/>
  <c r="N62" i="101"/>
  <c r="M62" i="101"/>
  <c r="L62" i="101"/>
  <c r="K62" i="101"/>
  <c r="J62" i="101"/>
  <c r="I62" i="101"/>
  <c r="H62" i="101"/>
  <c r="G62" i="101"/>
  <c r="R61" i="101"/>
  <c r="Q61" i="101"/>
  <c r="P61" i="101"/>
  <c r="O61" i="101"/>
  <c r="N61" i="101"/>
  <c r="M61" i="101"/>
  <c r="L61" i="101"/>
  <c r="K61" i="101"/>
  <c r="J61" i="101"/>
  <c r="I61" i="101"/>
  <c r="H61" i="101"/>
  <c r="G61" i="101"/>
  <c r="R60" i="101"/>
  <c r="Q60" i="101"/>
  <c r="P60" i="101"/>
  <c r="O60" i="101"/>
  <c r="N60" i="101"/>
  <c r="M60" i="101"/>
  <c r="L60" i="101"/>
  <c r="K60" i="101"/>
  <c r="J60" i="101"/>
  <c r="I60" i="101"/>
  <c r="H60" i="101"/>
  <c r="G60" i="101"/>
  <c r="R59" i="101"/>
  <c r="Q59" i="101"/>
  <c r="P59" i="101"/>
  <c r="O59" i="101"/>
  <c r="N59" i="101"/>
  <c r="M59" i="101"/>
  <c r="L59" i="101"/>
  <c r="K59" i="101"/>
  <c r="J59" i="101"/>
  <c r="I59" i="101"/>
  <c r="H59" i="101"/>
  <c r="G59" i="101"/>
  <c r="R58" i="101"/>
  <c r="Q58" i="101"/>
  <c r="P58" i="101"/>
  <c r="O58" i="101"/>
  <c r="N58" i="101"/>
  <c r="M58" i="101"/>
  <c r="L58" i="101"/>
  <c r="K58" i="101"/>
  <c r="J58" i="101"/>
  <c r="I58" i="101"/>
  <c r="H58" i="101"/>
  <c r="G58" i="101"/>
  <c r="R57" i="101"/>
  <c r="Q57" i="101"/>
  <c r="P57" i="101"/>
  <c r="O57" i="101"/>
  <c r="N57" i="101"/>
  <c r="M57" i="101"/>
  <c r="L57" i="101"/>
  <c r="K57" i="101"/>
  <c r="J57" i="101"/>
  <c r="I57" i="101"/>
  <c r="H57" i="101"/>
  <c r="G57" i="101"/>
  <c r="R56" i="101"/>
  <c r="Q56" i="101"/>
  <c r="P56" i="101"/>
  <c r="O56" i="101"/>
  <c r="N56" i="101"/>
  <c r="M56" i="101"/>
  <c r="L56" i="101"/>
  <c r="K56" i="101"/>
  <c r="J56" i="101"/>
  <c r="I56" i="101"/>
  <c r="H56" i="101"/>
  <c r="G56" i="101"/>
  <c r="R55" i="101"/>
  <c r="Q55" i="101"/>
  <c r="P55" i="101"/>
  <c r="O55" i="101"/>
  <c r="N55" i="101"/>
  <c r="M55" i="101"/>
  <c r="L55" i="101"/>
  <c r="K55" i="101"/>
  <c r="J55" i="101"/>
  <c r="I55" i="101"/>
  <c r="H55" i="101"/>
  <c r="G55" i="101"/>
  <c r="R54" i="101"/>
  <c r="Q54" i="101"/>
  <c r="P54" i="101"/>
  <c r="O54" i="101"/>
  <c r="N54" i="101"/>
  <c r="M54" i="101"/>
  <c r="L54" i="101"/>
  <c r="K54" i="101"/>
  <c r="J54" i="101"/>
  <c r="I54" i="101"/>
  <c r="H54" i="101"/>
  <c r="G54" i="101"/>
  <c r="R53" i="101"/>
  <c r="Q53" i="101"/>
  <c r="P53" i="101"/>
  <c r="O53" i="101"/>
  <c r="N53" i="101"/>
  <c r="M53" i="101"/>
  <c r="L53" i="101"/>
  <c r="K53" i="101"/>
  <c r="J53" i="101"/>
  <c r="I53" i="101"/>
  <c r="H53" i="101"/>
  <c r="G53" i="101"/>
  <c r="R52" i="101"/>
  <c r="Q52" i="101"/>
  <c r="P52" i="101"/>
  <c r="O52" i="101"/>
  <c r="N52" i="101"/>
  <c r="M52" i="101"/>
  <c r="L52" i="101"/>
  <c r="K52" i="101"/>
  <c r="J52" i="101"/>
  <c r="I52" i="101"/>
  <c r="H52" i="101"/>
  <c r="G52" i="101"/>
  <c r="R51" i="101"/>
  <c r="Q51" i="101"/>
  <c r="P51" i="101"/>
  <c r="O51" i="101"/>
  <c r="N51" i="101"/>
  <c r="M51" i="101"/>
  <c r="L51" i="101"/>
  <c r="K51" i="101"/>
  <c r="J51" i="101"/>
  <c r="I51" i="101"/>
  <c r="H51" i="101"/>
  <c r="G51" i="101"/>
  <c r="R50" i="101"/>
  <c r="Q50" i="101"/>
  <c r="P50" i="101"/>
  <c r="O50" i="101"/>
  <c r="N50" i="101"/>
  <c r="M50" i="101"/>
  <c r="L50" i="101"/>
  <c r="K50" i="101"/>
  <c r="J50" i="101"/>
  <c r="I50" i="101"/>
  <c r="H50" i="101"/>
  <c r="G50" i="101"/>
  <c r="R49" i="101"/>
  <c r="Q49" i="101"/>
  <c r="P49" i="101"/>
  <c r="O49" i="101"/>
  <c r="N49" i="101"/>
  <c r="M49" i="101"/>
  <c r="L49" i="101"/>
  <c r="K49" i="101"/>
  <c r="J49" i="101"/>
  <c r="I49" i="101"/>
  <c r="H49" i="101"/>
  <c r="G49" i="101"/>
  <c r="R48" i="101"/>
  <c r="Q48" i="101"/>
  <c r="P48" i="101"/>
  <c r="O48" i="101"/>
  <c r="N48" i="101"/>
  <c r="M48" i="101"/>
  <c r="L48" i="101"/>
  <c r="K48" i="101"/>
  <c r="J48" i="101"/>
  <c r="I48" i="101"/>
  <c r="H48" i="101"/>
  <c r="G48" i="101"/>
  <c r="R47" i="101"/>
  <c r="Q47" i="101"/>
  <c r="P47" i="101"/>
  <c r="O47" i="101"/>
  <c r="N47" i="101"/>
  <c r="M47" i="101"/>
  <c r="L47" i="101"/>
  <c r="K47" i="101"/>
  <c r="J47" i="101"/>
  <c r="I47" i="101"/>
  <c r="H47" i="101"/>
  <c r="G47" i="101"/>
  <c r="R46" i="101"/>
  <c r="Q46" i="101"/>
  <c r="P46" i="101"/>
  <c r="O46" i="101"/>
  <c r="N46" i="101"/>
  <c r="M46" i="101"/>
  <c r="L46" i="101"/>
  <c r="K46" i="101"/>
  <c r="J46" i="101"/>
  <c r="I46" i="101"/>
  <c r="H46" i="101"/>
  <c r="G46" i="101"/>
  <c r="R45" i="101"/>
  <c r="Q45" i="101"/>
  <c r="P45" i="101"/>
  <c r="O45" i="101"/>
  <c r="N45" i="101"/>
  <c r="M45" i="101"/>
  <c r="L45" i="101"/>
  <c r="K45" i="101"/>
  <c r="J45" i="101"/>
  <c r="I45" i="101"/>
  <c r="H45" i="101"/>
  <c r="G45" i="101"/>
  <c r="R44" i="101"/>
  <c r="Q44" i="101"/>
  <c r="P44" i="101"/>
  <c r="O44" i="101"/>
  <c r="N44" i="101"/>
  <c r="M44" i="101"/>
  <c r="L44" i="101"/>
  <c r="K44" i="101"/>
  <c r="J44" i="101"/>
  <c r="I44" i="101"/>
  <c r="H44" i="101"/>
  <c r="G44" i="101"/>
  <c r="R43" i="101"/>
  <c r="Q43" i="101"/>
  <c r="P43" i="101"/>
  <c r="O43" i="101"/>
  <c r="N43" i="101"/>
  <c r="M43" i="101"/>
  <c r="L43" i="101"/>
  <c r="K43" i="101"/>
  <c r="J43" i="101"/>
  <c r="I43" i="101"/>
  <c r="H43" i="101"/>
  <c r="G43" i="101"/>
  <c r="R42" i="101"/>
  <c r="Q42" i="101"/>
  <c r="P42" i="101"/>
  <c r="O42" i="101"/>
  <c r="N42" i="101"/>
  <c r="M42" i="101"/>
  <c r="L42" i="101"/>
  <c r="K42" i="101"/>
  <c r="J42" i="101"/>
  <c r="I42" i="101"/>
  <c r="H42" i="101"/>
  <c r="G42" i="101"/>
  <c r="R41" i="101"/>
  <c r="Q41" i="101"/>
  <c r="P41" i="101"/>
  <c r="O41" i="101"/>
  <c r="N41" i="101"/>
  <c r="M41" i="101"/>
  <c r="L41" i="101"/>
  <c r="K41" i="101"/>
  <c r="J41" i="101"/>
  <c r="I41" i="101"/>
  <c r="H41" i="101"/>
  <c r="G41" i="101"/>
  <c r="R40" i="101"/>
  <c r="Q40" i="101"/>
  <c r="P40" i="101"/>
  <c r="O40" i="101"/>
  <c r="N40" i="101"/>
  <c r="M40" i="101"/>
  <c r="L40" i="101"/>
  <c r="K40" i="101"/>
  <c r="J40" i="101"/>
  <c r="I40" i="101"/>
  <c r="H40" i="101"/>
  <c r="G40" i="101"/>
  <c r="R39" i="101"/>
  <c r="Q39" i="101"/>
  <c r="P39" i="101"/>
  <c r="O39" i="101"/>
  <c r="N39" i="101"/>
  <c r="M39" i="101"/>
  <c r="L39" i="101"/>
  <c r="K39" i="101"/>
  <c r="J39" i="101"/>
  <c r="I39" i="101"/>
  <c r="H39" i="101"/>
  <c r="G39" i="101"/>
  <c r="R38" i="101"/>
  <c r="Q38" i="101"/>
  <c r="P38" i="101"/>
  <c r="O38" i="101"/>
  <c r="N38" i="101"/>
  <c r="M38" i="101"/>
  <c r="L38" i="101"/>
  <c r="K38" i="101"/>
  <c r="J38" i="101"/>
  <c r="I38" i="101"/>
  <c r="H38" i="101"/>
  <c r="G38" i="101"/>
  <c r="R37" i="101"/>
  <c r="Q37" i="101"/>
  <c r="P37" i="101"/>
  <c r="O37" i="101"/>
  <c r="N37" i="101"/>
  <c r="M37" i="101"/>
  <c r="L37" i="101"/>
  <c r="K37" i="101"/>
  <c r="J37" i="101"/>
  <c r="I37" i="101"/>
  <c r="H37" i="101"/>
  <c r="G37" i="101"/>
  <c r="R36" i="101"/>
  <c r="Q36" i="101"/>
  <c r="P36" i="101"/>
  <c r="O36" i="101"/>
  <c r="N36" i="101"/>
  <c r="M36" i="101"/>
  <c r="L36" i="101"/>
  <c r="K36" i="101"/>
  <c r="J36" i="101"/>
  <c r="I36" i="101"/>
  <c r="H36" i="101"/>
  <c r="G36" i="101"/>
  <c r="R35" i="101"/>
  <c r="Q35" i="101"/>
  <c r="P35" i="101"/>
  <c r="O35" i="101"/>
  <c r="N35" i="101"/>
  <c r="M35" i="101"/>
  <c r="L35" i="101"/>
  <c r="K35" i="101"/>
  <c r="J35" i="101"/>
  <c r="I35" i="101"/>
  <c r="H35" i="101"/>
  <c r="G35" i="101"/>
  <c r="R34" i="101"/>
  <c r="Q34" i="101"/>
  <c r="P34" i="101"/>
  <c r="O34" i="101"/>
  <c r="N34" i="101"/>
  <c r="M34" i="101"/>
  <c r="L34" i="101"/>
  <c r="K34" i="101"/>
  <c r="J34" i="101"/>
  <c r="I34" i="101"/>
  <c r="H34" i="101"/>
  <c r="G34" i="101"/>
  <c r="R33" i="101"/>
  <c r="Q33" i="101"/>
  <c r="P33" i="101"/>
  <c r="O33" i="101"/>
  <c r="N33" i="101"/>
  <c r="M33" i="101"/>
  <c r="L33" i="101"/>
  <c r="K33" i="101"/>
  <c r="J33" i="101"/>
  <c r="I33" i="101"/>
  <c r="H33" i="101"/>
  <c r="G33" i="101"/>
  <c r="R32" i="101"/>
  <c r="Q32" i="101"/>
  <c r="P32" i="101"/>
  <c r="O32" i="101"/>
  <c r="N32" i="101"/>
  <c r="M32" i="101"/>
  <c r="L32" i="101"/>
  <c r="K32" i="101"/>
  <c r="J32" i="101"/>
  <c r="I32" i="101"/>
  <c r="H32" i="101"/>
  <c r="G32" i="101"/>
  <c r="R31" i="101"/>
  <c r="Q31" i="101"/>
  <c r="P31" i="101"/>
  <c r="O31" i="101"/>
  <c r="N31" i="101"/>
  <c r="M31" i="101"/>
  <c r="L31" i="101"/>
  <c r="K31" i="101"/>
  <c r="J31" i="101"/>
  <c r="I31" i="101"/>
  <c r="H31" i="101"/>
  <c r="G31" i="101"/>
  <c r="R30" i="101"/>
  <c r="Q30" i="101"/>
  <c r="P30" i="101"/>
  <c r="O30" i="101"/>
  <c r="N30" i="101"/>
  <c r="M30" i="101"/>
  <c r="L30" i="101"/>
  <c r="K30" i="101"/>
  <c r="J30" i="101"/>
  <c r="I30" i="101"/>
  <c r="H30" i="101"/>
  <c r="G30" i="101"/>
  <c r="R29" i="101"/>
  <c r="Q29" i="101"/>
  <c r="P29" i="101"/>
  <c r="O29" i="101"/>
  <c r="N29" i="101"/>
  <c r="M29" i="101"/>
  <c r="L29" i="101"/>
  <c r="K29" i="101"/>
  <c r="J29" i="101"/>
  <c r="I29" i="101"/>
  <c r="H29" i="101"/>
  <c r="G29" i="101"/>
  <c r="R28" i="101"/>
  <c r="Q28" i="101"/>
  <c r="P28" i="101"/>
  <c r="O28" i="101"/>
  <c r="N28" i="101"/>
  <c r="M28" i="101"/>
  <c r="L28" i="101"/>
  <c r="K28" i="101"/>
  <c r="J28" i="101"/>
  <c r="I28" i="101"/>
  <c r="H28" i="101"/>
  <c r="G28" i="101"/>
  <c r="R27" i="101"/>
  <c r="Q27" i="101"/>
  <c r="P27" i="101"/>
  <c r="O27" i="101"/>
  <c r="N27" i="101"/>
  <c r="M27" i="101"/>
  <c r="L27" i="101"/>
  <c r="K27" i="101"/>
  <c r="J27" i="101"/>
  <c r="I27" i="101"/>
  <c r="H27" i="101"/>
  <c r="G27" i="101"/>
  <c r="R26" i="101"/>
  <c r="Q26" i="101"/>
  <c r="P26" i="101"/>
  <c r="O26" i="101"/>
  <c r="N26" i="101"/>
  <c r="M26" i="101"/>
  <c r="L26" i="101"/>
  <c r="K26" i="101"/>
  <c r="J26" i="101"/>
  <c r="I26" i="101"/>
  <c r="H26" i="101"/>
  <c r="G26" i="101"/>
  <c r="R25" i="101"/>
  <c r="Q25" i="101"/>
  <c r="P25" i="101"/>
  <c r="O25" i="101"/>
  <c r="N25" i="101"/>
  <c r="M25" i="101"/>
  <c r="L25" i="101"/>
  <c r="K25" i="101"/>
  <c r="J25" i="101"/>
  <c r="I25" i="101"/>
  <c r="H25" i="101"/>
  <c r="G25" i="101"/>
  <c r="R24" i="101"/>
  <c r="Q24" i="101"/>
  <c r="P24" i="101"/>
  <c r="O24" i="101"/>
  <c r="N24" i="101"/>
  <c r="M24" i="101"/>
  <c r="L24" i="101"/>
  <c r="K24" i="101"/>
  <c r="J24" i="101"/>
  <c r="I24" i="101"/>
  <c r="H24" i="101"/>
  <c r="G24" i="101"/>
  <c r="R23" i="101"/>
  <c r="Q23" i="101"/>
  <c r="P23" i="101"/>
  <c r="O23" i="101"/>
  <c r="N23" i="101"/>
  <c r="M23" i="101"/>
  <c r="L23" i="101"/>
  <c r="K23" i="101"/>
  <c r="J23" i="101"/>
  <c r="I23" i="101"/>
  <c r="H23" i="101"/>
  <c r="G23" i="101"/>
  <c r="R22" i="101"/>
  <c r="Q22" i="101"/>
  <c r="P22" i="101"/>
  <c r="O22" i="101"/>
  <c r="N22" i="101"/>
  <c r="M22" i="101"/>
  <c r="L22" i="101"/>
  <c r="K22" i="101"/>
  <c r="J22" i="101"/>
  <c r="I22" i="101"/>
  <c r="H22" i="101"/>
  <c r="G22" i="101"/>
  <c r="R21" i="101"/>
  <c r="Q21" i="101"/>
  <c r="P21" i="101"/>
  <c r="O21" i="101"/>
  <c r="N21" i="101"/>
  <c r="M21" i="101"/>
  <c r="L21" i="101"/>
  <c r="K21" i="101"/>
  <c r="J21" i="101"/>
  <c r="I21" i="101"/>
  <c r="H21" i="101"/>
  <c r="G21" i="101"/>
  <c r="R20" i="101"/>
  <c r="Q20" i="101"/>
  <c r="P20" i="101"/>
  <c r="O20" i="101"/>
  <c r="N20" i="101"/>
  <c r="M20" i="101"/>
  <c r="L20" i="101"/>
  <c r="K20" i="101"/>
  <c r="J20" i="101"/>
  <c r="I20" i="101"/>
  <c r="H20" i="101"/>
  <c r="G20" i="101"/>
  <c r="R19" i="101"/>
  <c r="Q19" i="101"/>
  <c r="P19" i="101"/>
  <c r="O19" i="101"/>
  <c r="N19" i="101"/>
  <c r="M19" i="101"/>
  <c r="L19" i="101"/>
  <c r="K19" i="101"/>
  <c r="J19" i="101"/>
  <c r="I19" i="101"/>
  <c r="H19" i="101"/>
  <c r="G19" i="101"/>
  <c r="R18" i="101"/>
  <c r="Q18" i="101"/>
  <c r="P18" i="101"/>
  <c r="O18" i="101"/>
  <c r="N18" i="101"/>
  <c r="M18" i="101"/>
  <c r="L18" i="101"/>
  <c r="K18" i="101"/>
  <c r="J18" i="101"/>
  <c r="I18" i="101"/>
  <c r="H18" i="101"/>
  <c r="G18" i="101"/>
  <c r="R17" i="101"/>
  <c r="Q17" i="101"/>
  <c r="P17" i="101"/>
  <c r="O17" i="101"/>
  <c r="N17" i="101"/>
  <c r="M17" i="101"/>
  <c r="L17" i="101"/>
  <c r="K17" i="101"/>
  <c r="J17" i="101"/>
  <c r="I17" i="101"/>
  <c r="H17" i="101"/>
  <c r="G17" i="101"/>
  <c r="R16" i="101"/>
  <c r="Q16" i="101"/>
  <c r="P16" i="101"/>
  <c r="O16" i="101"/>
  <c r="N16" i="101"/>
  <c r="M16" i="101"/>
  <c r="L16" i="101"/>
  <c r="K16" i="101"/>
  <c r="J16" i="101"/>
  <c r="I16" i="101"/>
  <c r="H16" i="101"/>
  <c r="G16" i="101"/>
  <c r="R15" i="101"/>
  <c r="Q15" i="101"/>
  <c r="P15" i="101"/>
  <c r="O15" i="101"/>
  <c r="N15" i="101"/>
  <c r="M15" i="101"/>
  <c r="L15" i="101"/>
  <c r="K15" i="101"/>
  <c r="J15" i="101"/>
  <c r="I15" i="101"/>
  <c r="H15" i="101"/>
  <c r="G15" i="101"/>
  <c r="R14" i="101"/>
  <c r="Q14" i="101"/>
  <c r="P14" i="101"/>
  <c r="O14" i="101"/>
  <c r="N14" i="101"/>
  <c r="M14" i="101"/>
  <c r="L14" i="101"/>
  <c r="K14" i="101"/>
  <c r="J14" i="101"/>
  <c r="I14" i="101"/>
  <c r="H14" i="101"/>
  <c r="G14" i="101"/>
  <c r="R13" i="101"/>
  <c r="Q13" i="101"/>
  <c r="P13" i="101"/>
  <c r="O13" i="101"/>
  <c r="N13" i="101"/>
  <c r="M13" i="101"/>
  <c r="L13" i="101"/>
  <c r="K13" i="101"/>
  <c r="J13" i="101"/>
  <c r="I13" i="101"/>
  <c r="H13" i="101"/>
  <c r="G13" i="101"/>
  <c r="R12" i="101"/>
  <c r="Q12" i="101"/>
  <c r="P12" i="101"/>
  <c r="O12" i="101"/>
  <c r="N12" i="101"/>
  <c r="M12" i="101"/>
  <c r="L12" i="101"/>
  <c r="K12" i="101"/>
  <c r="J12" i="101"/>
  <c r="I12" i="101"/>
  <c r="H12" i="101"/>
  <c r="G12" i="101"/>
  <c r="R11" i="101"/>
  <c r="Q11" i="101"/>
  <c r="P11" i="101"/>
  <c r="O11" i="101"/>
  <c r="N11" i="101"/>
  <c r="M11" i="101"/>
  <c r="L11" i="101"/>
  <c r="K11" i="101"/>
  <c r="J11" i="101"/>
  <c r="I11" i="101"/>
  <c r="H11" i="101"/>
  <c r="G11" i="101"/>
  <c r="R10" i="101"/>
  <c r="Q10" i="101"/>
  <c r="P10" i="101"/>
  <c r="O10" i="101"/>
  <c r="N10" i="101"/>
  <c r="M10" i="101"/>
  <c r="L10" i="101"/>
  <c r="K10" i="101"/>
  <c r="J10" i="101"/>
  <c r="I10" i="101"/>
  <c r="H10" i="101"/>
  <c r="G10" i="101"/>
  <c r="R9" i="101"/>
  <c r="Q9" i="101"/>
  <c r="P9" i="101"/>
  <c r="O9" i="101"/>
  <c r="N9" i="101"/>
  <c r="M9" i="101"/>
  <c r="L9" i="101"/>
  <c r="K9" i="101"/>
  <c r="J9" i="101"/>
  <c r="I9" i="101"/>
  <c r="H9" i="101"/>
  <c r="G9" i="101"/>
  <c r="R8" i="101"/>
  <c r="Q8" i="101"/>
  <c r="P8" i="101"/>
  <c r="O8" i="101"/>
  <c r="N8" i="101"/>
  <c r="M8" i="101"/>
  <c r="L8" i="101"/>
  <c r="K8" i="101"/>
  <c r="J8" i="101"/>
  <c r="I8" i="101"/>
  <c r="H8" i="101"/>
  <c r="G8" i="101"/>
  <c r="R7" i="101"/>
  <c r="Q7" i="101"/>
  <c r="P7" i="101"/>
  <c r="O7" i="101"/>
  <c r="N7" i="101"/>
  <c r="M7" i="101"/>
  <c r="L7" i="101"/>
  <c r="K7" i="101"/>
  <c r="J7" i="101"/>
  <c r="I7" i="101"/>
  <c r="H7" i="101"/>
  <c r="G7" i="101"/>
  <c r="R6" i="101"/>
  <c r="Q6" i="101"/>
  <c r="P6" i="101"/>
  <c r="O6" i="101"/>
  <c r="N6" i="101"/>
  <c r="M6" i="101"/>
  <c r="L6" i="101"/>
  <c r="K6" i="101"/>
  <c r="J6" i="101"/>
  <c r="I6" i="101"/>
  <c r="H6" i="101"/>
  <c r="G6" i="101"/>
  <c r="R5" i="101"/>
  <c r="Q5" i="101"/>
  <c r="P5" i="101"/>
  <c r="O5" i="101"/>
  <c r="N5" i="101"/>
  <c r="M5" i="101"/>
  <c r="L5" i="101"/>
  <c r="K5" i="101"/>
  <c r="J5" i="101"/>
  <c r="I5" i="101"/>
  <c r="H5" i="101"/>
  <c r="G5" i="101"/>
  <c r="V13" i="100"/>
  <c r="U13" i="100"/>
  <c r="T13" i="100"/>
  <c r="S13" i="100"/>
  <c r="R13" i="100"/>
  <c r="Q13" i="100"/>
  <c r="P13" i="100"/>
  <c r="O13" i="100"/>
  <c r="J13" i="100"/>
  <c r="I13" i="100"/>
  <c r="H13" i="100"/>
  <c r="V12" i="100"/>
  <c r="U12" i="100"/>
  <c r="T12" i="100"/>
  <c r="S12" i="100"/>
  <c r="R12" i="100"/>
  <c r="Q12" i="100"/>
  <c r="P12" i="100"/>
  <c r="O12" i="100"/>
  <c r="J12" i="100"/>
  <c r="I12" i="100"/>
  <c r="H12" i="100"/>
  <c r="V11" i="100"/>
  <c r="U11" i="100"/>
  <c r="T11" i="100"/>
  <c r="S11" i="100"/>
  <c r="R11" i="100"/>
  <c r="Q11" i="100"/>
  <c r="P11" i="100"/>
  <c r="O11" i="100"/>
  <c r="J11" i="100"/>
  <c r="I11" i="100"/>
  <c r="H11" i="100"/>
  <c r="V10" i="100"/>
  <c r="U10" i="100"/>
  <c r="T10" i="100"/>
  <c r="S10" i="100"/>
  <c r="R10" i="100"/>
  <c r="Q10" i="100"/>
  <c r="P10" i="100"/>
  <c r="O10" i="100"/>
  <c r="J10" i="100"/>
  <c r="I10" i="100"/>
  <c r="H10" i="100"/>
  <c r="V9" i="100"/>
  <c r="U9" i="100"/>
  <c r="T9" i="100"/>
  <c r="S9" i="100"/>
  <c r="R9" i="100"/>
  <c r="Q9" i="100"/>
  <c r="P9" i="100"/>
  <c r="O9" i="100"/>
  <c r="J9" i="100"/>
  <c r="I9" i="100"/>
  <c r="H9" i="100"/>
  <c r="V8" i="100"/>
  <c r="U8" i="100"/>
  <c r="T8" i="100"/>
  <c r="S8" i="100"/>
  <c r="R8" i="100"/>
  <c r="Q8" i="100"/>
  <c r="P8" i="100"/>
  <c r="O8" i="100"/>
  <c r="J8" i="100"/>
  <c r="I8" i="100"/>
  <c r="H8" i="100"/>
  <c r="V7" i="100"/>
  <c r="U7" i="100"/>
  <c r="T7" i="100"/>
  <c r="S7" i="100"/>
  <c r="R7" i="100"/>
  <c r="Q7" i="100"/>
  <c r="P7" i="100"/>
  <c r="O7" i="100"/>
  <c r="J7" i="100"/>
  <c r="I7" i="100"/>
  <c r="H7" i="100"/>
  <c r="V6" i="100"/>
  <c r="U6" i="100"/>
  <c r="T6" i="100"/>
  <c r="S6" i="100"/>
  <c r="R6" i="100"/>
  <c r="Q6" i="100"/>
  <c r="P6" i="100"/>
  <c r="O6" i="100"/>
  <c r="J6" i="100"/>
  <c r="I6" i="100"/>
  <c r="H6" i="100"/>
  <c r="V5" i="100"/>
  <c r="U5" i="100"/>
  <c r="T5" i="100"/>
  <c r="S5" i="100"/>
  <c r="R5" i="100"/>
  <c r="Q5" i="100"/>
  <c r="P5" i="100"/>
  <c r="O5" i="100"/>
  <c r="J5" i="100"/>
  <c r="I5" i="100"/>
  <c r="H5" i="100"/>
  <c r="G5" i="100"/>
  <c r="G52" i="103" l="1"/>
  <c r="A204" i="60"/>
  <c r="B204" i="60"/>
  <c r="C204" i="60"/>
  <c r="D204" i="60"/>
  <c r="E204" i="60"/>
  <c r="F204" i="60"/>
  <c r="G204" i="60"/>
  <c r="H204" i="60"/>
  <c r="I204" i="60"/>
  <c r="J204" i="60"/>
  <c r="O204" i="60" s="1"/>
  <c r="K204" i="60"/>
  <c r="L204" i="60"/>
  <c r="M204" i="60"/>
  <c r="N204" i="60"/>
  <c r="A205" i="60"/>
  <c r="B205" i="60"/>
  <c r="C205" i="60"/>
  <c r="D205" i="60"/>
  <c r="E205" i="60"/>
  <c r="F205" i="60"/>
  <c r="G205" i="60"/>
  <c r="H205" i="60"/>
  <c r="I205" i="60"/>
  <c r="J205" i="60"/>
  <c r="K205" i="60"/>
  <c r="L205" i="60"/>
  <c r="O205" i="60" s="1"/>
  <c r="M205" i="60"/>
  <c r="N205" i="60"/>
  <c r="A206" i="60"/>
  <c r="B206" i="60"/>
  <c r="C206" i="60"/>
  <c r="D206" i="60"/>
  <c r="E206" i="60"/>
  <c r="F206" i="60"/>
  <c r="G206" i="60"/>
  <c r="H206" i="60"/>
  <c r="I206" i="60"/>
  <c r="J206" i="60"/>
  <c r="O206" i="60" s="1"/>
  <c r="K206" i="60"/>
  <c r="L206" i="60"/>
  <c r="M206" i="60"/>
  <c r="N206" i="60"/>
  <c r="A207" i="60"/>
  <c r="B207" i="60"/>
  <c r="C207" i="60"/>
  <c r="D207" i="60"/>
  <c r="E207" i="60"/>
  <c r="F207" i="60"/>
  <c r="G207" i="60"/>
  <c r="H207" i="60"/>
  <c r="I207" i="60"/>
  <c r="J207" i="60"/>
  <c r="K207" i="60"/>
  <c r="L207" i="60"/>
  <c r="O207" i="60" s="1"/>
  <c r="M207" i="60"/>
  <c r="N207" i="60"/>
  <c r="A208" i="60"/>
  <c r="B208" i="60"/>
  <c r="C208" i="60"/>
  <c r="D208" i="60"/>
  <c r="E208" i="60"/>
  <c r="F208" i="60"/>
  <c r="G208" i="60"/>
  <c r="H208" i="60"/>
  <c r="I208" i="60"/>
  <c r="J208" i="60"/>
  <c r="K208" i="60"/>
  <c r="L208" i="60"/>
  <c r="M208" i="60"/>
  <c r="N208" i="60"/>
  <c r="A209" i="60"/>
  <c r="B209" i="60"/>
  <c r="C209" i="60"/>
  <c r="D209" i="60"/>
  <c r="E209" i="60"/>
  <c r="F209" i="60"/>
  <c r="G209" i="60"/>
  <c r="H209" i="60"/>
  <c r="I209" i="60"/>
  <c r="J209" i="60"/>
  <c r="K209" i="60"/>
  <c r="L209" i="60"/>
  <c r="M209" i="60"/>
  <c r="N209" i="60"/>
  <c r="O209" i="60"/>
  <c r="A210" i="60"/>
  <c r="B210" i="60"/>
  <c r="C210" i="60"/>
  <c r="D210" i="60"/>
  <c r="E210" i="60"/>
  <c r="F210" i="60"/>
  <c r="G210" i="60"/>
  <c r="H210" i="60"/>
  <c r="I210" i="60"/>
  <c r="J210" i="60"/>
  <c r="K210" i="60"/>
  <c r="L210" i="60"/>
  <c r="M210" i="60"/>
  <c r="N210" i="60"/>
  <c r="A211" i="60"/>
  <c r="B211" i="60"/>
  <c r="C211" i="60"/>
  <c r="D211" i="60"/>
  <c r="E211" i="60"/>
  <c r="F211" i="60"/>
  <c r="G211" i="60"/>
  <c r="H211" i="60"/>
  <c r="I211" i="60"/>
  <c r="J211" i="60"/>
  <c r="O211" i="60" s="1"/>
  <c r="K211" i="60"/>
  <c r="L211" i="60"/>
  <c r="M211" i="60"/>
  <c r="N211" i="60"/>
  <c r="A212" i="60"/>
  <c r="B212" i="60"/>
  <c r="C212" i="60"/>
  <c r="D212" i="60"/>
  <c r="E212" i="60"/>
  <c r="F212" i="60"/>
  <c r="G212" i="60"/>
  <c r="H212" i="60"/>
  <c r="I212" i="60"/>
  <c r="J212" i="60"/>
  <c r="K212" i="60"/>
  <c r="L212" i="60"/>
  <c r="M212" i="60"/>
  <c r="N212" i="60"/>
  <c r="A213" i="60"/>
  <c r="B213" i="60"/>
  <c r="C213" i="60"/>
  <c r="D213" i="60"/>
  <c r="E213" i="60"/>
  <c r="F213" i="60"/>
  <c r="G213" i="60"/>
  <c r="H213" i="60"/>
  <c r="I213" i="60"/>
  <c r="J213" i="60"/>
  <c r="K213" i="60"/>
  <c r="L213" i="60"/>
  <c r="M213" i="60"/>
  <c r="N213" i="60"/>
  <c r="A214" i="60"/>
  <c r="B214" i="60"/>
  <c r="C214" i="60"/>
  <c r="D214" i="60"/>
  <c r="E214" i="60"/>
  <c r="F214" i="60"/>
  <c r="G214" i="60"/>
  <c r="H214" i="60"/>
  <c r="I214" i="60"/>
  <c r="J214" i="60"/>
  <c r="K214" i="60"/>
  <c r="L214" i="60"/>
  <c r="M214" i="60"/>
  <c r="N214" i="60"/>
  <c r="A215" i="60"/>
  <c r="B215" i="60"/>
  <c r="C215" i="60"/>
  <c r="D215" i="60"/>
  <c r="E215" i="60"/>
  <c r="F215" i="60"/>
  <c r="G215" i="60"/>
  <c r="H215" i="60"/>
  <c r="I215" i="60"/>
  <c r="J215" i="60"/>
  <c r="K215" i="60"/>
  <c r="L215" i="60"/>
  <c r="M215" i="60"/>
  <c r="N215" i="60"/>
  <c r="A216" i="60"/>
  <c r="B216" i="60"/>
  <c r="C216" i="60"/>
  <c r="D216" i="60"/>
  <c r="E216" i="60"/>
  <c r="F216" i="60"/>
  <c r="G216" i="60"/>
  <c r="H216" i="60"/>
  <c r="I216" i="60"/>
  <c r="J216" i="60"/>
  <c r="K216" i="60"/>
  <c r="L216" i="60"/>
  <c r="M216" i="60"/>
  <c r="N216" i="60"/>
  <c r="G234" i="84"/>
  <c r="F234" i="84" s="1"/>
  <c r="G235" i="84"/>
  <c r="F235" i="84" s="1"/>
  <c r="G236" i="84"/>
  <c r="F236" i="84" s="1"/>
  <c r="G237" i="84"/>
  <c r="F237" i="84" s="1"/>
  <c r="G238" i="84"/>
  <c r="F238" i="84" s="1"/>
  <c r="G239" i="84"/>
  <c r="F239" i="84" s="1"/>
  <c r="G240" i="84"/>
  <c r="F240" i="84" s="1"/>
  <c r="G241" i="84"/>
  <c r="F241" i="84" s="1"/>
  <c r="G242" i="84"/>
  <c r="F242" i="84" s="1"/>
  <c r="G243" i="84"/>
  <c r="F243" i="84" s="1"/>
  <c r="G244" i="84"/>
  <c r="F244" i="84" s="1"/>
  <c r="G245" i="84"/>
  <c r="F245" i="84" s="1"/>
  <c r="G246" i="84"/>
  <c r="F246" i="84" s="1"/>
  <c r="G247" i="84"/>
  <c r="F247" i="84" s="1"/>
  <c r="G248" i="84"/>
  <c r="F248" i="84" s="1"/>
  <c r="G249" i="84"/>
  <c r="F249" i="84" s="1"/>
  <c r="G250" i="84"/>
  <c r="F250" i="84" s="1"/>
  <c r="G251" i="84"/>
  <c r="F251" i="84" s="1"/>
  <c r="G252" i="84"/>
  <c r="F252" i="84" s="1"/>
  <c r="J234" i="84"/>
  <c r="K234" i="84"/>
  <c r="L234" i="84"/>
  <c r="O234" i="84"/>
  <c r="P234" i="84"/>
  <c r="N234" i="84" s="1"/>
  <c r="M234" i="84" s="1"/>
  <c r="J235" i="84"/>
  <c r="K235" i="84"/>
  <c r="L235" i="84"/>
  <c r="P235" i="84"/>
  <c r="N235" i="84" s="1"/>
  <c r="M235" i="84" s="1"/>
  <c r="J236" i="84"/>
  <c r="K236" i="84"/>
  <c r="L236" i="84"/>
  <c r="P236" i="84"/>
  <c r="N236" i="84" s="1"/>
  <c r="M236" i="84" s="1"/>
  <c r="J237" i="84"/>
  <c r="K237" i="84"/>
  <c r="L237" i="84"/>
  <c r="P237" i="84"/>
  <c r="N237" i="84" s="1"/>
  <c r="M237" i="84" s="1"/>
  <c r="J238" i="84"/>
  <c r="K238" i="84"/>
  <c r="L238" i="84"/>
  <c r="P238" i="84"/>
  <c r="N238" i="84" s="1"/>
  <c r="M238" i="84" s="1"/>
  <c r="J239" i="84"/>
  <c r="K239" i="84"/>
  <c r="L239" i="84"/>
  <c r="P239" i="84"/>
  <c r="O239" i="84" s="1"/>
  <c r="J240" i="84"/>
  <c r="K240" i="84"/>
  <c r="L240" i="84"/>
  <c r="P240" i="84"/>
  <c r="N240" i="84" s="1"/>
  <c r="M240" i="84" s="1"/>
  <c r="J241" i="84"/>
  <c r="K241" i="84"/>
  <c r="L241" i="84"/>
  <c r="P241" i="84"/>
  <c r="N241" i="84" s="1"/>
  <c r="M241" i="84" s="1"/>
  <c r="J242" i="84"/>
  <c r="K242" i="84"/>
  <c r="L242" i="84"/>
  <c r="P242" i="84"/>
  <c r="N242" i="84" s="1"/>
  <c r="M242" i="84" s="1"/>
  <c r="J243" i="84"/>
  <c r="K243" i="84"/>
  <c r="L243" i="84"/>
  <c r="P243" i="84"/>
  <c r="N243" i="84" s="1"/>
  <c r="M243" i="84" s="1"/>
  <c r="J244" i="84"/>
  <c r="K244" i="84"/>
  <c r="L244" i="84"/>
  <c r="O244" i="84"/>
  <c r="P244" i="84"/>
  <c r="N244" i="84" s="1"/>
  <c r="M244" i="84" s="1"/>
  <c r="J245" i="84"/>
  <c r="K245" i="84"/>
  <c r="L245" i="84"/>
  <c r="P245" i="84"/>
  <c r="N245" i="84" s="1"/>
  <c r="M245" i="84" s="1"/>
  <c r="J246" i="84"/>
  <c r="K246" i="84"/>
  <c r="L246" i="84"/>
  <c r="P246" i="84"/>
  <c r="N246" i="84" s="1"/>
  <c r="M246" i="84" s="1"/>
  <c r="J247" i="84"/>
  <c r="K247" i="84"/>
  <c r="L247" i="84"/>
  <c r="P247" i="84"/>
  <c r="O247" i="84" s="1"/>
  <c r="J248" i="84"/>
  <c r="K248" i="84"/>
  <c r="L248" i="84"/>
  <c r="P248" i="84"/>
  <c r="N248" i="84" s="1"/>
  <c r="M248" i="84" s="1"/>
  <c r="J249" i="84"/>
  <c r="K249" i="84"/>
  <c r="L249" i="84"/>
  <c r="P249" i="84"/>
  <c r="N249" i="84" s="1"/>
  <c r="M249" i="84" s="1"/>
  <c r="J250" i="84"/>
  <c r="K250" i="84"/>
  <c r="L250" i="84"/>
  <c r="N250" i="84"/>
  <c r="M250" i="84" s="1"/>
  <c r="P250" i="84"/>
  <c r="O250" i="84" s="1"/>
  <c r="J251" i="84"/>
  <c r="K251" i="84"/>
  <c r="L251" i="84"/>
  <c r="P251" i="84"/>
  <c r="N251" i="84" s="1"/>
  <c r="M251" i="84" s="1"/>
  <c r="J252" i="84"/>
  <c r="K252" i="84"/>
  <c r="L252" i="84"/>
  <c r="O252" i="84"/>
  <c r="P252" i="84"/>
  <c r="N252" i="84" s="1"/>
  <c r="M252" i="84" s="1"/>
  <c r="J2" i="84"/>
  <c r="K2" i="84"/>
  <c r="L2" i="84"/>
  <c r="P2" i="84"/>
  <c r="N2" i="84" s="1"/>
  <c r="M2" i="84" s="1"/>
  <c r="J3" i="84"/>
  <c r="K3" i="84"/>
  <c r="L3" i="84"/>
  <c r="P3" i="84"/>
  <c r="O3" i="84" s="1"/>
  <c r="J4" i="84"/>
  <c r="K4" i="84"/>
  <c r="L4" i="84"/>
  <c r="P4" i="84"/>
  <c r="N4" i="84" s="1"/>
  <c r="M4" i="84" s="1"/>
  <c r="J5" i="84"/>
  <c r="K5" i="84"/>
  <c r="L5" i="84"/>
  <c r="P5" i="84"/>
  <c r="J6" i="84"/>
  <c r="K6" i="84"/>
  <c r="L6" i="84"/>
  <c r="P6" i="84"/>
  <c r="N6" i="84" s="1"/>
  <c r="M6" i="84" s="1"/>
  <c r="J7" i="84"/>
  <c r="K7" i="84"/>
  <c r="L7" i="84"/>
  <c r="P7" i="84"/>
  <c r="O7" i="84" s="1"/>
  <c r="J8" i="84"/>
  <c r="K8" i="84"/>
  <c r="L8" i="84"/>
  <c r="P8" i="84"/>
  <c r="N8" i="84" s="1"/>
  <c r="M8" i="84" s="1"/>
  <c r="J9" i="84"/>
  <c r="K9" i="84"/>
  <c r="L9" i="84"/>
  <c r="P9" i="84"/>
  <c r="J10" i="84"/>
  <c r="K10" i="84"/>
  <c r="L10" i="84"/>
  <c r="P10" i="84"/>
  <c r="N10" i="84" s="1"/>
  <c r="M10" i="84" s="1"/>
  <c r="J11" i="84"/>
  <c r="K11" i="84"/>
  <c r="L11" i="84"/>
  <c r="P11" i="84"/>
  <c r="O11" i="84" s="1"/>
  <c r="J12" i="84"/>
  <c r="K12" i="84"/>
  <c r="L12" i="84"/>
  <c r="P12" i="84"/>
  <c r="N12" i="84" s="1"/>
  <c r="M12" i="84" s="1"/>
  <c r="J13" i="84"/>
  <c r="K13" i="84"/>
  <c r="L13" i="84"/>
  <c r="P13" i="84"/>
  <c r="J14" i="84"/>
  <c r="K14" i="84"/>
  <c r="L14" i="84"/>
  <c r="P14" i="84"/>
  <c r="N14" i="84" s="1"/>
  <c r="M14" i="84" s="1"/>
  <c r="J15" i="84"/>
  <c r="K15" i="84"/>
  <c r="L15" i="84"/>
  <c r="P15" i="84"/>
  <c r="O15" i="84" s="1"/>
  <c r="J16" i="84"/>
  <c r="K16" i="84"/>
  <c r="L16" i="84"/>
  <c r="P16" i="84"/>
  <c r="N16" i="84" s="1"/>
  <c r="M16" i="84" s="1"/>
  <c r="J17" i="84"/>
  <c r="K17" i="84"/>
  <c r="L17" i="84"/>
  <c r="P17" i="84"/>
  <c r="J18" i="84"/>
  <c r="K18" i="84"/>
  <c r="L18" i="84"/>
  <c r="P18" i="84"/>
  <c r="N18" i="84" s="1"/>
  <c r="M18" i="84" s="1"/>
  <c r="J19" i="84"/>
  <c r="K19" i="84"/>
  <c r="L19" i="84"/>
  <c r="P19" i="84"/>
  <c r="O19" i="84" s="1"/>
  <c r="J20" i="84"/>
  <c r="K20" i="84"/>
  <c r="L20" i="84"/>
  <c r="P20" i="84"/>
  <c r="N20" i="84" s="1"/>
  <c r="M20" i="84" s="1"/>
  <c r="J21" i="84"/>
  <c r="K21" i="84"/>
  <c r="L21" i="84"/>
  <c r="P21" i="84"/>
  <c r="J22" i="84"/>
  <c r="K22" i="84"/>
  <c r="L22" i="84"/>
  <c r="P22" i="84"/>
  <c r="N22" i="84" s="1"/>
  <c r="M22" i="84" s="1"/>
  <c r="J23" i="84"/>
  <c r="K23" i="84"/>
  <c r="L23" i="84"/>
  <c r="N23" i="84"/>
  <c r="M23" i="84" s="1"/>
  <c r="P23" i="84"/>
  <c r="O23" i="84" s="1"/>
  <c r="J24" i="84"/>
  <c r="K24" i="84"/>
  <c r="L24" i="84"/>
  <c r="P24" i="84"/>
  <c r="N24" i="84" s="1"/>
  <c r="M24" i="84" s="1"/>
  <c r="J25" i="84"/>
  <c r="K25" i="84"/>
  <c r="L25" i="84"/>
  <c r="P25" i="84"/>
  <c r="J26" i="84"/>
  <c r="K26" i="84"/>
  <c r="L26" i="84"/>
  <c r="P26" i="84"/>
  <c r="N26" i="84" s="1"/>
  <c r="M26" i="84" s="1"/>
  <c r="J27" i="84"/>
  <c r="K27" i="84"/>
  <c r="L27" i="84"/>
  <c r="P27" i="84"/>
  <c r="O27" i="84" s="1"/>
  <c r="J28" i="84"/>
  <c r="K28" i="84"/>
  <c r="L28" i="84"/>
  <c r="P28" i="84"/>
  <c r="N28" i="84" s="1"/>
  <c r="M28" i="84" s="1"/>
  <c r="J29" i="84"/>
  <c r="K29" i="84"/>
  <c r="L29" i="84"/>
  <c r="P29" i="84"/>
  <c r="J30" i="84"/>
  <c r="K30" i="84"/>
  <c r="L30" i="84"/>
  <c r="P30" i="84"/>
  <c r="N30" i="84" s="1"/>
  <c r="M30" i="84" s="1"/>
  <c r="J31" i="84"/>
  <c r="K31" i="84"/>
  <c r="L31" i="84"/>
  <c r="P31" i="84"/>
  <c r="O31" i="84" s="1"/>
  <c r="J32" i="84"/>
  <c r="K32" i="84"/>
  <c r="L32" i="84"/>
  <c r="P32" i="84"/>
  <c r="N32" i="84" s="1"/>
  <c r="M32" i="84" s="1"/>
  <c r="J33" i="84"/>
  <c r="K33" i="84"/>
  <c r="L33" i="84"/>
  <c r="P33" i="84"/>
  <c r="J34" i="84"/>
  <c r="K34" i="84"/>
  <c r="L34" i="84"/>
  <c r="P34" i="84"/>
  <c r="N34" i="84" s="1"/>
  <c r="M34" i="84" s="1"/>
  <c r="J35" i="84"/>
  <c r="K35" i="84"/>
  <c r="L35" i="84"/>
  <c r="P35" i="84"/>
  <c r="O35" i="84" s="1"/>
  <c r="J36" i="84"/>
  <c r="K36" i="84"/>
  <c r="L36" i="84"/>
  <c r="P36" i="84"/>
  <c r="N36" i="84" s="1"/>
  <c r="M36" i="84" s="1"/>
  <c r="J37" i="84"/>
  <c r="K37" i="84"/>
  <c r="L37" i="84"/>
  <c r="P37" i="84"/>
  <c r="J38" i="84"/>
  <c r="K38" i="84"/>
  <c r="L38" i="84"/>
  <c r="P38" i="84"/>
  <c r="N38" i="84" s="1"/>
  <c r="M38" i="84" s="1"/>
  <c r="J39" i="84"/>
  <c r="K39" i="84"/>
  <c r="L39" i="84"/>
  <c r="P39" i="84"/>
  <c r="O39" i="84" s="1"/>
  <c r="J40" i="84"/>
  <c r="K40" i="84"/>
  <c r="L40" i="84"/>
  <c r="P40" i="84"/>
  <c r="N40" i="84" s="1"/>
  <c r="M40" i="84" s="1"/>
  <c r="J41" i="84"/>
  <c r="K41" i="84"/>
  <c r="L41" i="84"/>
  <c r="P41" i="84"/>
  <c r="J42" i="84"/>
  <c r="K42" i="84"/>
  <c r="L42" i="84"/>
  <c r="P42" i="84"/>
  <c r="N42" i="84" s="1"/>
  <c r="M42" i="84" s="1"/>
  <c r="J43" i="84"/>
  <c r="K43" i="84"/>
  <c r="L43" i="84"/>
  <c r="P43" i="84"/>
  <c r="O43" i="84" s="1"/>
  <c r="J44" i="84"/>
  <c r="K44" i="84"/>
  <c r="L44" i="84"/>
  <c r="O44" i="84"/>
  <c r="P44" i="84"/>
  <c r="N44" i="84" s="1"/>
  <c r="M44" i="84" s="1"/>
  <c r="J45" i="84"/>
  <c r="K45" i="84"/>
  <c r="L45" i="84"/>
  <c r="P45" i="84"/>
  <c r="J46" i="84"/>
  <c r="K46" i="84"/>
  <c r="L46" i="84"/>
  <c r="P46" i="84"/>
  <c r="O46" i="84" s="1"/>
  <c r="J47" i="84"/>
  <c r="K47" i="84"/>
  <c r="L47" i="84"/>
  <c r="P47" i="84"/>
  <c r="O47" i="84" s="1"/>
  <c r="J48" i="84"/>
  <c r="K48" i="84"/>
  <c r="L48" i="84"/>
  <c r="P48" i="84"/>
  <c r="N48" i="84" s="1"/>
  <c r="M48" i="84" s="1"/>
  <c r="J49" i="84"/>
  <c r="K49" i="84"/>
  <c r="L49" i="84"/>
  <c r="P49" i="84"/>
  <c r="J50" i="84"/>
  <c r="K50" i="84"/>
  <c r="L50" i="84"/>
  <c r="P50" i="84"/>
  <c r="N50" i="84" s="1"/>
  <c r="M50" i="84" s="1"/>
  <c r="J51" i="84"/>
  <c r="K51" i="84"/>
  <c r="L51" i="84"/>
  <c r="P51" i="84"/>
  <c r="O51" i="84" s="1"/>
  <c r="J52" i="84"/>
  <c r="K52" i="84"/>
  <c r="L52" i="84"/>
  <c r="P52" i="84"/>
  <c r="N52" i="84" s="1"/>
  <c r="M52" i="84" s="1"/>
  <c r="J53" i="84"/>
  <c r="K53" i="84"/>
  <c r="L53" i="84"/>
  <c r="P53" i="84"/>
  <c r="J54" i="84"/>
  <c r="K54" i="84"/>
  <c r="L54" i="84"/>
  <c r="P54" i="84"/>
  <c r="N54" i="84" s="1"/>
  <c r="M54" i="84" s="1"/>
  <c r="J55" i="84"/>
  <c r="K55" i="84"/>
  <c r="L55" i="84"/>
  <c r="P55" i="84"/>
  <c r="O55" i="84" s="1"/>
  <c r="J56" i="84"/>
  <c r="K56" i="84"/>
  <c r="L56" i="84"/>
  <c r="P56" i="84"/>
  <c r="N56" i="84" s="1"/>
  <c r="M56" i="84" s="1"/>
  <c r="J57" i="84"/>
  <c r="K57" i="84"/>
  <c r="L57" i="84"/>
  <c r="P57" i="84"/>
  <c r="J58" i="84"/>
  <c r="K58" i="84"/>
  <c r="L58" i="84"/>
  <c r="P58" i="84"/>
  <c r="N58" i="84" s="1"/>
  <c r="M58" i="84" s="1"/>
  <c r="J59" i="84"/>
  <c r="K59" i="84"/>
  <c r="L59" i="84"/>
  <c r="P59" i="84"/>
  <c r="O59" i="84" s="1"/>
  <c r="J60" i="84"/>
  <c r="K60" i="84"/>
  <c r="L60" i="84"/>
  <c r="P60" i="84"/>
  <c r="N60" i="84" s="1"/>
  <c r="M60" i="84" s="1"/>
  <c r="J61" i="84"/>
  <c r="K61" i="84"/>
  <c r="L61" i="84"/>
  <c r="P61" i="84"/>
  <c r="J62" i="84"/>
  <c r="K62" i="84"/>
  <c r="L62" i="84"/>
  <c r="P62" i="84"/>
  <c r="N62" i="84" s="1"/>
  <c r="M62" i="84" s="1"/>
  <c r="J63" i="84"/>
  <c r="K63" i="84"/>
  <c r="L63" i="84"/>
  <c r="P63" i="84"/>
  <c r="O63" i="84" s="1"/>
  <c r="J64" i="84"/>
  <c r="K64" i="84"/>
  <c r="L64" i="84"/>
  <c r="P64" i="84"/>
  <c r="N64" i="84" s="1"/>
  <c r="M64" i="84" s="1"/>
  <c r="J65" i="84"/>
  <c r="K65" i="84"/>
  <c r="L65" i="84"/>
  <c r="P65" i="84"/>
  <c r="J66" i="84"/>
  <c r="K66" i="84"/>
  <c r="L66" i="84"/>
  <c r="M66" i="84"/>
  <c r="P66" i="84"/>
  <c r="N66" i="84" s="1"/>
  <c r="J67" i="84"/>
  <c r="K67" i="84"/>
  <c r="L67" i="84"/>
  <c r="P67" i="84"/>
  <c r="O67" i="84" s="1"/>
  <c r="J68" i="84"/>
  <c r="K68" i="84"/>
  <c r="L68" i="84"/>
  <c r="P68" i="84"/>
  <c r="N68" i="84" s="1"/>
  <c r="M68" i="84" s="1"/>
  <c r="J69" i="84"/>
  <c r="K69" i="84"/>
  <c r="L69" i="84"/>
  <c r="P69" i="84"/>
  <c r="J70" i="84"/>
  <c r="K70" i="84"/>
  <c r="L70" i="84"/>
  <c r="P70" i="84"/>
  <c r="N70" i="84" s="1"/>
  <c r="M70" i="84" s="1"/>
  <c r="J71" i="84"/>
  <c r="K71" i="84"/>
  <c r="L71" i="84"/>
  <c r="P71" i="84"/>
  <c r="O71" i="84" s="1"/>
  <c r="J72" i="84"/>
  <c r="K72" i="84"/>
  <c r="L72" i="84"/>
  <c r="P72" i="84"/>
  <c r="N72" i="84" s="1"/>
  <c r="M72" i="84" s="1"/>
  <c r="J73" i="84"/>
  <c r="K73" i="84"/>
  <c r="L73" i="84"/>
  <c r="P73" i="84"/>
  <c r="J74" i="84"/>
  <c r="K74" i="84"/>
  <c r="L74" i="84"/>
  <c r="P74" i="84"/>
  <c r="N74" i="84" s="1"/>
  <c r="M74" i="84" s="1"/>
  <c r="J75" i="84"/>
  <c r="K75" i="84"/>
  <c r="L75" i="84"/>
  <c r="P75" i="84"/>
  <c r="O75" i="84" s="1"/>
  <c r="J76" i="84"/>
  <c r="K76" i="84"/>
  <c r="L76" i="84"/>
  <c r="P76" i="84"/>
  <c r="N76" i="84" s="1"/>
  <c r="M76" i="84" s="1"/>
  <c r="J77" i="84"/>
  <c r="K77" i="84"/>
  <c r="L77" i="84"/>
  <c r="P77" i="84"/>
  <c r="J78" i="84"/>
  <c r="K78" i="84"/>
  <c r="L78" i="84"/>
  <c r="P78" i="84"/>
  <c r="N78" i="84" s="1"/>
  <c r="M78" i="84" s="1"/>
  <c r="J79" i="84"/>
  <c r="K79" i="84"/>
  <c r="L79" i="84"/>
  <c r="P79" i="84"/>
  <c r="O79" i="84" s="1"/>
  <c r="J80" i="84"/>
  <c r="K80" i="84"/>
  <c r="L80" i="84"/>
  <c r="O80" i="84"/>
  <c r="P80" i="84"/>
  <c r="N80" i="84" s="1"/>
  <c r="M80" i="84" s="1"/>
  <c r="J81" i="84"/>
  <c r="K81" i="84"/>
  <c r="L81" i="84"/>
  <c r="P81" i="84"/>
  <c r="J82" i="84"/>
  <c r="K82" i="84"/>
  <c r="L82" i="84"/>
  <c r="P82" i="84"/>
  <c r="O82" i="84" s="1"/>
  <c r="J83" i="84"/>
  <c r="K83" i="84"/>
  <c r="L83" i="84"/>
  <c r="P83" i="84"/>
  <c r="O83" i="84" s="1"/>
  <c r="J84" i="84"/>
  <c r="K84" i="84"/>
  <c r="L84" i="84"/>
  <c r="P84" i="84"/>
  <c r="N84" i="84" s="1"/>
  <c r="M84" i="84" s="1"/>
  <c r="J85" i="84"/>
  <c r="K85" i="84"/>
  <c r="L85" i="84"/>
  <c r="P85" i="84"/>
  <c r="J86" i="84"/>
  <c r="K86" i="84"/>
  <c r="L86" i="84"/>
  <c r="O86" i="84"/>
  <c r="P86" i="84"/>
  <c r="N86" i="84" s="1"/>
  <c r="M86" i="84" s="1"/>
  <c r="J87" i="84"/>
  <c r="K87" i="84"/>
  <c r="L87" i="84"/>
  <c r="P87" i="84"/>
  <c r="O87" i="84" s="1"/>
  <c r="J88" i="84"/>
  <c r="K88" i="84"/>
  <c r="L88" i="84"/>
  <c r="P88" i="84"/>
  <c r="N88" i="84" s="1"/>
  <c r="M88" i="84" s="1"/>
  <c r="J89" i="84"/>
  <c r="K89" i="84"/>
  <c r="L89" i="84"/>
  <c r="P89" i="84"/>
  <c r="J90" i="84"/>
  <c r="K90" i="84"/>
  <c r="L90" i="84"/>
  <c r="P90" i="84"/>
  <c r="N90" i="84" s="1"/>
  <c r="M90" i="84" s="1"/>
  <c r="J91" i="84"/>
  <c r="K91" i="84"/>
  <c r="L91" i="84"/>
  <c r="P91" i="84"/>
  <c r="O91" i="84" s="1"/>
  <c r="J92" i="84"/>
  <c r="K92" i="84"/>
  <c r="L92" i="84"/>
  <c r="P92" i="84"/>
  <c r="N92" i="84" s="1"/>
  <c r="M92" i="84" s="1"/>
  <c r="J93" i="84"/>
  <c r="K93" i="84"/>
  <c r="L93" i="84"/>
  <c r="P93" i="84"/>
  <c r="J94" i="84"/>
  <c r="K94" i="84"/>
  <c r="L94" i="84"/>
  <c r="P94" i="84"/>
  <c r="N94" i="84" s="1"/>
  <c r="M94" i="84" s="1"/>
  <c r="J95" i="84"/>
  <c r="K95" i="84"/>
  <c r="L95" i="84"/>
  <c r="P95" i="84"/>
  <c r="O95" i="84" s="1"/>
  <c r="J96" i="84"/>
  <c r="K96" i="84"/>
  <c r="L96" i="84"/>
  <c r="P96" i="84"/>
  <c r="N96" i="84" s="1"/>
  <c r="M96" i="84" s="1"/>
  <c r="J97" i="84"/>
  <c r="K97" i="84"/>
  <c r="L97" i="84"/>
  <c r="P97" i="84"/>
  <c r="J98" i="84"/>
  <c r="K98" i="84"/>
  <c r="L98" i="84"/>
  <c r="P98" i="84"/>
  <c r="N98" i="84" s="1"/>
  <c r="M98" i="84" s="1"/>
  <c r="J99" i="84"/>
  <c r="K99" i="84"/>
  <c r="L99" i="84"/>
  <c r="P99" i="84"/>
  <c r="O99" i="84" s="1"/>
  <c r="J100" i="84"/>
  <c r="K100" i="84"/>
  <c r="L100" i="84"/>
  <c r="P100" i="84"/>
  <c r="N100" i="84" s="1"/>
  <c r="M100" i="84" s="1"/>
  <c r="J101" i="84"/>
  <c r="K101" i="84"/>
  <c r="L101" i="84"/>
  <c r="P101" i="84"/>
  <c r="J102" i="84"/>
  <c r="K102" i="84"/>
  <c r="L102" i="84"/>
  <c r="O102" i="84"/>
  <c r="P102" i="84"/>
  <c r="N102" i="84" s="1"/>
  <c r="M102" i="84" s="1"/>
  <c r="J103" i="84"/>
  <c r="K103" i="84"/>
  <c r="L103" i="84"/>
  <c r="P103" i="84"/>
  <c r="O103" i="84" s="1"/>
  <c r="J104" i="84"/>
  <c r="K104" i="84"/>
  <c r="L104" i="84"/>
  <c r="P104" i="84"/>
  <c r="N104" i="84" s="1"/>
  <c r="M104" i="84" s="1"/>
  <c r="J105" i="84"/>
  <c r="K105" i="84"/>
  <c r="L105" i="84"/>
  <c r="P105" i="84"/>
  <c r="O105" i="84" s="1"/>
  <c r="J106" i="84"/>
  <c r="K106" i="84"/>
  <c r="L106" i="84"/>
  <c r="P106" i="84"/>
  <c r="N106" i="84" s="1"/>
  <c r="M106" i="84" s="1"/>
  <c r="J107" i="84"/>
  <c r="K107" i="84"/>
  <c r="L107" i="84"/>
  <c r="P107" i="84"/>
  <c r="O107" i="84" s="1"/>
  <c r="J108" i="84"/>
  <c r="K108" i="84"/>
  <c r="L108" i="84"/>
  <c r="P108" i="84"/>
  <c r="N108" i="84" s="1"/>
  <c r="M108" i="84" s="1"/>
  <c r="J109" i="84"/>
  <c r="K109" i="84"/>
  <c r="L109" i="84"/>
  <c r="P109" i="84"/>
  <c r="O109" i="84" s="1"/>
  <c r="J110" i="84"/>
  <c r="K110" i="84"/>
  <c r="L110" i="84"/>
  <c r="P110" i="84"/>
  <c r="N110" i="84" s="1"/>
  <c r="M110" i="84" s="1"/>
  <c r="J111" i="84"/>
  <c r="K111" i="84"/>
  <c r="L111" i="84"/>
  <c r="P111" i="84"/>
  <c r="O111" i="84" s="1"/>
  <c r="J112" i="84"/>
  <c r="K112" i="84"/>
  <c r="L112" i="84"/>
  <c r="P112" i="84"/>
  <c r="N112" i="84" s="1"/>
  <c r="M112" i="84" s="1"/>
  <c r="J113" i="84"/>
  <c r="K113" i="84"/>
  <c r="L113" i="84"/>
  <c r="P113" i="84"/>
  <c r="O113" i="84" s="1"/>
  <c r="J114" i="84"/>
  <c r="K114" i="84"/>
  <c r="L114" i="84"/>
  <c r="P114" i="84"/>
  <c r="N114" i="84" s="1"/>
  <c r="M114" i="84" s="1"/>
  <c r="J115" i="84"/>
  <c r="K115" i="84"/>
  <c r="L115" i="84"/>
  <c r="P115" i="84"/>
  <c r="O115" i="84" s="1"/>
  <c r="J116" i="84"/>
  <c r="K116" i="84"/>
  <c r="L116" i="84"/>
  <c r="P116" i="84"/>
  <c r="O116" i="84" s="1"/>
  <c r="J117" i="84"/>
  <c r="K117" i="84"/>
  <c r="L117" i="84"/>
  <c r="P117" i="84"/>
  <c r="O117" i="84" s="1"/>
  <c r="J118" i="84"/>
  <c r="K118" i="84"/>
  <c r="L118" i="84"/>
  <c r="P118" i="84"/>
  <c r="N118" i="84" s="1"/>
  <c r="M118" i="84" s="1"/>
  <c r="J119" i="84"/>
  <c r="K119" i="84"/>
  <c r="L119" i="84"/>
  <c r="P119" i="84"/>
  <c r="N119" i="84" s="1"/>
  <c r="M119" i="84" s="1"/>
  <c r="J120" i="84"/>
  <c r="K120" i="84"/>
  <c r="L120" i="84"/>
  <c r="P120" i="84"/>
  <c r="N120" i="84" s="1"/>
  <c r="M120" i="84" s="1"/>
  <c r="J121" i="84"/>
  <c r="K121" i="84"/>
  <c r="L121" i="84"/>
  <c r="P121" i="84"/>
  <c r="O121" i="84" s="1"/>
  <c r="J122" i="84"/>
  <c r="K122" i="84"/>
  <c r="L122" i="84"/>
  <c r="O122" i="84"/>
  <c r="P122" i="84"/>
  <c r="N122" i="84" s="1"/>
  <c r="M122" i="84" s="1"/>
  <c r="J123" i="84"/>
  <c r="K123" i="84"/>
  <c r="L123" i="84"/>
  <c r="P123" i="84"/>
  <c r="N123" i="84" s="1"/>
  <c r="M123" i="84" s="1"/>
  <c r="J124" i="84"/>
  <c r="K124" i="84"/>
  <c r="L124" i="84"/>
  <c r="P124" i="84"/>
  <c r="N124" i="84" s="1"/>
  <c r="M124" i="84" s="1"/>
  <c r="J125" i="84"/>
  <c r="K125" i="84"/>
  <c r="L125" i="84"/>
  <c r="P125" i="84"/>
  <c r="O125" i="84" s="1"/>
  <c r="J126" i="84"/>
  <c r="K126" i="84"/>
  <c r="L126" i="84"/>
  <c r="P126" i="84"/>
  <c r="N126" i="84" s="1"/>
  <c r="M126" i="84" s="1"/>
  <c r="J127" i="84"/>
  <c r="K127" i="84"/>
  <c r="L127" i="84"/>
  <c r="P127" i="84"/>
  <c r="N127" i="84" s="1"/>
  <c r="M127" i="84" s="1"/>
  <c r="J128" i="84"/>
  <c r="K128" i="84"/>
  <c r="L128" i="84"/>
  <c r="O128" i="84"/>
  <c r="P128" i="84"/>
  <c r="N128" i="84" s="1"/>
  <c r="M128" i="84" s="1"/>
  <c r="J129" i="84"/>
  <c r="K129" i="84"/>
  <c r="L129" i="84"/>
  <c r="P129" i="84"/>
  <c r="O129" i="84" s="1"/>
  <c r="J130" i="84"/>
  <c r="K130" i="84"/>
  <c r="L130" i="84"/>
  <c r="P130" i="84"/>
  <c r="N130" i="84" s="1"/>
  <c r="M130" i="84" s="1"/>
  <c r="J131" i="84"/>
  <c r="K131" i="84"/>
  <c r="L131" i="84"/>
  <c r="P131" i="84"/>
  <c r="N131" i="84" s="1"/>
  <c r="M131" i="84" s="1"/>
  <c r="J132" i="84"/>
  <c r="K132" i="84"/>
  <c r="L132" i="84"/>
  <c r="P132" i="84"/>
  <c r="N132" i="84" s="1"/>
  <c r="M132" i="84" s="1"/>
  <c r="J133" i="84"/>
  <c r="K133" i="84"/>
  <c r="L133" i="84"/>
  <c r="P133" i="84"/>
  <c r="O133" i="84" s="1"/>
  <c r="J134" i="84"/>
  <c r="K134" i="84"/>
  <c r="L134" i="84"/>
  <c r="P134" i="84"/>
  <c r="N134" i="84" s="1"/>
  <c r="M134" i="84" s="1"/>
  <c r="J135" i="84"/>
  <c r="K135" i="84"/>
  <c r="L135" i="84"/>
  <c r="P135" i="84"/>
  <c r="N135" i="84" s="1"/>
  <c r="M135" i="84" s="1"/>
  <c r="J136" i="84"/>
  <c r="K136" i="84"/>
  <c r="L136" i="84"/>
  <c r="P136" i="84"/>
  <c r="N136" i="84" s="1"/>
  <c r="M136" i="84" s="1"/>
  <c r="J137" i="84"/>
  <c r="K137" i="84"/>
  <c r="L137" i="84"/>
  <c r="P137" i="84"/>
  <c r="O137" i="84" s="1"/>
  <c r="J138" i="84"/>
  <c r="K138" i="84"/>
  <c r="L138" i="84"/>
  <c r="P138" i="84"/>
  <c r="N138" i="84" s="1"/>
  <c r="M138" i="84" s="1"/>
  <c r="J139" i="84"/>
  <c r="K139" i="84"/>
  <c r="L139" i="84"/>
  <c r="P139" i="84"/>
  <c r="N139" i="84" s="1"/>
  <c r="M139" i="84" s="1"/>
  <c r="J140" i="84"/>
  <c r="K140" i="84"/>
  <c r="L140" i="84"/>
  <c r="P140" i="84"/>
  <c r="N140" i="84" s="1"/>
  <c r="M140" i="84" s="1"/>
  <c r="J141" i="84"/>
  <c r="K141" i="84"/>
  <c r="L141" i="84"/>
  <c r="P141" i="84"/>
  <c r="O141" i="84" s="1"/>
  <c r="J142" i="84"/>
  <c r="K142" i="84"/>
  <c r="L142" i="84"/>
  <c r="P142" i="84"/>
  <c r="N142" i="84" s="1"/>
  <c r="M142" i="84" s="1"/>
  <c r="J143" i="84"/>
  <c r="K143" i="84"/>
  <c r="L143" i="84"/>
  <c r="P143" i="84"/>
  <c r="N143" i="84" s="1"/>
  <c r="M143" i="84" s="1"/>
  <c r="J144" i="84"/>
  <c r="K144" i="84"/>
  <c r="L144" i="84"/>
  <c r="O144" i="84"/>
  <c r="P144" i="84"/>
  <c r="N144" i="84" s="1"/>
  <c r="M144" i="84" s="1"/>
  <c r="J145" i="84"/>
  <c r="K145" i="84"/>
  <c r="L145" i="84"/>
  <c r="P145" i="84"/>
  <c r="O145" i="84" s="1"/>
  <c r="J146" i="84"/>
  <c r="K146" i="84"/>
  <c r="L146" i="84"/>
  <c r="P146" i="84"/>
  <c r="N146" i="84" s="1"/>
  <c r="M146" i="84" s="1"/>
  <c r="J147" i="84"/>
  <c r="K147" i="84"/>
  <c r="L147" i="84"/>
  <c r="P147" i="84"/>
  <c r="N147" i="84" s="1"/>
  <c r="M147" i="84" s="1"/>
  <c r="J148" i="84"/>
  <c r="K148" i="84"/>
  <c r="L148" i="84"/>
  <c r="P148" i="84"/>
  <c r="N148" i="84" s="1"/>
  <c r="M148" i="84" s="1"/>
  <c r="J149" i="84"/>
  <c r="K149" i="84"/>
  <c r="L149" i="84"/>
  <c r="P149" i="84"/>
  <c r="O149" i="84" s="1"/>
  <c r="J150" i="84"/>
  <c r="K150" i="84"/>
  <c r="L150" i="84"/>
  <c r="P150" i="84"/>
  <c r="N150" i="84" s="1"/>
  <c r="M150" i="84" s="1"/>
  <c r="J151" i="84"/>
  <c r="K151" i="84"/>
  <c r="L151" i="84"/>
  <c r="P151" i="84"/>
  <c r="N151" i="84" s="1"/>
  <c r="M151" i="84" s="1"/>
  <c r="J152" i="84"/>
  <c r="K152" i="84"/>
  <c r="L152" i="84"/>
  <c r="P152" i="84"/>
  <c r="N152" i="84" s="1"/>
  <c r="M152" i="84" s="1"/>
  <c r="J153" i="84"/>
  <c r="K153" i="84"/>
  <c r="L153" i="84"/>
  <c r="P153" i="84"/>
  <c r="O153" i="84" s="1"/>
  <c r="J154" i="84"/>
  <c r="K154" i="84"/>
  <c r="L154" i="84"/>
  <c r="P154" i="84"/>
  <c r="N154" i="84" s="1"/>
  <c r="M154" i="84" s="1"/>
  <c r="J155" i="84"/>
  <c r="K155" i="84"/>
  <c r="L155" i="84"/>
  <c r="P155" i="84"/>
  <c r="N155" i="84" s="1"/>
  <c r="M155" i="84" s="1"/>
  <c r="J156" i="84"/>
  <c r="K156" i="84"/>
  <c r="L156" i="84"/>
  <c r="P156" i="84"/>
  <c r="N156" i="84" s="1"/>
  <c r="M156" i="84" s="1"/>
  <c r="J157" i="84"/>
  <c r="K157" i="84"/>
  <c r="L157" i="84"/>
  <c r="P157" i="84"/>
  <c r="O157" i="84" s="1"/>
  <c r="J158" i="84"/>
  <c r="K158" i="84"/>
  <c r="L158" i="84"/>
  <c r="P158" i="84"/>
  <c r="N158" i="84" s="1"/>
  <c r="M158" i="84" s="1"/>
  <c r="J159" i="84"/>
  <c r="K159" i="84"/>
  <c r="L159" i="84"/>
  <c r="P159" i="84"/>
  <c r="N159" i="84" s="1"/>
  <c r="M159" i="84" s="1"/>
  <c r="J160" i="84"/>
  <c r="K160" i="84"/>
  <c r="L160" i="84"/>
  <c r="O160" i="84"/>
  <c r="P160" i="84"/>
  <c r="N160" i="84" s="1"/>
  <c r="M160" i="84" s="1"/>
  <c r="J161" i="84"/>
  <c r="K161" i="84"/>
  <c r="L161" i="84"/>
  <c r="P161" i="84"/>
  <c r="O161" i="84" s="1"/>
  <c r="J162" i="84"/>
  <c r="K162" i="84"/>
  <c r="L162" i="84"/>
  <c r="P162" i="84"/>
  <c r="N162" i="84" s="1"/>
  <c r="M162" i="84" s="1"/>
  <c r="J163" i="84"/>
  <c r="K163" i="84"/>
  <c r="L163" i="84"/>
  <c r="P163" i="84"/>
  <c r="N163" i="84" s="1"/>
  <c r="M163" i="84" s="1"/>
  <c r="J164" i="84"/>
  <c r="K164" i="84"/>
  <c r="L164" i="84"/>
  <c r="P164" i="84"/>
  <c r="N164" i="84" s="1"/>
  <c r="M164" i="84" s="1"/>
  <c r="J165" i="84"/>
  <c r="K165" i="84"/>
  <c r="L165" i="84"/>
  <c r="P165" i="84"/>
  <c r="O165" i="84" s="1"/>
  <c r="J166" i="84"/>
  <c r="K166" i="84"/>
  <c r="L166" i="84"/>
  <c r="P166" i="84"/>
  <c r="N166" i="84" s="1"/>
  <c r="M166" i="84" s="1"/>
  <c r="J167" i="84"/>
  <c r="K167" i="84"/>
  <c r="L167" i="84"/>
  <c r="P167" i="84"/>
  <c r="N167" i="84" s="1"/>
  <c r="M167" i="84" s="1"/>
  <c r="J168" i="84"/>
  <c r="K168" i="84"/>
  <c r="L168" i="84"/>
  <c r="P168" i="84"/>
  <c r="N168" i="84" s="1"/>
  <c r="M168" i="84" s="1"/>
  <c r="J169" i="84"/>
  <c r="K169" i="84"/>
  <c r="L169" i="84"/>
  <c r="P169" i="84"/>
  <c r="O169" i="84" s="1"/>
  <c r="J170" i="84"/>
  <c r="K170" i="84"/>
  <c r="L170" i="84"/>
  <c r="P170" i="84"/>
  <c r="N170" i="84" s="1"/>
  <c r="M170" i="84" s="1"/>
  <c r="J171" i="84"/>
  <c r="K171" i="84"/>
  <c r="L171" i="84"/>
  <c r="P171" i="84"/>
  <c r="N171" i="84" s="1"/>
  <c r="M171" i="84" s="1"/>
  <c r="J172" i="84"/>
  <c r="K172" i="84"/>
  <c r="L172" i="84"/>
  <c r="P172" i="84"/>
  <c r="N172" i="84" s="1"/>
  <c r="M172" i="84" s="1"/>
  <c r="J173" i="84"/>
  <c r="K173" i="84"/>
  <c r="L173" i="84"/>
  <c r="P173" i="84"/>
  <c r="O173" i="84" s="1"/>
  <c r="J174" i="84"/>
  <c r="K174" i="84"/>
  <c r="L174" i="84"/>
  <c r="P174" i="84"/>
  <c r="N174" i="84" s="1"/>
  <c r="M174" i="84" s="1"/>
  <c r="J175" i="84"/>
  <c r="K175" i="84"/>
  <c r="L175" i="84"/>
  <c r="P175" i="84"/>
  <c r="N175" i="84" s="1"/>
  <c r="M175" i="84" s="1"/>
  <c r="J176" i="84"/>
  <c r="K176" i="84"/>
  <c r="L176" i="84"/>
  <c r="P176" i="84"/>
  <c r="N176" i="84" s="1"/>
  <c r="M176" i="84" s="1"/>
  <c r="J177" i="84"/>
  <c r="K177" i="84"/>
  <c r="L177" i="84"/>
  <c r="P177" i="84"/>
  <c r="O177" i="84" s="1"/>
  <c r="J178" i="84"/>
  <c r="K178" i="84"/>
  <c r="L178" i="84"/>
  <c r="P178" i="84"/>
  <c r="N178" i="84" s="1"/>
  <c r="M178" i="84" s="1"/>
  <c r="J179" i="84"/>
  <c r="K179" i="84"/>
  <c r="L179" i="84"/>
  <c r="P179" i="84"/>
  <c r="N179" i="84" s="1"/>
  <c r="M179" i="84" s="1"/>
  <c r="J180" i="84"/>
  <c r="K180" i="84"/>
  <c r="L180" i="84"/>
  <c r="P180" i="84"/>
  <c r="N180" i="84" s="1"/>
  <c r="M180" i="84" s="1"/>
  <c r="J181" i="84"/>
  <c r="K181" i="84"/>
  <c r="L181" i="84"/>
  <c r="P181" i="84"/>
  <c r="O181" i="84" s="1"/>
  <c r="J182" i="84"/>
  <c r="K182" i="84"/>
  <c r="L182" i="84"/>
  <c r="P182" i="84"/>
  <c r="N182" i="84" s="1"/>
  <c r="M182" i="84" s="1"/>
  <c r="J183" i="84"/>
  <c r="K183" i="84"/>
  <c r="L183" i="84"/>
  <c r="P183" i="84"/>
  <c r="N183" i="84" s="1"/>
  <c r="M183" i="84" s="1"/>
  <c r="J184" i="84"/>
  <c r="K184" i="84"/>
  <c r="L184" i="84"/>
  <c r="O184" i="84"/>
  <c r="P184" i="84"/>
  <c r="N184" i="84" s="1"/>
  <c r="M184" i="84" s="1"/>
  <c r="J185" i="84"/>
  <c r="K185" i="84"/>
  <c r="L185" i="84"/>
  <c r="P185" i="84"/>
  <c r="O185" i="84" s="1"/>
  <c r="J186" i="84"/>
  <c r="K186" i="84"/>
  <c r="L186" i="84"/>
  <c r="P186" i="84"/>
  <c r="N186" i="84" s="1"/>
  <c r="M186" i="84" s="1"/>
  <c r="J187" i="84"/>
  <c r="K187" i="84"/>
  <c r="L187" i="84"/>
  <c r="P187" i="84"/>
  <c r="N187" i="84" s="1"/>
  <c r="M187" i="84" s="1"/>
  <c r="J188" i="84"/>
  <c r="K188" i="84"/>
  <c r="L188" i="84"/>
  <c r="P188" i="84"/>
  <c r="N188" i="84" s="1"/>
  <c r="M188" i="84" s="1"/>
  <c r="J189" i="84"/>
  <c r="K189" i="84"/>
  <c r="L189" i="84"/>
  <c r="P189" i="84"/>
  <c r="O189" i="84" s="1"/>
  <c r="J190" i="84"/>
  <c r="K190" i="84"/>
  <c r="L190" i="84"/>
  <c r="P190" i="84"/>
  <c r="N190" i="84" s="1"/>
  <c r="M190" i="84" s="1"/>
  <c r="J191" i="84"/>
  <c r="K191" i="84"/>
  <c r="L191" i="84"/>
  <c r="P191" i="84"/>
  <c r="N191" i="84" s="1"/>
  <c r="M191" i="84" s="1"/>
  <c r="J192" i="84"/>
  <c r="K192" i="84"/>
  <c r="L192" i="84"/>
  <c r="P192" i="84"/>
  <c r="N192" i="84" s="1"/>
  <c r="M192" i="84" s="1"/>
  <c r="J193" i="84"/>
  <c r="K193" i="84"/>
  <c r="L193" i="84"/>
  <c r="P193" i="84"/>
  <c r="O193" i="84" s="1"/>
  <c r="J194" i="84"/>
  <c r="K194" i="84"/>
  <c r="L194" i="84"/>
  <c r="P194" i="84"/>
  <c r="N194" i="84" s="1"/>
  <c r="M194" i="84" s="1"/>
  <c r="J195" i="84"/>
  <c r="K195" i="84"/>
  <c r="L195" i="84"/>
  <c r="P195" i="84"/>
  <c r="N195" i="84" s="1"/>
  <c r="M195" i="84" s="1"/>
  <c r="J196" i="84"/>
  <c r="K196" i="84"/>
  <c r="L196" i="84"/>
  <c r="N196" i="84"/>
  <c r="M196" i="84" s="1"/>
  <c r="P196" i="84"/>
  <c r="O196" i="84" s="1"/>
  <c r="J197" i="84"/>
  <c r="K197" i="84"/>
  <c r="L197" i="84"/>
  <c r="P197" i="84"/>
  <c r="O197" i="84" s="1"/>
  <c r="J198" i="84"/>
  <c r="K198" i="84"/>
  <c r="L198" i="84"/>
  <c r="P198" i="84"/>
  <c r="N198" i="84" s="1"/>
  <c r="M198" i="84" s="1"/>
  <c r="J199" i="84"/>
  <c r="K199" i="84"/>
  <c r="L199" i="84"/>
  <c r="P199" i="84"/>
  <c r="N199" i="84" s="1"/>
  <c r="M199" i="84" s="1"/>
  <c r="J200" i="84"/>
  <c r="K200" i="84"/>
  <c r="L200" i="84"/>
  <c r="P200" i="84"/>
  <c r="N200" i="84" s="1"/>
  <c r="M200" i="84" s="1"/>
  <c r="J201" i="84"/>
  <c r="K201" i="84"/>
  <c r="L201" i="84"/>
  <c r="P201" i="84"/>
  <c r="O201" i="84" s="1"/>
  <c r="J202" i="84"/>
  <c r="K202" i="84"/>
  <c r="L202" i="84"/>
  <c r="P202" i="84"/>
  <c r="N202" i="84" s="1"/>
  <c r="M202" i="84" s="1"/>
  <c r="J203" i="84"/>
  <c r="K203" i="84"/>
  <c r="L203" i="84"/>
  <c r="P203" i="84"/>
  <c r="N203" i="84" s="1"/>
  <c r="M203" i="84" s="1"/>
  <c r="J204" i="84"/>
  <c r="K204" i="84"/>
  <c r="L204" i="84"/>
  <c r="P204" i="84"/>
  <c r="N204" i="84" s="1"/>
  <c r="M204" i="84" s="1"/>
  <c r="J205" i="84"/>
  <c r="K205" i="84"/>
  <c r="L205" i="84"/>
  <c r="P205" i="84"/>
  <c r="O205" i="84" s="1"/>
  <c r="J206" i="84"/>
  <c r="K206" i="84"/>
  <c r="L206" i="84"/>
  <c r="P206" i="84"/>
  <c r="N206" i="84" s="1"/>
  <c r="M206" i="84" s="1"/>
  <c r="O215" i="60" l="1"/>
  <c r="O214" i="60"/>
  <c r="O213" i="60"/>
  <c r="O212" i="60"/>
  <c r="O210" i="60"/>
  <c r="O216" i="60"/>
  <c r="O208" i="60"/>
  <c r="O176" i="84"/>
  <c r="N141" i="84"/>
  <c r="M141" i="84" s="1"/>
  <c r="N99" i="84"/>
  <c r="M99" i="84" s="1"/>
  <c r="O20" i="84"/>
  <c r="N247" i="84"/>
  <c r="M247" i="84" s="1"/>
  <c r="O200" i="84"/>
  <c r="O162" i="84"/>
  <c r="O42" i="84"/>
  <c r="N239" i="84"/>
  <c r="M239" i="84" s="1"/>
  <c r="N133" i="84"/>
  <c r="M133" i="84" s="1"/>
  <c r="N116" i="84"/>
  <c r="M116" i="84" s="1"/>
  <c r="O96" i="84"/>
  <c r="O70" i="84"/>
  <c r="N55" i="84"/>
  <c r="M55" i="84" s="1"/>
  <c r="N39" i="84"/>
  <c r="M39" i="84" s="1"/>
  <c r="O12" i="84"/>
  <c r="O242" i="84"/>
  <c r="O236" i="84"/>
  <c r="N205" i="84"/>
  <c r="M205" i="84" s="1"/>
  <c r="O186" i="84"/>
  <c r="O170" i="84"/>
  <c r="N149" i="84"/>
  <c r="M149" i="84" s="1"/>
  <c r="O130" i="84"/>
  <c r="O88" i="84"/>
  <c r="O28" i="84"/>
  <c r="N7" i="84"/>
  <c r="M7" i="84" s="1"/>
  <c r="O235" i="84"/>
  <c r="O192" i="84"/>
  <c r="N173" i="84"/>
  <c r="M173" i="84" s="1"/>
  <c r="O154" i="84"/>
  <c r="O194" i="84"/>
  <c r="N181" i="84"/>
  <c r="M181" i="84" s="1"/>
  <c r="N165" i="84"/>
  <c r="M165" i="84" s="1"/>
  <c r="O152" i="84"/>
  <c r="O138" i="84"/>
  <c r="N125" i="84"/>
  <c r="M125" i="84" s="1"/>
  <c r="O106" i="84"/>
  <c r="N91" i="84"/>
  <c r="M91" i="84" s="1"/>
  <c r="O78" i="84"/>
  <c r="N63" i="84"/>
  <c r="M63" i="84" s="1"/>
  <c r="N47" i="84"/>
  <c r="M47" i="84" s="1"/>
  <c r="N31" i="84"/>
  <c r="M31" i="84" s="1"/>
  <c r="O18" i="84"/>
  <c r="O2" i="84"/>
  <c r="O246" i="84"/>
  <c r="O238" i="84"/>
  <c r="O10" i="84"/>
  <c r="O251" i="84"/>
  <c r="O243" i="84"/>
  <c r="N197" i="84"/>
  <c r="M197" i="84" s="1"/>
  <c r="N189" i="84"/>
  <c r="M189" i="84" s="1"/>
  <c r="O178" i="84"/>
  <c r="O168" i="84"/>
  <c r="N157" i="84"/>
  <c r="M157" i="84" s="1"/>
  <c r="O146" i="84"/>
  <c r="O136" i="84"/>
  <c r="O126" i="84"/>
  <c r="N113" i="84"/>
  <c r="M113" i="84" s="1"/>
  <c r="N105" i="84"/>
  <c r="M105" i="84" s="1"/>
  <c r="O94" i="84"/>
  <c r="N83" i="84"/>
  <c r="M83" i="84" s="1"/>
  <c r="N75" i="84"/>
  <c r="M75" i="84" s="1"/>
  <c r="N46" i="84"/>
  <c r="M46" i="84" s="1"/>
  <c r="O36" i="84"/>
  <c r="O26" i="84"/>
  <c r="N15" i="84"/>
  <c r="M15" i="84" s="1"/>
  <c r="O4" i="84"/>
  <c r="O248" i="84"/>
  <c r="O240" i="84"/>
  <c r="O108" i="84"/>
  <c r="N82" i="84"/>
  <c r="M82" i="84" s="1"/>
  <c r="O72" i="84"/>
  <c r="N67" i="84"/>
  <c r="M67" i="84" s="1"/>
  <c r="N59" i="84"/>
  <c r="M59" i="84" s="1"/>
  <c r="N51" i="84"/>
  <c r="M51" i="84" s="1"/>
  <c r="O34" i="84"/>
  <c r="O202" i="84"/>
  <c r="O249" i="84"/>
  <c r="O245" i="84"/>
  <c r="O241" i="84"/>
  <c r="O237" i="84"/>
  <c r="O204" i="84"/>
  <c r="O198" i="84"/>
  <c r="O188" i="84"/>
  <c r="N185" i="84"/>
  <c r="M185" i="84" s="1"/>
  <c r="O182" i="84"/>
  <c r="N177" i="84"/>
  <c r="M177" i="84" s="1"/>
  <c r="O172" i="84"/>
  <c r="O166" i="84"/>
  <c r="N161" i="84"/>
  <c r="M161" i="84" s="1"/>
  <c r="O156" i="84"/>
  <c r="O150" i="84"/>
  <c r="N145" i="84"/>
  <c r="M145" i="84" s="1"/>
  <c r="O142" i="84"/>
  <c r="N137" i="84"/>
  <c r="M137" i="84" s="1"/>
  <c r="O132" i="84"/>
  <c r="O124" i="84"/>
  <c r="N121" i="84"/>
  <c r="M121" i="84" s="1"/>
  <c r="O118" i="84"/>
  <c r="O112" i="84"/>
  <c r="O104" i="84"/>
  <c r="O98" i="84"/>
  <c r="O90" i="84"/>
  <c r="N87" i="84"/>
  <c r="M87" i="84" s="1"/>
  <c r="O84" i="84"/>
  <c r="O74" i="84"/>
  <c r="N71" i="84"/>
  <c r="M71" i="84" s="1"/>
  <c r="O68" i="84"/>
  <c r="O64" i="84"/>
  <c r="O60" i="84"/>
  <c r="O56" i="84"/>
  <c r="O52" i="84"/>
  <c r="O48" i="84"/>
  <c r="O38" i="84"/>
  <c r="O32" i="84"/>
  <c r="N27" i="84"/>
  <c r="M27" i="84" s="1"/>
  <c r="O22" i="84"/>
  <c r="O16" i="84"/>
  <c r="N11" i="84"/>
  <c r="M11" i="84" s="1"/>
  <c r="O6" i="84"/>
  <c r="N3" i="84"/>
  <c r="M3" i="84" s="1"/>
  <c r="O120" i="84"/>
  <c r="N117" i="84"/>
  <c r="M117" i="84" s="1"/>
  <c r="O114" i="84"/>
  <c r="O110" i="84"/>
  <c r="O206" i="84"/>
  <c r="N201" i="84"/>
  <c r="M201" i="84" s="1"/>
  <c r="N193" i="84"/>
  <c r="M193" i="84" s="1"/>
  <c r="O190" i="84"/>
  <c r="O180" i="84"/>
  <c r="O174" i="84"/>
  <c r="N169" i="84"/>
  <c r="M169" i="84" s="1"/>
  <c r="O164" i="84"/>
  <c r="O158" i="84"/>
  <c r="N153" i="84"/>
  <c r="M153" i="84" s="1"/>
  <c r="O148" i="84"/>
  <c r="O140" i="84"/>
  <c r="O134" i="84"/>
  <c r="N129" i="84"/>
  <c r="M129" i="84" s="1"/>
  <c r="N109" i="84"/>
  <c r="M109" i="84" s="1"/>
  <c r="O100" i="84"/>
  <c r="N95" i="84"/>
  <c r="M95" i="84" s="1"/>
  <c r="O92" i="84"/>
  <c r="N79" i="84"/>
  <c r="M79" i="84" s="1"/>
  <c r="O76" i="84"/>
  <c r="O66" i="84"/>
  <c r="O62" i="84"/>
  <c r="O58" i="84"/>
  <c r="O54" i="84"/>
  <c r="O50" i="84"/>
  <c r="N43" i="84"/>
  <c r="M43" i="84" s="1"/>
  <c r="O40" i="84"/>
  <c r="N35" i="84"/>
  <c r="M35" i="84" s="1"/>
  <c r="O30" i="84"/>
  <c r="O24" i="84"/>
  <c r="N19" i="84"/>
  <c r="M19" i="84" s="1"/>
  <c r="O14" i="84"/>
  <c r="O8" i="84"/>
  <c r="N69" i="84"/>
  <c r="M69" i="84" s="1"/>
  <c r="O69" i="84"/>
  <c r="N65" i="84"/>
  <c r="M65" i="84" s="1"/>
  <c r="O65" i="84"/>
  <c r="N53" i="84"/>
  <c r="M53" i="84" s="1"/>
  <c r="O53" i="84"/>
  <c r="N49" i="84"/>
  <c r="M49" i="84" s="1"/>
  <c r="O49" i="84"/>
  <c r="O203" i="84"/>
  <c r="O199" i="84"/>
  <c r="O195" i="84"/>
  <c r="O191" i="84"/>
  <c r="O187" i="84"/>
  <c r="O183" i="84"/>
  <c r="O179" i="84"/>
  <c r="O175" i="84"/>
  <c r="O171" i="84"/>
  <c r="O167" i="84"/>
  <c r="O163" i="84"/>
  <c r="O159" i="84"/>
  <c r="O155" i="84"/>
  <c r="O151" i="84"/>
  <c r="O147" i="84"/>
  <c r="O143" i="84"/>
  <c r="O139" i="84"/>
  <c r="O135" i="84"/>
  <c r="O131" i="84"/>
  <c r="O127" i="84"/>
  <c r="O123" i="84"/>
  <c r="O119" i="84"/>
  <c r="N115" i="84"/>
  <c r="M115" i="84" s="1"/>
  <c r="N107" i="84"/>
  <c r="M107" i="84" s="1"/>
  <c r="N101" i="84"/>
  <c r="M101" i="84" s="1"/>
  <c r="O101" i="84"/>
  <c r="N97" i="84"/>
  <c r="M97" i="84" s="1"/>
  <c r="O97" i="84"/>
  <c r="N81" i="84"/>
  <c r="M81" i="84" s="1"/>
  <c r="O81" i="84"/>
  <c r="N45" i="84"/>
  <c r="M45" i="84" s="1"/>
  <c r="O45" i="84"/>
  <c r="N93" i="84"/>
  <c r="M93" i="84" s="1"/>
  <c r="O93" i="84"/>
  <c r="N77" i="84"/>
  <c r="M77" i="84" s="1"/>
  <c r="O77" i="84"/>
  <c r="N41" i="84"/>
  <c r="M41" i="84" s="1"/>
  <c r="O41" i="84"/>
  <c r="N37" i="84"/>
  <c r="M37" i="84" s="1"/>
  <c r="O37" i="84"/>
  <c r="N33" i="84"/>
  <c r="M33" i="84" s="1"/>
  <c r="O33" i="84"/>
  <c r="N29" i="84"/>
  <c r="M29" i="84" s="1"/>
  <c r="O29" i="84"/>
  <c r="N25" i="84"/>
  <c r="M25" i="84" s="1"/>
  <c r="O25" i="84"/>
  <c r="N21" i="84"/>
  <c r="M21" i="84" s="1"/>
  <c r="O21" i="84"/>
  <c r="N17" i="84"/>
  <c r="M17" i="84" s="1"/>
  <c r="O17" i="84"/>
  <c r="N13" i="84"/>
  <c r="M13" i="84" s="1"/>
  <c r="O13" i="84"/>
  <c r="N9" i="84"/>
  <c r="M9" i="84" s="1"/>
  <c r="O9" i="84"/>
  <c r="N85" i="84"/>
  <c r="M85" i="84" s="1"/>
  <c r="O85" i="84"/>
  <c r="N61" i="84"/>
  <c r="M61" i="84" s="1"/>
  <c r="O61" i="84"/>
  <c r="N57" i="84"/>
  <c r="M57" i="84" s="1"/>
  <c r="O57" i="84"/>
  <c r="N111" i="84"/>
  <c r="M111" i="84" s="1"/>
  <c r="N103" i="84"/>
  <c r="M103" i="84" s="1"/>
  <c r="N89" i="84"/>
  <c r="M89" i="84" s="1"/>
  <c r="O89" i="84"/>
  <c r="N73" i="84"/>
  <c r="M73" i="84" s="1"/>
  <c r="O73" i="84"/>
  <c r="N5" i="84"/>
  <c r="M5" i="84" s="1"/>
  <c r="O5" i="84"/>
  <c r="C263" i="85" l="1"/>
  <c r="A193" i="60"/>
  <c r="B193" i="60"/>
  <c r="C193" i="60"/>
  <c r="D193" i="60"/>
  <c r="E193" i="60"/>
  <c r="F193" i="60"/>
  <c r="G193" i="60"/>
  <c r="H193" i="60"/>
  <c r="I193" i="60"/>
  <c r="J193" i="60"/>
  <c r="O193" i="60" s="1"/>
  <c r="K193" i="60"/>
  <c r="L193" i="60"/>
  <c r="M193" i="60"/>
  <c r="N193" i="60"/>
  <c r="A194" i="60"/>
  <c r="B194" i="60"/>
  <c r="C194" i="60"/>
  <c r="D194" i="60"/>
  <c r="E194" i="60"/>
  <c r="F194" i="60"/>
  <c r="G194" i="60"/>
  <c r="H194" i="60"/>
  <c r="I194" i="60"/>
  <c r="J194" i="60"/>
  <c r="K194" i="60"/>
  <c r="L194" i="60"/>
  <c r="M194" i="60"/>
  <c r="N194" i="60"/>
  <c r="A195" i="60"/>
  <c r="B195" i="60"/>
  <c r="C195" i="60"/>
  <c r="D195" i="60"/>
  <c r="E195" i="60"/>
  <c r="F195" i="60"/>
  <c r="G195" i="60"/>
  <c r="H195" i="60"/>
  <c r="I195" i="60"/>
  <c r="J195" i="60"/>
  <c r="K195" i="60"/>
  <c r="L195" i="60"/>
  <c r="M195" i="60"/>
  <c r="N195" i="60"/>
  <c r="A196" i="60"/>
  <c r="B196" i="60"/>
  <c r="C196" i="60"/>
  <c r="D196" i="60"/>
  <c r="E196" i="60"/>
  <c r="F196" i="60"/>
  <c r="G196" i="60"/>
  <c r="H196" i="60"/>
  <c r="I196" i="60"/>
  <c r="J196" i="60"/>
  <c r="K196" i="60"/>
  <c r="L196" i="60"/>
  <c r="M196" i="60"/>
  <c r="N196" i="60"/>
  <c r="A197" i="60"/>
  <c r="B197" i="60"/>
  <c r="C197" i="60"/>
  <c r="D197" i="60"/>
  <c r="E197" i="60"/>
  <c r="F197" i="60"/>
  <c r="G197" i="60"/>
  <c r="H197" i="60"/>
  <c r="I197" i="60"/>
  <c r="J197" i="60"/>
  <c r="K197" i="60"/>
  <c r="L197" i="60"/>
  <c r="M197" i="60"/>
  <c r="N197" i="60"/>
  <c r="A198" i="60"/>
  <c r="B198" i="60"/>
  <c r="C198" i="60"/>
  <c r="D198" i="60"/>
  <c r="E198" i="60"/>
  <c r="F198" i="60"/>
  <c r="G198" i="60"/>
  <c r="H198" i="60"/>
  <c r="I198" i="60"/>
  <c r="J198" i="60"/>
  <c r="K198" i="60"/>
  <c r="L198" i="60"/>
  <c r="M198" i="60"/>
  <c r="N198" i="60"/>
  <c r="A199" i="60"/>
  <c r="B199" i="60"/>
  <c r="C199" i="60"/>
  <c r="D199" i="60"/>
  <c r="E199" i="60"/>
  <c r="F199" i="60"/>
  <c r="G199" i="60"/>
  <c r="H199" i="60"/>
  <c r="I199" i="60"/>
  <c r="J199" i="60"/>
  <c r="K199" i="60"/>
  <c r="L199" i="60"/>
  <c r="M199" i="60"/>
  <c r="N199" i="60"/>
  <c r="A200" i="60"/>
  <c r="B200" i="60"/>
  <c r="C200" i="60"/>
  <c r="D200" i="60"/>
  <c r="E200" i="60"/>
  <c r="F200" i="60"/>
  <c r="G200" i="60"/>
  <c r="H200" i="60"/>
  <c r="I200" i="60"/>
  <c r="J200" i="60"/>
  <c r="K200" i="60"/>
  <c r="L200" i="60"/>
  <c r="M200" i="60"/>
  <c r="N200" i="60"/>
  <c r="A201" i="60"/>
  <c r="B201" i="60"/>
  <c r="C201" i="60"/>
  <c r="D201" i="60"/>
  <c r="E201" i="60"/>
  <c r="F201" i="60"/>
  <c r="G201" i="60"/>
  <c r="H201" i="60"/>
  <c r="I201" i="60"/>
  <c r="J201" i="60"/>
  <c r="O201" i="60" s="1"/>
  <c r="K201" i="60"/>
  <c r="L201" i="60"/>
  <c r="M201" i="60"/>
  <c r="N201" i="60"/>
  <c r="A202" i="60"/>
  <c r="B202" i="60"/>
  <c r="C202" i="60"/>
  <c r="D202" i="60"/>
  <c r="E202" i="60"/>
  <c r="F202" i="60"/>
  <c r="G202" i="60"/>
  <c r="H202" i="60"/>
  <c r="I202" i="60"/>
  <c r="J202" i="60"/>
  <c r="K202" i="60"/>
  <c r="L202" i="60"/>
  <c r="M202" i="60"/>
  <c r="N202" i="60"/>
  <c r="A203" i="60"/>
  <c r="B203" i="60"/>
  <c r="C203" i="60"/>
  <c r="D203" i="60"/>
  <c r="E203" i="60"/>
  <c r="F203" i="60"/>
  <c r="G203" i="60"/>
  <c r="H203" i="60"/>
  <c r="I203" i="60"/>
  <c r="J203" i="60"/>
  <c r="O203" i="60" s="1"/>
  <c r="K203" i="60"/>
  <c r="L203" i="60"/>
  <c r="M203" i="60"/>
  <c r="N203" i="60"/>
  <c r="J220" i="84"/>
  <c r="K220" i="84"/>
  <c r="L220" i="84"/>
  <c r="P220" i="84"/>
  <c r="N220" i="84" s="1"/>
  <c r="M220" i="84" s="1"/>
  <c r="J221" i="84"/>
  <c r="K221" i="84"/>
  <c r="L221" i="84"/>
  <c r="P221" i="84"/>
  <c r="O221" i="84" s="1"/>
  <c r="J222" i="84"/>
  <c r="K222" i="84"/>
  <c r="L222" i="84"/>
  <c r="P222" i="84"/>
  <c r="N222" i="84" s="1"/>
  <c r="M222" i="84" s="1"/>
  <c r="J223" i="84"/>
  <c r="K223" i="84"/>
  <c r="L223" i="84"/>
  <c r="P223" i="84"/>
  <c r="N223" i="84" s="1"/>
  <c r="M223" i="84" s="1"/>
  <c r="J224" i="84"/>
  <c r="K224" i="84"/>
  <c r="L224" i="84"/>
  <c r="P224" i="84"/>
  <c r="N224" i="84" s="1"/>
  <c r="M224" i="84" s="1"/>
  <c r="J225" i="84"/>
  <c r="K225" i="84"/>
  <c r="L225" i="84"/>
  <c r="P225" i="84"/>
  <c r="N225" i="84" s="1"/>
  <c r="M225" i="84" s="1"/>
  <c r="J226" i="84"/>
  <c r="K226" i="84"/>
  <c r="L226" i="84"/>
  <c r="P226" i="84"/>
  <c r="N226" i="84" s="1"/>
  <c r="M226" i="84" s="1"/>
  <c r="J227" i="84"/>
  <c r="K227" i="84"/>
  <c r="L227" i="84"/>
  <c r="P227" i="84"/>
  <c r="N227" i="84" s="1"/>
  <c r="M227" i="84" s="1"/>
  <c r="J228" i="84"/>
  <c r="K228" i="84"/>
  <c r="L228" i="84"/>
  <c r="P228" i="84"/>
  <c r="N228" i="84" s="1"/>
  <c r="M228" i="84" s="1"/>
  <c r="J229" i="84"/>
  <c r="K229" i="84"/>
  <c r="L229" i="84"/>
  <c r="P229" i="84"/>
  <c r="O229" i="84" s="1"/>
  <c r="J230" i="84"/>
  <c r="K230" i="84"/>
  <c r="L230" i="84"/>
  <c r="P230" i="84"/>
  <c r="N230" i="84" s="1"/>
  <c r="M230" i="84" s="1"/>
  <c r="J231" i="84"/>
  <c r="K231" i="84"/>
  <c r="L231" i="84"/>
  <c r="P231" i="84"/>
  <c r="N231" i="84" s="1"/>
  <c r="M231" i="84" s="1"/>
  <c r="J232" i="84"/>
  <c r="K232" i="84"/>
  <c r="L232" i="84"/>
  <c r="P232" i="84"/>
  <c r="N232" i="84" s="1"/>
  <c r="M232" i="84" s="1"/>
  <c r="J233" i="84"/>
  <c r="K233" i="84"/>
  <c r="L233" i="84"/>
  <c r="P233" i="84"/>
  <c r="N233" i="84" s="1"/>
  <c r="M233" i="84" s="1"/>
  <c r="G220" i="84"/>
  <c r="F220" i="84" s="1"/>
  <c r="G221" i="84"/>
  <c r="F221" i="84" s="1"/>
  <c r="G222" i="84"/>
  <c r="F222" i="84" s="1"/>
  <c r="G223" i="84"/>
  <c r="F223" i="84" s="1"/>
  <c r="G224" i="84"/>
  <c r="F224" i="84" s="1"/>
  <c r="G225" i="84"/>
  <c r="F225" i="84" s="1"/>
  <c r="G226" i="84"/>
  <c r="F226" i="84" s="1"/>
  <c r="G227" i="84"/>
  <c r="F227" i="84" s="1"/>
  <c r="G228" i="84"/>
  <c r="F228" i="84" s="1"/>
  <c r="G229" i="84"/>
  <c r="F229" i="84" s="1"/>
  <c r="G230" i="84"/>
  <c r="F230" i="84" s="1"/>
  <c r="G231" i="84"/>
  <c r="F231" i="84" s="1"/>
  <c r="G232" i="84"/>
  <c r="F232" i="84" s="1"/>
  <c r="G233" i="84"/>
  <c r="F233" i="84" s="1"/>
  <c r="O194" i="60" l="1"/>
  <c r="O200" i="60"/>
  <c r="O198" i="60"/>
  <c r="O196" i="60"/>
  <c r="O202" i="60"/>
  <c r="O199" i="60"/>
  <c r="O197" i="60"/>
  <c r="O195" i="60"/>
  <c r="N221" i="84"/>
  <c r="M221" i="84" s="1"/>
  <c r="N229" i="84"/>
  <c r="M229" i="84" s="1"/>
  <c r="O233" i="84"/>
  <c r="O225" i="84"/>
  <c r="O230" i="84"/>
  <c r="O226" i="84"/>
  <c r="O222" i="84"/>
  <c r="O231" i="84"/>
  <c r="O227" i="84"/>
  <c r="O223" i="84"/>
  <c r="O232" i="84"/>
  <c r="O228" i="84"/>
  <c r="O224" i="84"/>
  <c r="O220" i="84"/>
  <c r="A241" i="86" l="1"/>
  <c r="A242" i="86"/>
  <c r="A243" i="86"/>
  <c r="A244" i="86"/>
  <c r="A245" i="86"/>
  <c r="A246" i="86"/>
  <c r="A247" i="86"/>
  <c r="A248" i="86"/>
  <c r="A249" i="86"/>
  <c r="A250" i="86"/>
  <c r="A251" i="86"/>
  <c r="N192" i="60" l="1"/>
  <c r="M192" i="60"/>
  <c r="L192" i="60"/>
  <c r="K192" i="60"/>
  <c r="J192" i="60"/>
  <c r="I192" i="60"/>
  <c r="H192" i="60"/>
  <c r="G192" i="60"/>
  <c r="F192" i="60"/>
  <c r="E192" i="60"/>
  <c r="D192" i="60"/>
  <c r="C192" i="60"/>
  <c r="B192" i="60"/>
  <c r="A192" i="60"/>
  <c r="N191" i="60"/>
  <c r="M191" i="60"/>
  <c r="L191" i="60"/>
  <c r="K191" i="60"/>
  <c r="J191" i="60"/>
  <c r="I191" i="60"/>
  <c r="H191" i="60"/>
  <c r="G191" i="60"/>
  <c r="F191" i="60"/>
  <c r="E191" i="60"/>
  <c r="D191" i="60"/>
  <c r="C191" i="60"/>
  <c r="B191" i="60"/>
  <c r="A191" i="60"/>
  <c r="A5" i="60"/>
  <c r="B5" i="60"/>
  <c r="C5" i="60"/>
  <c r="D5" i="60"/>
  <c r="E5" i="60"/>
  <c r="F5" i="60"/>
  <c r="G5" i="60"/>
  <c r="H5" i="60"/>
  <c r="I5" i="60"/>
  <c r="J5" i="60"/>
  <c r="K5" i="60"/>
  <c r="L5" i="60"/>
  <c r="M5" i="60"/>
  <c r="N5" i="60"/>
  <c r="A6" i="60"/>
  <c r="B6" i="60"/>
  <c r="C6" i="60"/>
  <c r="D6" i="60"/>
  <c r="E6" i="60"/>
  <c r="F6" i="60"/>
  <c r="G6" i="60"/>
  <c r="H6" i="60"/>
  <c r="I6" i="60"/>
  <c r="J6" i="60"/>
  <c r="K6" i="60"/>
  <c r="L6" i="60"/>
  <c r="M6" i="60"/>
  <c r="N6" i="60"/>
  <c r="A7" i="60"/>
  <c r="B7" i="60"/>
  <c r="C7" i="60"/>
  <c r="D7" i="60"/>
  <c r="E7" i="60"/>
  <c r="F7" i="60"/>
  <c r="G7" i="60"/>
  <c r="H7" i="60"/>
  <c r="I7" i="60"/>
  <c r="J7" i="60"/>
  <c r="K7" i="60"/>
  <c r="L7" i="60"/>
  <c r="M7" i="60"/>
  <c r="N7" i="60"/>
  <c r="A8" i="60"/>
  <c r="B8" i="60"/>
  <c r="C8" i="60"/>
  <c r="D8" i="60"/>
  <c r="E8" i="60"/>
  <c r="F8" i="60"/>
  <c r="G8" i="60"/>
  <c r="H8" i="60"/>
  <c r="I8" i="60"/>
  <c r="J8" i="60"/>
  <c r="K8" i="60"/>
  <c r="L8" i="60"/>
  <c r="M8" i="60"/>
  <c r="N8" i="60"/>
  <c r="A9" i="60"/>
  <c r="B9" i="60"/>
  <c r="C9" i="60"/>
  <c r="D9" i="60"/>
  <c r="E9" i="60"/>
  <c r="F9" i="60"/>
  <c r="G9" i="60"/>
  <c r="H9" i="60"/>
  <c r="I9" i="60"/>
  <c r="J9" i="60"/>
  <c r="K9" i="60"/>
  <c r="L9" i="60"/>
  <c r="M9" i="60"/>
  <c r="N9" i="60"/>
  <c r="A10" i="60"/>
  <c r="B10" i="60"/>
  <c r="C10" i="60"/>
  <c r="D10" i="60"/>
  <c r="E10" i="60"/>
  <c r="F10" i="60"/>
  <c r="G10" i="60"/>
  <c r="H10" i="60"/>
  <c r="I10" i="60"/>
  <c r="J10" i="60"/>
  <c r="K10" i="60"/>
  <c r="L10" i="60"/>
  <c r="M10" i="60"/>
  <c r="N10" i="60"/>
  <c r="A11" i="60"/>
  <c r="B11" i="60"/>
  <c r="C11" i="60"/>
  <c r="D11" i="60"/>
  <c r="E11" i="60"/>
  <c r="F11" i="60"/>
  <c r="G11" i="60"/>
  <c r="H11" i="60"/>
  <c r="I11" i="60"/>
  <c r="J11" i="60"/>
  <c r="K11" i="60"/>
  <c r="L11" i="60"/>
  <c r="M11" i="60"/>
  <c r="N11" i="60"/>
  <c r="A12" i="60"/>
  <c r="B12" i="60"/>
  <c r="C12" i="60"/>
  <c r="D12" i="60"/>
  <c r="E12" i="60"/>
  <c r="F12" i="60"/>
  <c r="G12" i="60"/>
  <c r="H12" i="60"/>
  <c r="I12" i="60"/>
  <c r="J12" i="60"/>
  <c r="K12" i="60"/>
  <c r="L12" i="60"/>
  <c r="M12" i="60"/>
  <c r="N12" i="60"/>
  <c r="A13" i="60"/>
  <c r="B13" i="60"/>
  <c r="C13" i="60"/>
  <c r="D13" i="60"/>
  <c r="E13" i="60"/>
  <c r="F13" i="60"/>
  <c r="G13" i="60"/>
  <c r="H13" i="60"/>
  <c r="I13" i="60"/>
  <c r="J13" i="60"/>
  <c r="K13" i="60"/>
  <c r="L13" i="60"/>
  <c r="M13" i="60"/>
  <c r="N13" i="60"/>
  <c r="A14" i="60"/>
  <c r="B14" i="60"/>
  <c r="C14" i="60"/>
  <c r="D14" i="60"/>
  <c r="E14" i="60"/>
  <c r="F14" i="60"/>
  <c r="G14" i="60"/>
  <c r="H14" i="60"/>
  <c r="I14" i="60"/>
  <c r="J14" i="60"/>
  <c r="K14" i="60"/>
  <c r="L14" i="60"/>
  <c r="M14" i="60"/>
  <c r="N14" i="60"/>
  <c r="A15" i="60"/>
  <c r="B15" i="60"/>
  <c r="C15" i="60"/>
  <c r="D15" i="60"/>
  <c r="E15" i="60"/>
  <c r="F15" i="60"/>
  <c r="G15" i="60"/>
  <c r="H15" i="60"/>
  <c r="I15" i="60"/>
  <c r="J15" i="60"/>
  <c r="K15" i="60"/>
  <c r="L15" i="60"/>
  <c r="M15" i="60"/>
  <c r="N15" i="60"/>
  <c r="A16" i="60"/>
  <c r="B16" i="60"/>
  <c r="C16" i="60"/>
  <c r="D16" i="60"/>
  <c r="E16" i="60"/>
  <c r="F16" i="60"/>
  <c r="G16" i="60"/>
  <c r="H16" i="60"/>
  <c r="I16" i="60"/>
  <c r="J16" i="60"/>
  <c r="K16" i="60"/>
  <c r="L16" i="60"/>
  <c r="M16" i="60"/>
  <c r="N16" i="60"/>
  <c r="A17" i="60"/>
  <c r="B17" i="60"/>
  <c r="C17" i="60"/>
  <c r="D17" i="60"/>
  <c r="E17" i="60"/>
  <c r="F17" i="60"/>
  <c r="G17" i="60"/>
  <c r="H17" i="60"/>
  <c r="I17" i="60"/>
  <c r="J17" i="60"/>
  <c r="K17" i="60"/>
  <c r="L17" i="60"/>
  <c r="M17" i="60"/>
  <c r="N17" i="60"/>
  <c r="A18" i="60"/>
  <c r="B18" i="60"/>
  <c r="C18" i="60"/>
  <c r="D18" i="60"/>
  <c r="E18" i="60"/>
  <c r="F18" i="60"/>
  <c r="G18" i="60"/>
  <c r="H18" i="60"/>
  <c r="I18" i="60"/>
  <c r="J18" i="60"/>
  <c r="K18" i="60"/>
  <c r="L18" i="60"/>
  <c r="M18" i="60"/>
  <c r="N18" i="60"/>
  <c r="A19" i="60"/>
  <c r="B19" i="60"/>
  <c r="C19" i="60"/>
  <c r="D19" i="60"/>
  <c r="E19" i="60"/>
  <c r="F19" i="60"/>
  <c r="G19" i="60"/>
  <c r="H19" i="60"/>
  <c r="I19" i="60"/>
  <c r="J19" i="60"/>
  <c r="K19" i="60"/>
  <c r="L19" i="60"/>
  <c r="M19" i="60"/>
  <c r="N19" i="60"/>
  <c r="A20" i="60"/>
  <c r="B20" i="60"/>
  <c r="C20" i="60"/>
  <c r="D20" i="60"/>
  <c r="E20" i="60"/>
  <c r="F20" i="60"/>
  <c r="G20" i="60"/>
  <c r="H20" i="60"/>
  <c r="I20" i="60"/>
  <c r="J20" i="60"/>
  <c r="K20" i="60"/>
  <c r="L20" i="60"/>
  <c r="M20" i="60"/>
  <c r="N20" i="60"/>
  <c r="A21" i="60"/>
  <c r="B21" i="60"/>
  <c r="C21" i="60"/>
  <c r="D21" i="60"/>
  <c r="E21" i="60"/>
  <c r="F21" i="60"/>
  <c r="G21" i="60"/>
  <c r="H21" i="60"/>
  <c r="I21" i="60"/>
  <c r="J21" i="60"/>
  <c r="K21" i="60"/>
  <c r="L21" i="60"/>
  <c r="M21" i="60"/>
  <c r="N21" i="60"/>
  <c r="A22" i="60"/>
  <c r="B22" i="60"/>
  <c r="C22" i="60"/>
  <c r="D22" i="60"/>
  <c r="E22" i="60"/>
  <c r="F22" i="60"/>
  <c r="G22" i="60"/>
  <c r="H22" i="60"/>
  <c r="I22" i="60"/>
  <c r="J22" i="60"/>
  <c r="K22" i="60"/>
  <c r="L22" i="60"/>
  <c r="M22" i="60"/>
  <c r="N22" i="60"/>
  <c r="A23" i="60"/>
  <c r="B23" i="60"/>
  <c r="C23" i="60"/>
  <c r="D23" i="60"/>
  <c r="E23" i="60"/>
  <c r="F23" i="60"/>
  <c r="G23" i="60"/>
  <c r="H23" i="60"/>
  <c r="I23" i="60"/>
  <c r="J23" i="60"/>
  <c r="K23" i="60"/>
  <c r="L23" i="60"/>
  <c r="M23" i="60"/>
  <c r="N23" i="60"/>
  <c r="A24" i="60"/>
  <c r="B24" i="60"/>
  <c r="C24" i="60"/>
  <c r="D24" i="60"/>
  <c r="E24" i="60"/>
  <c r="F24" i="60"/>
  <c r="G24" i="60"/>
  <c r="H24" i="60"/>
  <c r="I24" i="60"/>
  <c r="J24" i="60"/>
  <c r="K24" i="60"/>
  <c r="L24" i="60"/>
  <c r="M24" i="60"/>
  <c r="N24" i="60"/>
  <c r="A25" i="60"/>
  <c r="B25" i="60"/>
  <c r="C25" i="60"/>
  <c r="D25" i="60"/>
  <c r="E25" i="60"/>
  <c r="F25" i="60"/>
  <c r="G25" i="60"/>
  <c r="H25" i="60"/>
  <c r="I25" i="60"/>
  <c r="J25" i="60"/>
  <c r="K25" i="60"/>
  <c r="L25" i="60"/>
  <c r="M25" i="60"/>
  <c r="N25" i="60"/>
  <c r="A26" i="60"/>
  <c r="B26" i="60"/>
  <c r="C26" i="60"/>
  <c r="D26" i="60"/>
  <c r="E26" i="60"/>
  <c r="F26" i="60"/>
  <c r="G26" i="60"/>
  <c r="H26" i="60"/>
  <c r="I26" i="60"/>
  <c r="J26" i="60"/>
  <c r="K26" i="60"/>
  <c r="L26" i="60"/>
  <c r="M26" i="60"/>
  <c r="N26" i="60"/>
  <c r="A27" i="60"/>
  <c r="B27" i="60"/>
  <c r="C27" i="60"/>
  <c r="D27" i="60"/>
  <c r="E27" i="60"/>
  <c r="F27" i="60"/>
  <c r="G27" i="60"/>
  <c r="H27" i="60"/>
  <c r="I27" i="60"/>
  <c r="J27" i="60"/>
  <c r="K27" i="60"/>
  <c r="L27" i="60"/>
  <c r="M27" i="60"/>
  <c r="N27" i="60"/>
  <c r="A28" i="60"/>
  <c r="B28" i="60"/>
  <c r="C28" i="60"/>
  <c r="D28" i="60"/>
  <c r="E28" i="60"/>
  <c r="F28" i="60"/>
  <c r="G28" i="60"/>
  <c r="H28" i="60"/>
  <c r="I28" i="60"/>
  <c r="J28" i="60"/>
  <c r="K28" i="60"/>
  <c r="L28" i="60"/>
  <c r="M28" i="60"/>
  <c r="N28" i="60"/>
  <c r="A29" i="60"/>
  <c r="B29" i="60"/>
  <c r="C29" i="60"/>
  <c r="D29" i="60"/>
  <c r="E29" i="60"/>
  <c r="F29" i="60"/>
  <c r="G29" i="60"/>
  <c r="H29" i="60"/>
  <c r="I29" i="60"/>
  <c r="J29" i="60"/>
  <c r="K29" i="60"/>
  <c r="L29" i="60"/>
  <c r="M29" i="60"/>
  <c r="N29" i="60"/>
  <c r="A30" i="60"/>
  <c r="B30" i="60"/>
  <c r="C30" i="60"/>
  <c r="D30" i="60"/>
  <c r="E30" i="60"/>
  <c r="F30" i="60"/>
  <c r="G30" i="60"/>
  <c r="H30" i="60"/>
  <c r="I30" i="60"/>
  <c r="J30" i="60"/>
  <c r="K30" i="60"/>
  <c r="L30" i="60"/>
  <c r="M30" i="60"/>
  <c r="N30" i="60"/>
  <c r="A31" i="60"/>
  <c r="B31" i="60"/>
  <c r="C31" i="60"/>
  <c r="D31" i="60"/>
  <c r="E31" i="60"/>
  <c r="F31" i="60"/>
  <c r="G31" i="60"/>
  <c r="H31" i="60"/>
  <c r="I31" i="60"/>
  <c r="J31" i="60"/>
  <c r="K31" i="60"/>
  <c r="L31" i="60"/>
  <c r="M31" i="60"/>
  <c r="N31" i="60"/>
  <c r="A32" i="60"/>
  <c r="B32" i="60"/>
  <c r="C32" i="60"/>
  <c r="D32" i="60"/>
  <c r="E32" i="60"/>
  <c r="F32" i="60"/>
  <c r="G32" i="60"/>
  <c r="H32" i="60"/>
  <c r="I32" i="60"/>
  <c r="J32" i="60"/>
  <c r="K32" i="60"/>
  <c r="L32" i="60"/>
  <c r="M32" i="60"/>
  <c r="N32" i="60"/>
  <c r="A33" i="60"/>
  <c r="B33" i="60"/>
  <c r="C33" i="60"/>
  <c r="D33" i="60"/>
  <c r="E33" i="60"/>
  <c r="F33" i="60"/>
  <c r="G33" i="60"/>
  <c r="H33" i="60"/>
  <c r="I33" i="60"/>
  <c r="J33" i="60"/>
  <c r="K33" i="60"/>
  <c r="L33" i="60"/>
  <c r="M33" i="60"/>
  <c r="N33" i="60"/>
  <c r="A34" i="60"/>
  <c r="B34" i="60"/>
  <c r="C34" i="60"/>
  <c r="D34" i="60"/>
  <c r="E34" i="60"/>
  <c r="F34" i="60"/>
  <c r="G34" i="60"/>
  <c r="H34" i="60"/>
  <c r="I34" i="60"/>
  <c r="J34" i="60"/>
  <c r="K34" i="60"/>
  <c r="L34" i="60"/>
  <c r="M34" i="60"/>
  <c r="N34" i="60"/>
  <c r="A35" i="60"/>
  <c r="B35" i="60"/>
  <c r="C35" i="60"/>
  <c r="D35" i="60"/>
  <c r="E35" i="60"/>
  <c r="F35" i="60"/>
  <c r="G35" i="60"/>
  <c r="H35" i="60"/>
  <c r="I35" i="60"/>
  <c r="J35" i="60"/>
  <c r="K35" i="60"/>
  <c r="L35" i="60"/>
  <c r="M35" i="60"/>
  <c r="N35" i="60"/>
  <c r="A36" i="60"/>
  <c r="B36" i="60"/>
  <c r="C36" i="60"/>
  <c r="D36" i="60"/>
  <c r="E36" i="60"/>
  <c r="F36" i="60"/>
  <c r="G36" i="60"/>
  <c r="H36" i="60"/>
  <c r="I36" i="60"/>
  <c r="J36" i="60"/>
  <c r="K36" i="60"/>
  <c r="L36" i="60"/>
  <c r="M36" i="60"/>
  <c r="N36" i="60"/>
  <c r="A37" i="60"/>
  <c r="B37" i="60"/>
  <c r="C37" i="60"/>
  <c r="D37" i="60"/>
  <c r="E37" i="60"/>
  <c r="F37" i="60"/>
  <c r="G37" i="60"/>
  <c r="H37" i="60"/>
  <c r="I37" i="60"/>
  <c r="J37" i="60"/>
  <c r="K37" i="60"/>
  <c r="L37" i="60"/>
  <c r="M37" i="60"/>
  <c r="N37" i="60"/>
  <c r="A38" i="60"/>
  <c r="B38" i="60"/>
  <c r="C38" i="60"/>
  <c r="D38" i="60"/>
  <c r="E38" i="60"/>
  <c r="F38" i="60"/>
  <c r="G38" i="60"/>
  <c r="H38" i="60"/>
  <c r="I38" i="60"/>
  <c r="J38" i="60"/>
  <c r="K38" i="60"/>
  <c r="L38" i="60"/>
  <c r="M38" i="60"/>
  <c r="N38" i="60"/>
  <c r="A39" i="60"/>
  <c r="B39" i="60"/>
  <c r="C39" i="60"/>
  <c r="D39" i="60"/>
  <c r="E39" i="60"/>
  <c r="F39" i="60"/>
  <c r="G39" i="60"/>
  <c r="H39" i="60"/>
  <c r="I39" i="60"/>
  <c r="J39" i="60"/>
  <c r="K39" i="60"/>
  <c r="L39" i="60"/>
  <c r="M39" i="60"/>
  <c r="N39" i="60"/>
  <c r="A40" i="60"/>
  <c r="B40" i="60"/>
  <c r="C40" i="60"/>
  <c r="D40" i="60"/>
  <c r="E40" i="60"/>
  <c r="F40" i="60"/>
  <c r="G40" i="60"/>
  <c r="H40" i="60"/>
  <c r="I40" i="60"/>
  <c r="J40" i="60"/>
  <c r="K40" i="60"/>
  <c r="L40" i="60"/>
  <c r="M40" i="60"/>
  <c r="N40" i="60"/>
  <c r="A41" i="60"/>
  <c r="B41" i="60"/>
  <c r="C41" i="60"/>
  <c r="D41" i="60"/>
  <c r="E41" i="60"/>
  <c r="F41" i="60"/>
  <c r="G41" i="60"/>
  <c r="H41" i="60"/>
  <c r="I41" i="60"/>
  <c r="J41" i="60"/>
  <c r="K41" i="60"/>
  <c r="L41" i="60"/>
  <c r="M41" i="60"/>
  <c r="N41" i="60"/>
  <c r="A42" i="60"/>
  <c r="B42" i="60"/>
  <c r="C42" i="60"/>
  <c r="D42" i="60"/>
  <c r="E42" i="60"/>
  <c r="F42" i="60"/>
  <c r="G42" i="60"/>
  <c r="H42" i="60"/>
  <c r="I42" i="60"/>
  <c r="J42" i="60"/>
  <c r="K42" i="60"/>
  <c r="L42" i="60"/>
  <c r="M42" i="60"/>
  <c r="N42" i="60"/>
  <c r="A43" i="60"/>
  <c r="B43" i="60"/>
  <c r="C43" i="60"/>
  <c r="D43" i="60"/>
  <c r="E43" i="60"/>
  <c r="F43" i="60"/>
  <c r="G43" i="60"/>
  <c r="H43" i="60"/>
  <c r="I43" i="60"/>
  <c r="J43" i="60"/>
  <c r="K43" i="60"/>
  <c r="L43" i="60"/>
  <c r="M43" i="60"/>
  <c r="N43" i="60"/>
  <c r="A44" i="60"/>
  <c r="B44" i="60"/>
  <c r="C44" i="60"/>
  <c r="D44" i="60"/>
  <c r="E44" i="60"/>
  <c r="F44" i="60"/>
  <c r="G44" i="60"/>
  <c r="H44" i="60"/>
  <c r="I44" i="60"/>
  <c r="J44" i="60"/>
  <c r="K44" i="60"/>
  <c r="L44" i="60"/>
  <c r="M44" i="60"/>
  <c r="N44" i="60"/>
  <c r="A45" i="60"/>
  <c r="B45" i="60"/>
  <c r="C45" i="60"/>
  <c r="D45" i="60"/>
  <c r="E45" i="60"/>
  <c r="F45" i="60"/>
  <c r="G45" i="60"/>
  <c r="H45" i="60"/>
  <c r="I45" i="60"/>
  <c r="J45" i="60"/>
  <c r="K45" i="60"/>
  <c r="L45" i="60"/>
  <c r="M45" i="60"/>
  <c r="N45" i="60"/>
  <c r="A46" i="60"/>
  <c r="B46" i="60"/>
  <c r="C46" i="60"/>
  <c r="D46" i="60"/>
  <c r="E46" i="60"/>
  <c r="F46" i="60"/>
  <c r="G46" i="60"/>
  <c r="H46" i="60"/>
  <c r="I46" i="60"/>
  <c r="J46" i="60"/>
  <c r="K46" i="60"/>
  <c r="L46" i="60"/>
  <c r="M46" i="60"/>
  <c r="N46" i="60"/>
  <c r="A47" i="60"/>
  <c r="B47" i="60"/>
  <c r="C47" i="60"/>
  <c r="D47" i="60"/>
  <c r="E47" i="60"/>
  <c r="F47" i="60"/>
  <c r="G47" i="60"/>
  <c r="H47" i="60"/>
  <c r="I47" i="60"/>
  <c r="J47" i="60"/>
  <c r="K47" i="60"/>
  <c r="L47" i="60"/>
  <c r="M47" i="60"/>
  <c r="N47" i="60"/>
  <c r="A48" i="60"/>
  <c r="B48" i="60"/>
  <c r="C48" i="60"/>
  <c r="D48" i="60"/>
  <c r="E48" i="60"/>
  <c r="F48" i="60"/>
  <c r="G48" i="60"/>
  <c r="H48" i="60"/>
  <c r="I48" i="60"/>
  <c r="J48" i="60"/>
  <c r="K48" i="60"/>
  <c r="L48" i="60"/>
  <c r="M48" i="60"/>
  <c r="N48" i="60"/>
  <c r="A49" i="60"/>
  <c r="B49" i="60"/>
  <c r="C49" i="60"/>
  <c r="D49" i="60"/>
  <c r="E49" i="60"/>
  <c r="F49" i="60"/>
  <c r="G49" i="60"/>
  <c r="H49" i="60"/>
  <c r="I49" i="60"/>
  <c r="J49" i="60"/>
  <c r="K49" i="60"/>
  <c r="L49" i="60"/>
  <c r="M49" i="60"/>
  <c r="N49" i="60"/>
  <c r="A50" i="60"/>
  <c r="B50" i="60"/>
  <c r="C50" i="60"/>
  <c r="D50" i="60"/>
  <c r="E50" i="60"/>
  <c r="F50" i="60"/>
  <c r="G50" i="60"/>
  <c r="H50" i="60"/>
  <c r="I50" i="60"/>
  <c r="J50" i="60"/>
  <c r="K50" i="60"/>
  <c r="L50" i="60"/>
  <c r="M50" i="60"/>
  <c r="N50" i="60"/>
  <c r="A51" i="60"/>
  <c r="B51" i="60"/>
  <c r="C51" i="60"/>
  <c r="D51" i="60"/>
  <c r="E51" i="60"/>
  <c r="F51" i="60"/>
  <c r="G51" i="60"/>
  <c r="H51" i="60"/>
  <c r="I51" i="60"/>
  <c r="J51" i="60"/>
  <c r="K51" i="60"/>
  <c r="L51" i="60"/>
  <c r="M51" i="60"/>
  <c r="N51" i="60"/>
  <c r="A52" i="60"/>
  <c r="B52" i="60"/>
  <c r="C52" i="60"/>
  <c r="D52" i="60"/>
  <c r="E52" i="60"/>
  <c r="F52" i="60"/>
  <c r="G52" i="60"/>
  <c r="H52" i="60"/>
  <c r="I52" i="60"/>
  <c r="J52" i="60"/>
  <c r="K52" i="60"/>
  <c r="L52" i="60"/>
  <c r="M52" i="60"/>
  <c r="N52" i="60"/>
  <c r="A53" i="60"/>
  <c r="B53" i="60"/>
  <c r="C53" i="60"/>
  <c r="D53" i="60"/>
  <c r="E53" i="60"/>
  <c r="F53" i="60"/>
  <c r="G53" i="60"/>
  <c r="H53" i="60"/>
  <c r="I53" i="60"/>
  <c r="J53" i="60"/>
  <c r="K53" i="60"/>
  <c r="L53" i="60"/>
  <c r="M53" i="60"/>
  <c r="N53" i="60"/>
  <c r="A54" i="60"/>
  <c r="B54" i="60"/>
  <c r="C54" i="60"/>
  <c r="D54" i="60"/>
  <c r="E54" i="60"/>
  <c r="F54" i="60"/>
  <c r="G54" i="60"/>
  <c r="H54" i="60"/>
  <c r="I54" i="60"/>
  <c r="J54" i="60"/>
  <c r="K54" i="60"/>
  <c r="L54" i="60"/>
  <c r="M54" i="60"/>
  <c r="N54" i="60"/>
  <c r="A55" i="60"/>
  <c r="B55" i="60"/>
  <c r="C55" i="60"/>
  <c r="D55" i="60"/>
  <c r="E55" i="60"/>
  <c r="F55" i="60"/>
  <c r="G55" i="60"/>
  <c r="H55" i="60"/>
  <c r="I55" i="60"/>
  <c r="J55" i="60"/>
  <c r="K55" i="60"/>
  <c r="L55" i="60"/>
  <c r="M55" i="60"/>
  <c r="N55" i="60"/>
  <c r="A56" i="60"/>
  <c r="B56" i="60"/>
  <c r="C56" i="60"/>
  <c r="D56" i="60"/>
  <c r="E56" i="60"/>
  <c r="F56" i="60"/>
  <c r="G56" i="60"/>
  <c r="H56" i="60"/>
  <c r="I56" i="60"/>
  <c r="J56" i="60"/>
  <c r="K56" i="60"/>
  <c r="L56" i="60"/>
  <c r="M56" i="60"/>
  <c r="N56" i="60"/>
  <c r="A57" i="60"/>
  <c r="B57" i="60"/>
  <c r="C57" i="60"/>
  <c r="D57" i="60"/>
  <c r="E57" i="60"/>
  <c r="F57" i="60"/>
  <c r="G57" i="60"/>
  <c r="H57" i="60"/>
  <c r="I57" i="60"/>
  <c r="J57" i="60"/>
  <c r="K57" i="60"/>
  <c r="L57" i="60"/>
  <c r="M57" i="60"/>
  <c r="N57" i="60"/>
  <c r="A58" i="60"/>
  <c r="B58" i="60"/>
  <c r="C58" i="60"/>
  <c r="D58" i="60"/>
  <c r="E58" i="60"/>
  <c r="F58" i="60"/>
  <c r="G58" i="60"/>
  <c r="H58" i="60"/>
  <c r="I58" i="60"/>
  <c r="J58" i="60"/>
  <c r="K58" i="60"/>
  <c r="L58" i="60"/>
  <c r="M58" i="60"/>
  <c r="N58" i="60"/>
  <c r="A59" i="60"/>
  <c r="B59" i="60"/>
  <c r="C59" i="60"/>
  <c r="D59" i="60"/>
  <c r="E59" i="60"/>
  <c r="F59" i="60"/>
  <c r="G59" i="60"/>
  <c r="H59" i="60"/>
  <c r="I59" i="60"/>
  <c r="J59" i="60"/>
  <c r="K59" i="60"/>
  <c r="L59" i="60"/>
  <c r="M59" i="60"/>
  <c r="N59" i="60"/>
  <c r="A60" i="60"/>
  <c r="B60" i="60"/>
  <c r="C60" i="60"/>
  <c r="D60" i="60"/>
  <c r="E60" i="60"/>
  <c r="F60" i="60"/>
  <c r="G60" i="60"/>
  <c r="H60" i="60"/>
  <c r="I60" i="60"/>
  <c r="J60" i="60"/>
  <c r="K60" i="60"/>
  <c r="L60" i="60"/>
  <c r="M60" i="60"/>
  <c r="N60" i="60"/>
  <c r="A61" i="60"/>
  <c r="B61" i="60"/>
  <c r="C61" i="60"/>
  <c r="D61" i="60"/>
  <c r="E61" i="60"/>
  <c r="F61" i="60"/>
  <c r="G61" i="60"/>
  <c r="H61" i="60"/>
  <c r="I61" i="60"/>
  <c r="J61" i="60"/>
  <c r="K61" i="60"/>
  <c r="L61" i="60"/>
  <c r="M61" i="60"/>
  <c r="N61" i="60"/>
  <c r="A62" i="60"/>
  <c r="B62" i="60"/>
  <c r="C62" i="60"/>
  <c r="D62" i="60"/>
  <c r="E62" i="60"/>
  <c r="F62" i="60"/>
  <c r="G62" i="60"/>
  <c r="H62" i="60"/>
  <c r="I62" i="60"/>
  <c r="J62" i="60"/>
  <c r="K62" i="60"/>
  <c r="L62" i="60"/>
  <c r="M62" i="60"/>
  <c r="N62" i="60"/>
  <c r="A63" i="60"/>
  <c r="B63" i="60"/>
  <c r="C63" i="60"/>
  <c r="D63" i="60"/>
  <c r="E63" i="60"/>
  <c r="F63" i="60"/>
  <c r="G63" i="60"/>
  <c r="H63" i="60"/>
  <c r="I63" i="60"/>
  <c r="J63" i="60"/>
  <c r="K63" i="60"/>
  <c r="L63" i="60"/>
  <c r="M63" i="60"/>
  <c r="N63" i="60"/>
  <c r="A64" i="60"/>
  <c r="B64" i="60"/>
  <c r="C64" i="60"/>
  <c r="D64" i="60"/>
  <c r="E64" i="60"/>
  <c r="F64" i="60"/>
  <c r="G64" i="60"/>
  <c r="H64" i="60"/>
  <c r="I64" i="60"/>
  <c r="J64" i="60"/>
  <c r="K64" i="60"/>
  <c r="L64" i="60"/>
  <c r="M64" i="60"/>
  <c r="N64" i="60"/>
  <c r="A65" i="60"/>
  <c r="B65" i="60"/>
  <c r="C65" i="60"/>
  <c r="D65" i="60"/>
  <c r="E65" i="60"/>
  <c r="F65" i="60"/>
  <c r="G65" i="60"/>
  <c r="H65" i="60"/>
  <c r="I65" i="60"/>
  <c r="J65" i="60"/>
  <c r="K65" i="60"/>
  <c r="L65" i="60"/>
  <c r="M65" i="60"/>
  <c r="N65" i="60"/>
  <c r="A66" i="60"/>
  <c r="B66" i="60"/>
  <c r="C66" i="60"/>
  <c r="D66" i="60"/>
  <c r="E66" i="60"/>
  <c r="F66" i="60"/>
  <c r="G66" i="60"/>
  <c r="H66" i="60"/>
  <c r="I66" i="60"/>
  <c r="J66" i="60"/>
  <c r="K66" i="60"/>
  <c r="L66" i="60"/>
  <c r="M66" i="60"/>
  <c r="N66" i="60"/>
  <c r="A67" i="60"/>
  <c r="B67" i="60"/>
  <c r="C67" i="60"/>
  <c r="D67" i="60"/>
  <c r="E67" i="60"/>
  <c r="F67" i="60"/>
  <c r="G67" i="60"/>
  <c r="H67" i="60"/>
  <c r="I67" i="60"/>
  <c r="J67" i="60"/>
  <c r="K67" i="60"/>
  <c r="L67" i="60"/>
  <c r="M67" i="60"/>
  <c r="N67" i="60"/>
  <c r="A68" i="60"/>
  <c r="B68" i="60"/>
  <c r="C68" i="60"/>
  <c r="D68" i="60"/>
  <c r="E68" i="60"/>
  <c r="F68" i="60"/>
  <c r="G68" i="60"/>
  <c r="H68" i="60"/>
  <c r="I68" i="60"/>
  <c r="J68" i="60"/>
  <c r="K68" i="60"/>
  <c r="L68" i="60"/>
  <c r="M68" i="60"/>
  <c r="N68" i="60"/>
  <c r="A69" i="60"/>
  <c r="B69" i="60"/>
  <c r="C69" i="60"/>
  <c r="D69" i="60"/>
  <c r="E69" i="60"/>
  <c r="F69" i="60"/>
  <c r="G69" i="60"/>
  <c r="H69" i="60"/>
  <c r="I69" i="60"/>
  <c r="J69" i="60"/>
  <c r="K69" i="60"/>
  <c r="L69" i="60"/>
  <c r="M69" i="60"/>
  <c r="N69" i="60"/>
  <c r="A70" i="60"/>
  <c r="B70" i="60"/>
  <c r="C70" i="60"/>
  <c r="D70" i="60"/>
  <c r="E70" i="60"/>
  <c r="F70" i="60"/>
  <c r="G70" i="60"/>
  <c r="H70" i="60"/>
  <c r="I70" i="60"/>
  <c r="J70" i="60"/>
  <c r="K70" i="60"/>
  <c r="L70" i="60"/>
  <c r="M70" i="60"/>
  <c r="N70" i="60"/>
  <c r="A71" i="60"/>
  <c r="B71" i="60"/>
  <c r="C71" i="60"/>
  <c r="D71" i="60"/>
  <c r="E71" i="60"/>
  <c r="F71" i="60"/>
  <c r="G71" i="60"/>
  <c r="H71" i="60"/>
  <c r="I71" i="60"/>
  <c r="J71" i="60"/>
  <c r="K71" i="60"/>
  <c r="L71" i="60"/>
  <c r="M71" i="60"/>
  <c r="N71" i="60"/>
  <c r="A72" i="60"/>
  <c r="B72" i="60"/>
  <c r="C72" i="60"/>
  <c r="D72" i="60"/>
  <c r="E72" i="60"/>
  <c r="F72" i="60"/>
  <c r="G72" i="60"/>
  <c r="H72" i="60"/>
  <c r="I72" i="60"/>
  <c r="J72" i="60"/>
  <c r="K72" i="60"/>
  <c r="L72" i="60"/>
  <c r="M72" i="60"/>
  <c r="N72" i="60"/>
  <c r="A73" i="60"/>
  <c r="B73" i="60"/>
  <c r="C73" i="60"/>
  <c r="D73" i="60"/>
  <c r="E73" i="60"/>
  <c r="F73" i="60"/>
  <c r="G73" i="60"/>
  <c r="H73" i="60"/>
  <c r="I73" i="60"/>
  <c r="J73" i="60"/>
  <c r="K73" i="60"/>
  <c r="L73" i="60"/>
  <c r="M73" i="60"/>
  <c r="N73" i="60"/>
  <c r="A74" i="60"/>
  <c r="B74" i="60"/>
  <c r="C74" i="60"/>
  <c r="D74" i="60"/>
  <c r="E74" i="60"/>
  <c r="F74" i="60"/>
  <c r="G74" i="60"/>
  <c r="H74" i="60"/>
  <c r="I74" i="60"/>
  <c r="J74" i="60"/>
  <c r="K74" i="60"/>
  <c r="L74" i="60"/>
  <c r="M74" i="60"/>
  <c r="N74" i="60"/>
  <c r="A75" i="60"/>
  <c r="B75" i="60"/>
  <c r="C75" i="60"/>
  <c r="D75" i="60"/>
  <c r="E75" i="60"/>
  <c r="F75" i="60"/>
  <c r="G75" i="60"/>
  <c r="H75" i="60"/>
  <c r="I75" i="60"/>
  <c r="J75" i="60"/>
  <c r="K75" i="60"/>
  <c r="L75" i="60"/>
  <c r="M75" i="60"/>
  <c r="N75" i="60"/>
  <c r="A76" i="60"/>
  <c r="B76" i="60"/>
  <c r="C76" i="60"/>
  <c r="D76" i="60"/>
  <c r="E76" i="60"/>
  <c r="F76" i="60"/>
  <c r="G76" i="60"/>
  <c r="H76" i="60"/>
  <c r="I76" i="60"/>
  <c r="J76" i="60"/>
  <c r="K76" i="60"/>
  <c r="L76" i="60"/>
  <c r="M76" i="60"/>
  <c r="N76" i="60"/>
  <c r="A77" i="60"/>
  <c r="B77" i="60"/>
  <c r="C77" i="60"/>
  <c r="D77" i="60"/>
  <c r="E77" i="60"/>
  <c r="F77" i="60"/>
  <c r="G77" i="60"/>
  <c r="H77" i="60"/>
  <c r="I77" i="60"/>
  <c r="J77" i="60"/>
  <c r="K77" i="60"/>
  <c r="L77" i="60"/>
  <c r="M77" i="60"/>
  <c r="N77" i="60"/>
  <c r="A78" i="60"/>
  <c r="B78" i="60"/>
  <c r="C78" i="60"/>
  <c r="D78" i="60"/>
  <c r="E78" i="60"/>
  <c r="F78" i="60"/>
  <c r="G78" i="60"/>
  <c r="H78" i="60"/>
  <c r="I78" i="60"/>
  <c r="J78" i="60"/>
  <c r="K78" i="60"/>
  <c r="L78" i="60"/>
  <c r="M78" i="60"/>
  <c r="N78" i="60"/>
  <c r="A79" i="60"/>
  <c r="B79" i="60"/>
  <c r="C79" i="60"/>
  <c r="D79" i="60"/>
  <c r="E79" i="60"/>
  <c r="F79" i="60"/>
  <c r="G79" i="60"/>
  <c r="H79" i="60"/>
  <c r="I79" i="60"/>
  <c r="J79" i="60"/>
  <c r="K79" i="60"/>
  <c r="L79" i="60"/>
  <c r="M79" i="60"/>
  <c r="N79" i="60"/>
  <c r="A80" i="60"/>
  <c r="B80" i="60"/>
  <c r="C80" i="60"/>
  <c r="D80" i="60"/>
  <c r="E80" i="60"/>
  <c r="F80" i="60"/>
  <c r="G80" i="60"/>
  <c r="H80" i="60"/>
  <c r="I80" i="60"/>
  <c r="J80" i="60"/>
  <c r="K80" i="60"/>
  <c r="L80" i="60"/>
  <c r="M80" i="60"/>
  <c r="N80" i="60"/>
  <c r="A81" i="60"/>
  <c r="B81" i="60"/>
  <c r="C81" i="60"/>
  <c r="D81" i="60"/>
  <c r="E81" i="60"/>
  <c r="F81" i="60"/>
  <c r="G81" i="60"/>
  <c r="H81" i="60"/>
  <c r="I81" i="60"/>
  <c r="J81" i="60"/>
  <c r="K81" i="60"/>
  <c r="L81" i="60"/>
  <c r="M81" i="60"/>
  <c r="N81" i="60"/>
  <c r="A82" i="60"/>
  <c r="B82" i="60"/>
  <c r="C82" i="60"/>
  <c r="D82" i="60"/>
  <c r="E82" i="60"/>
  <c r="F82" i="60"/>
  <c r="G82" i="60"/>
  <c r="H82" i="60"/>
  <c r="I82" i="60"/>
  <c r="J82" i="60"/>
  <c r="K82" i="60"/>
  <c r="L82" i="60"/>
  <c r="M82" i="60"/>
  <c r="N82" i="60"/>
  <c r="A83" i="60"/>
  <c r="B83" i="60"/>
  <c r="C83" i="60"/>
  <c r="D83" i="60"/>
  <c r="E83" i="60"/>
  <c r="F83" i="60"/>
  <c r="G83" i="60"/>
  <c r="H83" i="60"/>
  <c r="I83" i="60"/>
  <c r="J83" i="60"/>
  <c r="K83" i="60"/>
  <c r="L83" i="60"/>
  <c r="M83" i="60"/>
  <c r="N83" i="60"/>
  <c r="A84" i="60"/>
  <c r="B84" i="60"/>
  <c r="C84" i="60"/>
  <c r="D84" i="60"/>
  <c r="E84" i="60"/>
  <c r="F84" i="60"/>
  <c r="G84" i="60"/>
  <c r="H84" i="60"/>
  <c r="I84" i="60"/>
  <c r="J84" i="60"/>
  <c r="K84" i="60"/>
  <c r="L84" i="60"/>
  <c r="M84" i="60"/>
  <c r="N84" i="60"/>
  <c r="A85" i="60"/>
  <c r="B85" i="60"/>
  <c r="C85" i="60"/>
  <c r="D85" i="60"/>
  <c r="E85" i="60"/>
  <c r="F85" i="60"/>
  <c r="G85" i="60"/>
  <c r="H85" i="60"/>
  <c r="I85" i="60"/>
  <c r="J85" i="60"/>
  <c r="K85" i="60"/>
  <c r="L85" i="60"/>
  <c r="M85" i="60"/>
  <c r="N85" i="60"/>
  <c r="A86" i="60"/>
  <c r="B86" i="60"/>
  <c r="C86" i="60"/>
  <c r="D86" i="60"/>
  <c r="E86" i="60"/>
  <c r="F86" i="60"/>
  <c r="G86" i="60"/>
  <c r="H86" i="60"/>
  <c r="I86" i="60"/>
  <c r="J86" i="60"/>
  <c r="K86" i="60"/>
  <c r="L86" i="60"/>
  <c r="M86" i="60"/>
  <c r="N86" i="60"/>
  <c r="A87" i="60"/>
  <c r="B87" i="60"/>
  <c r="C87" i="60"/>
  <c r="D87" i="60"/>
  <c r="E87" i="60"/>
  <c r="F87" i="60"/>
  <c r="G87" i="60"/>
  <c r="H87" i="60"/>
  <c r="I87" i="60"/>
  <c r="J87" i="60"/>
  <c r="K87" i="60"/>
  <c r="L87" i="60"/>
  <c r="M87" i="60"/>
  <c r="N87" i="60"/>
  <c r="A88" i="60"/>
  <c r="B88" i="60"/>
  <c r="C88" i="60"/>
  <c r="D88" i="60"/>
  <c r="E88" i="60"/>
  <c r="F88" i="60"/>
  <c r="G88" i="60"/>
  <c r="H88" i="60"/>
  <c r="I88" i="60"/>
  <c r="J88" i="60"/>
  <c r="K88" i="60"/>
  <c r="L88" i="60"/>
  <c r="M88" i="60"/>
  <c r="N88" i="60"/>
  <c r="A89" i="60"/>
  <c r="B89" i="60"/>
  <c r="C89" i="60"/>
  <c r="D89" i="60"/>
  <c r="E89" i="60"/>
  <c r="F89" i="60"/>
  <c r="G89" i="60"/>
  <c r="H89" i="60"/>
  <c r="I89" i="60"/>
  <c r="J89" i="60"/>
  <c r="K89" i="60"/>
  <c r="L89" i="60"/>
  <c r="M89" i="60"/>
  <c r="N89" i="60"/>
  <c r="A90" i="60"/>
  <c r="B90" i="60"/>
  <c r="C90" i="60"/>
  <c r="D90" i="60"/>
  <c r="E90" i="60"/>
  <c r="F90" i="60"/>
  <c r="G90" i="60"/>
  <c r="H90" i="60"/>
  <c r="I90" i="60"/>
  <c r="J90" i="60"/>
  <c r="K90" i="60"/>
  <c r="L90" i="60"/>
  <c r="M90" i="60"/>
  <c r="N90" i="60"/>
  <c r="A91" i="60"/>
  <c r="B91" i="60"/>
  <c r="C91" i="60"/>
  <c r="D91" i="60"/>
  <c r="E91" i="60"/>
  <c r="F91" i="60"/>
  <c r="G91" i="60"/>
  <c r="H91" i="60"/>
  <c r="I91" i="60"/>
  <c r="J91" i="60"/>
  <c r="K91" i="60"/>
  <c r="L91" i="60"/>
  <c r="M91" i="60"/>
  <c r="N91" i="60"/>
  <c r="A92" i="60"/>
  <c r="B92" i="60"/>
  <c r="C92" i="60"/>
  <c r="D92" i="60"/>
  <c r="E92" i="60"/>
  <c r="F92" i="60"/>
  <c r="G92" i="60"/>
  <c r="H92" i="60"/>
  <c r="I92" i="60"/>
  <c r="J92" i="60"/>
  <c r="K92" i="60"/>
  <c r="L92" i="60"/>
  <c r="M92" i="60"/>
  <c r="N92" i="60"/>
  <c r="A93" i="60"/>
  <c r="B93" i="60"/>
  <c r="C93" i="60"/>
  <c r="D93" i="60"/>
  <c r="E93" i="60"/>
  <c r="F93" i="60"/>
  <c r="G93" i="60"/>
  <c r="H93" i="60"/>
  <c r="I93" i="60"/>
  <c r="J93" i="60"/>
  <c r="K93" i="60"/>
  <c r="L93" i="60"/>
  <c r="M93" i="60"/>
  <c r="N93" i="60"/>
  <c r="A94" i="60"/>
  <c r="B94" i="60"/>
  <c r="C94" i="60"/>
  <c r="D94" i="60"/>
  <c r="E94" i="60"/>
  <c r="F94" i="60"/>
  <c r="G94" i="60"/>
  <c r="H94" i="60"/>
  <c r="I94" i="60"/>
  <c r="J94" i="60"/>
  <c r="K94" i="60"/>
  <c r="L94" i="60"/>
  <c r="M94" i="60"/>
  <c r="N94" i="60"/>
  <c r="A95" i="60"/>
  <c r="B95" i="60"/>
  <c r="C95" i="60"/>
  <c r="D95" i="60"/>
  <c r="E95" i="60"/>
  <c r="F95" i="60"/>
  <c r="G95" i="60"/>
  <c r="H95" i="60"/>
  <c r="I95" i="60"/>
  <c r="J95" i="60"/>
  <c r="K95" i="60"/>
  <c r="L95" i="60"/>
  <c r="M95" i="60"/>
  <c r="N95" i="60"/>
  <c r="A96" i="60"/>
  <c r="B96" i="60"/>
  <c r="C96" i="60"/>
  <c r="D96" i="60"/>
  <c r="E96" i="60"/>
  <c r="F96" i="60"/>
  <c r="G96" i="60"/>
  <c r="H96" i="60"/>
  <c r="I96" i="60"/>
  <c r="J96" i="60"/>
  <c r="K96" i="60"/>
  <c r="L96" i="60"/>
  <c r="M96" i="60"/>
  <c r="N96" i="60"/>
  <c r="A97" i="60"/>
  <c r="B97" i="60"/>
  <c r="C97" i="60"/>
  <c r="D97" i="60"/>
  <c r="E97" i="60"/>
  <c r="F97" i="60"/>
  <c r="G97" i="60"/>
  <c r="H97" i="60"/>
  <c r="I97" i="60"/>
  <c r="J97" i="60"/>
  <c r="K97" i="60"/>
  <c r="L97" i="60"/>
  <c r="M97" i="60"/>
  <c r="N97" i="60"/>
  <c r="A98" i="60"/>
  <c r="B98" i="60"/>
  <c r="C98" i="60"/>
  <c r="D98" i="60"/>
  <c r="E98" i="60"/>
  <c r="F98" i="60"/>
  <c r="G98" i="60"/>
  <c r="H98" i="60"/>
  <c r="I98" i="60"/>
  <c r="J98" i="60"/>
  <c r="K98" i="60"/>
  <c r="L98" i="60"/>
  <c r="M98" i="60"/>
  <c r="N98" i="60"/>
  <c r="A99" i="60"/>
  <c r="B99" i="60"/>
  <c r="C99" i="60"/>
  <c r="D99" i="60"/>
  <c r="E99" i="60"/>
  <c r="F99" i="60"/>
  <c r="G99" i="60"/>
  <c r="H99" i="60"/>
  <c r="I99" i="60"/>
  <c r="J99" i="60"/>
  <c r="K99" i="60"/>
  <c r="L99" i="60"/>
  <c r="M99" i="60"/>
  <c r="N99" i="60"/>
  <c r="A100" i="60"/>
  <c r="B100" i="60"/>
  <c r="C100" i="60"/>
  <c r="D100" i="60"/>
  <c r="E100" i="60"/>
  <c r="F100" i="60"/>
  <c r="G100" i="60"/>
  <c r="H100" i="60"/>
  <c r="I100" i="60"/>
  <c r="J100" i="60"/>
  <c r="K100" i="60"/>
  <c r="L100" i="60"/>
  <c r="M100" i="60"/>
  <c r="N100" i="60"/>
  <c r="A101" i="60"/>
  <c r="B101" i="60"/>
  <c r="C101" i="60"/>
  <c r="D101" i="60"/>
  <c r="E101" i="60"/>
  <c r="F101" i="60"/>
  <c r="G101" i="60"/>
  <c r="H101" i="60"/>
  <c r="I101" i="60"/>
  <c r="J101" i="60"/>
  <c r="K101" i="60"/>
  <c r="L101" i="60"/>
  <c r="M101" i="60"/>
  <c r="N101" i="60"/>
  <c r="A102" i="60"/>
  <c r="B102" i="60"/>
  <c r="C102" i="60"/>
  <c r="D102" i="60"/>
  <c r="E102" i="60"/>
  <c r="F102" i="60"/>
  <c r="G102" i="60"/>
  <c r="H102" i="60"/>
  <c r="I102" i="60"/>
  <c r="J102" i="60"/>
  <c r="K102" i="60"/>
  <c r="L102" i="60"/>
  <c r="M102" i="60"/>
  <c r="N102" i="60"/>
  <c r="A103" i="60"/>
  <c r="B103" i="60"/>
  <c r="C103" i="60"/>
  <c r="D103" i="60"/>
  <c r="E103" i="60"/>
  <c r="F103" i="60"/>
  <c r="G103" i="60"/>
  <c r="H103" i="60"/>
  <c r="I103" i="60"/>
  <c r="J103" i="60"/>
  <c r="K103" i="60"/>
  <c r="L103" i="60"/>
  <c r="M103" i="60"/>
  <c r="N103" i="60"/>
  <c r="A104" i="60"/>
  <c r="B104" i="60"/>
  <c r="C104" i="60"/>
  <c r="D104" i="60"/>
  <c r="E104" i="60"/>
  <c r="F104" i="60"/>
  <c r="G104" i="60"/>
  <c r="H104" i="60"/>
  <c r="I104" i="60"/>
  <c r="J104" i="60"/>
  <c r="K104" i="60"/>
  <c r="L104" i="60"/>
  <c r="M104" i="60"/>
  <c r="N104" i="60"/>
  <c r="A105" i="60"/>
  <c r="B105" i="60"/>
  <c r="C105" i="60"/>
  <c r="D105" i="60"/>
  <c r="E105" i="60"/>
  <c r="F105" i="60"/>
  <c r="G105" i="60"/>
  <c r="H105" i="60"/>
  <c r="I105" i="60"/>
  <c r="J105" i="60"/>
  <c r="K105" i="60"/>
  <c r="L105" i="60"/>
  <c r="M105" i="60"/>
  <c r="N105" i="60"/>
  <c r="A106" i="60"/>
  <c r="B106" i="60"/>
  <c r="C106" i="60"/>
  <c r="D106" i="60"/>
  <c r="E106" i="60"/>
  <c r="F106" i="60"/>
  <c r="G106" i="60"/>
  <c r="H106" i="60"/>
  <c r="I106" i="60"/>
  <c r="J106" i="60"/>
  <c r="K106" i="60"/>
  <c r="L106" i="60"/>
  <c r="M106" i="60"/>
  <c r="N106" i="60"/>
  <c r="A107" i="60"/>
  <c r="B107" i="60"/>
  <c r="C107" i="60"/>
  <c r="D107" i="60"/>
  <c r="E107" i="60"/>
  <c r="F107" i="60"/>
  <c r="G107" i="60"/>
  <c r="H107" i="60"/>
  <c r="I107" i="60"/>
  <c r="J107" i="60"/>
  <c r="K107" i="60"/>
  <c r="L107" i="60"/>
  <c r="M107" i="60"/>
  <c r="N107" i="60"/>
  <c r="A108" i="60"/>
  <c r="B108" i="60"/>
  <c r="C108" i="60"/>
  <c r="D108" i="60"/>
  <c r="E108" i="60"/>
  <c r="F108" i="60"/>
  <c r="G108" i="60"/>
  <c r="H108" i="60"/>
  <c r="I108" i="60"/>
  <c r="J108" i="60"/>
  <c r="K108" i="60"/>
  <c r="L108" i="60"/>
  <c r="M108" i="60"/>
  <c r="N108" i="60"/>
  <c r="A109" i="60"/>
  <c r="B109" i="60"/>
  <c r="C109" i="60"/>
  <c r="D109" i="60"/>
  <c r="E109" i="60"/>
  <c r="F109" i="60"/>
  <c r="G109" i="60"/>
  <c r="H109" i="60"/>
  <c r="I109" i="60"/>
  <c r="J109" i="60"/>
  <c r="K109" i="60"/>
  <c r="L109" i="60"/>
  <c r="M109" i="60"/>
  <c r="N109" i="60"/>
  <c r="A110" i="60"/>
  <c r="B110" i="60"/>
  <c r="C110" i="60"/>
  <c r="D110" i="60"/>
  <c r="E110" i="60"/>
  <c r="F110" i="60"/>
  <c r="G110" i="60"/>
  <c r="H110" i="60"/>
  <c r="I110" i="60"/>
  <c r="J110" i="60"/>
  <c r="K110" i="60"/>
  <c r="L110" i="60"/>
  <c r="M110" i="60"/>
  <c r="N110" i="60"/>
  <c r="A111" i="60"/>
  <c r="B111" i="60"/>
  <c r="C111" i="60"/>
  <c r="D111" i="60"/>
  <c r="E111" i="60"/>
  <c r="F111" i="60"/>
  <c r="G111" i="60"/>
  <c r="H111" i="60"/>
  <c r="I111" i="60"/>
  <c r="J111" i="60"/>
  <c r="K111" i="60"/>
  <c r="L111" i="60"/>
  <c r="M111" i="60"/>
  <c r="N111" i="60"/>
  <c r="A112" i="60"/>
  <c r="B112" i="60"/>
  <c r="C112" i="60"/>
  <c r="D112" i="60"/>
  <c r="E112" i="60"/>
  <c r="F112" i="60"/>
  <c r="G112" i="60"/>
  <c r="H112" i="60"/>
  <c r="I112" i="60"/>
  <c r="J112" i="60"/>
  <c r="K112" i="60"/>
  <c r="L112" i="60"/>
  <c r="M112" i="60"/>
  <c r="N112" i="60"/>
  <c r="A113" i="60"/>
  <c r="B113" i="60"/>
  <c r="C113" i="60"/>
  <c r="D113" i="60"/>
  <c r="E113" i="60"/>
  <c r="F113" i="60"/>
  <c r="G113" i="60"/>
  <c r="H113" i="60"/>
  <c r="I113" i="60"/>
  <c r="J113" i="60"/>
  <c r="K113" i="60"/>
  <c r="L113" i="60"/>
  <c r="M113" i="60"/>
  <c r="N113" i="60"/>
  <c r="A114" i="60"/>
  <c r="B114" i="60"/>
  <c r="C114" i="60"/>
  <c r="D114" i="60"/>
  <c r="E114" i="60"/>
  <c r="F114" i="60"/>
  <c r="G114" i="60"/>
  <c r="H114" i="60"/>
  <c r="I114" i="60"/>
  <c r="J114" i="60"/>
  <c r="K114" i="60"/>
  <c r="L114" i="60"/>
  <c r="M114" i="60"/>
  <c r="N114" i="60"/>
  <c r="A115" i="60"/>
  <c r="B115" i="60"/>
  <c r="C115" i="60"/>
  <c r="D115" i="60"/>
  <c r="E115" i="60"/>
  <c r="F115" i="60"/>
  <c r="G115" i="60"/>
  <c r="H115" i="60"/>
  <c r="I115" i="60"/>
  <c r="J115" i="60"/>
  <c r="K115" i="60"/>
  <c r="L115" i="60"/>
  <c r="M115" i="60"/>
  <c r="N115" i="60"/>
  <c r="A116" i="60"/>
  <c r="B116" i="60"/>
  <c r="C116" i="60"/>
  <c r="D116" i="60"/>
  <c r="E116" i="60"/>
  <c r="F116" i="60"/>
  <c r="G116" i="60"/>
  <c r="H116" i="60"/>
  <c r="I116" i="60"/>
  <c r="J116" i="60"/>
  <c r="K116" i="60"/>
  <c r="L116" i="60"/>
  <c r="M116" i="60"/>
  <c r="N116" i="60"/>
  <c r="A117" i="60"/>
  <c r="B117" i="60"/>
  <c r="C117" i="60"/>
  <c r="D117" i="60"/>
  <c r="E117" i="60"/>
  <c r="F117" i="60"/>
  <c r="G117" i="60"/>
  <c r="H117" i="60"/>
  <c r="I117" i="60"/>
  <c r="J117" i="60"/>
  <c r="K117" i="60"/>
  <c r="L117" i="60"/>
  <c r="M117" i="60"/>
  <c r="N117" i="60"/>
  <c r="A118" i="60"/>
  <c r="B118" i="60"/>
  <c r="C118" i="60"/>
  <c r="D118" i="60"/>
  <c r="E118" i="60"/>
  <c r="F118" i="60"/>
  <c r="G118" i="60"/>
  <c r="H118" i="60"/>
  <c r="I118" i="60"/>
  <c r="J118" i="60"/>
  <c r="K118" i="60"/>
  <c r="L118" i="60"/>
  <c r="M118" i="60"/>
  <c r="N118" i="60"/>
  <c r="A119" i="60"/>
  <c r="B119" i="60"/>
  <c r="C119" i="60"/>
  <c r="D119" i="60"/>
  <c r="E119" i="60"/>
  <c r="F119" i="60"/>
  <c r="G119" i="60"/>
  <c r="H119" i="60"/>
  <c r="I119" i="60"/>
  <c r="J119" i="60"/>
  <c r="K119" i="60"/>
  <c r="L119" i="60"/>
  <c r="M119" i="60"/>
  <c r="N119" i="60"/>
  <c r="A120" i="60"/>
  <c r="B120" i="60"/>
  <c r="C120" i="60"/>
  <c r="D120" i="60"/>
  <c r="E120" i="60"/>
  <c r="F120" i="60"/>
  <c r="G120" i="60"/>
  <c r="H120" i="60"/>
  <c r="I120" i="60"/>
  <c r="J120" i="60"/>
  <c r="K120" i="60"/>
  <c r="L120" i="60"/>
  <c r="M120" i="60"/>
  <c r="N120" i="60"/>
  <c r="A121" i="60"/>
  <c r="B121" i="60"/>
  <c r="C121" i="60"/>
  <c r="D121" i="60"/>
  <c r="E121" i="60"/>
  <c r="F121" i="60"/>
  <c r="G121" i="60"/>
  <c r="H121" i="60"/>
  <c r="I121" i="60"/>
  <c r="J121" i="60"/>
  <c r="K121" i="60"/>
  <c r="L121" i="60"/>
  <c r="M121" i="60"/>
  <c r="N121" i="60"/>
  <c r="A122" i="60"/>
  <c r="B122" i="60"/>
  <c r="C122" i="60"/>
  <c r="D122" i="60"/>
  <c r="E122" i="60"/>
  <c r="F122" i="60"/>
  <c r="G122" i="60"/>
  <c r="H122" i="60"/>
  <c r="I122" i="60"/>
  <c r="J122" i="60"/>
  <c r="K122" i="60"/>
  <c r="L122" i="60"/>
  <c r="M122" i="60"/>
  <c r="N122" i="60"/>
  <c r="A123" i="60"/>
  <c r="B123" i="60"/>
  <c r="C123" i="60"/>
  <c r="D123" i="60"/>
  <c r="E123" i="60"/>
  <c r="F123" i="60"/>
  <c r="G123" i="60"/>
  <c r="H123" i="60"/>
  <c r="I123" i="60"/>
  <c r="J123" i="60"/>
  <c r="K123" i="60"/>
  <c r="L123" i="60"/>
  <c r="M123" i="60"/>
  <c r="N123" i="60"/>
  <c r="A124" i="60"/>
  <c r="B124" i="60"/>
  <c r="C124" i="60"/>
  <c r="D124" i="60"/>
  <c r="E124" i="60"/>
  <c r="F124" i="60"/>
  <c r="G124" i="60"/>
  <c r="H124" i="60"/>
  <c r="I124" i="60"/>
  <c r="J124" i="60"/>
  <c r="K124" i="60"/>
  <c r="L124" i="60"/>
  <c r="M124" i="60"/>
  <c r="N124" i="60"/>
  <c r="A125" i="60"/>
  <c r="B125" i="60"/>
  <c r="C125" i="60"/>
  <c r="D125" i="60"/>
  <c r="E125" i="60"/>
  <c r="F125" i="60"/>
  <c r="G125" i="60"/>
  <c r="H125" i="60"/>
  <c r="I125" i="60"/>
  <c r="J125" i="60"/>
  <c r="K125" i="60"/>
  <c r="L125" i="60"/>
  <c r="M125" i="60"/>
  <c r="N125" i="60"/>
  <c r="A126" i="60"/>
  <c r="B126" i="60"/>
  <c r="C126" i="60"/>
  <c r="D126" i="60"/>
  <c r="E126" i="60"/>
  <c r="F126" i="60"/>
  <c r="G126" i="60"/>
  <c r="H126" i="60"/>
  <c r="I126" i="60"/>
  <c r="J126" i="60"/>
  <c r="K126" i="60"/>
  <c r="L126" i="60"/>
  <c r="M126" i="60"/>
  <c r="N126" i="60"/>
  <c r="A127" i="60"/>
  <c r="B127" i="60"/>
  <c r="C127" i="60"/>
  <c r="D127" i="60"/>
  <c r="E127" i="60"/>
  <c r="F127" i="60"/>
  <c r="G127" i="60"/>
  <c r="H127" i="60"/>
  <c r="I127" i="60"/>
  <c r="J127" i="60"/>
  <c r="K127" i="60"/>
  <c r="L127" i="60"/>
  <c r="M127" i="60"/>
  <c r="N127" i="60"/>
  <c r="A128" i="60"/>
  <c r="B128" i="60"/>
  <c r="C128" i="60"/>
  <c r="D128" i="60"/>
  <c r="E128" i="60"/>
  <c r="F128" i="60"/>
  <c r="G128" i="60"/>
  <c r="H128" i="60"/>
  <c r="I128" i="60"/>
  <c r="J128" i="60"/>
  <c r="K128" i="60"/>
  <c r="L128" i="60"/>
  <c r="M128" i="60"/>
  <c r="N128" i="60"/>
  <c r="A129" i="60"/>
  <c r="B129" i="60"/>
  <c r="C129" i="60"/>
  <c r="D129" i="60"/>
  <c r="E129" i="60"/>
  <c r="F129" i="60"/>
  <c r="G129" i="60"/>
  <c r="H129" i="60"/>
  <c r="I129" i="60"/>
  <c r="J129" i="60"/>
  <c r="K129" i="60"/>
  <c r="L129" i="60"/>
  <c r="M129" i="60"/>
  <c r="N129" i="60"/>
  <c r="A130" i="60"/>
  <c r="B130" i="60"/>
  <c r="C130" i="60"/>
  <c r="D130" i="60"/>
  <c r="E130" i="60"/>
  <c r="F130" i="60"/>
  <c r="G130" i="60"/>
  <c r="H130" i="60"/>
  <c r="I130" i="60"/>
  <c r="J130" i="60"/>
  <c r="K130" i="60"/>
  <c r="L130" i="60"/>
  <c r="M130" i="60"/>
  <c r="N130" i="60"/>
  <c r="A131" i="60"/>
  <c r="B131" i="60"/>
  <c r="C131" i="60"/>
  <c r="D131" i="60"/>
  <c r="E131" i="60"/>
  <c r="F131" i="60"/>
  <c r="G131" i="60"/>
  <c r="H131" i="60"/>
  <c r="I131" i="60"/>
  <c r="J131" i="60"/>
  <c r="K131" i="60"/>
  <c r="L131" i="60"/>
  <c r="M131" i="60"/>
  <c r="N131" i="60"/>
  <c r="A132" i="60"/>
  <c r="B132" i="60"/>
  <c r="C132" i="60"/>
  <c r="D132" i="60"/>
  <c r="E132" i="60"/>
  <c r="F132" i="60"/>
  <c r="G132" i="60"/>
  <c r="H132" i="60"/>
  <c r="I132" i="60"/>
  <c r="J132" i="60"/>
  <c r="K132" i="60"/>
  <c r="L132" i="60"/>
  <c r="M132" i="60"/>
  <c r="N132" i="60"/>
  <c r="A133" i="60"/>
  <c r="B133" i="60"/>
  <c r="C133" i="60"/>
  <c r="D133" i="60"/>
  <c r="E133" i="60"/>
  <c r="F133" i="60"/>
  <c r="G133" i="60"/>
  <c r="H133" i="60"/>
  <c r="I133" i="60"/>
  <c r="J133" i="60"/>
  <c r="K133" i="60"/>
  <c r="L133" i="60"/>
  <c r="M133" i="60"/>
  <c r="N133" i="60"/>
  <c r="A134" i="60"/>
  <c r="B134" i="60"/>
  <c r="C134" i="60"/>
  <c r="D134" i="60"/>
  <c r="E134" i="60"/>
  <c r="F134" i="60"/>
  <c r="G134" i="60"/>
  <c r="H134" i="60"/>
  <c r="I134" i="60"/>
  <c r="J134" i="60"/>
  <c r="K134" i="60"/>
  <c r="L134" i="60"/>
  <c r="M134" i="60"/>
  <c r="N134" i="60"/>
  <c r="A135" i="60"/>
  <c r="B135" i="60"/>
  <c r="C135" i="60"/>
  <c r="D135" i="60"/>
  <c r="E135" i="60"/>
  <c r="F135" i="60"/>
  <c r="G135" i="60"/>
  <c r="H135" i="60"/>
  <c r="I135" i="60"/>
  <c r="J135" i="60"/>
  <c r="K135" i="60"/>
  <c r="L135" i="60"/>
  <c r="M135" i="60"/>
  <c r="N135" i="60"/>
  <c r="A136" i="60"/>
  <c r="B136" i="60"/>
  <c r="C136" i="60"/>
  <c r="D136" i="60"/>
  <c r="E136" i="60"/>
  <c r="F136" i="60"/>
  <c r="G136" i="60"/>
  <c r="H136" i="60"/>
  <c r="I136" i="60"/>
  <c r="J136" i="60"/>
  <c r="K136" i="60"/>
  <c r="L136" i="60"/>
  <c r="M136" i="60"/>
  <c r="N136" i="60"/>
  <c r="A137" i="60"/>
  <c r="B137" i="60"/>
  <c r="C137" i="60"/>
  <c r="D137" i="60"/>
  <c r="E137" i="60"/>
  <c r="F137" i="60"/>
  <c r="G137" i="60"/>
  <c r="H137" i="60"/>
  <c r="I137" i="60"/>
  <c r="J137" i="60"/>
  <c r="K137" i="60"/>
  <c r="L137" i="60"/>
  <c r="M137" i="60"/>
  <c r="N137" i="60"/>
  <c r="A138" i="60"/>
  <c r="B138" i="60"/>
  <c r="C138" i="60"/>
  <c r="D138" i="60"/>
  <c r="E138" i="60"/>
  <c r="F138" i="60"/>
  <c r="G138" i="60"/>
  <c r="H138" i="60"/>
  <c r="I138" i="60"/>
  <c r="J138" i="60"/>
  <c r="K138" i="60"/>
  <c r="L138" i="60"/>
  <c r="M138" i="60"/>
  <c r="N138" i="60"/>
  <c r="A139" i="60"/>
  <c r="B139" i="60"/>
  <c r="C139" i="60"/>
  <c r="D139" i="60"/>
  <c r="E139" i="60"/>
  <c r="F139" i="60"/>
  <c r="G139" i="60"/>
  <c r="H139" i="60"/>
  <c r="I139" i="60"/>
  <c r="J139" i="60"/>
  <c r="K139" i="60"/>
  <c r="L139" i="60"/>
  <c r="M139" i="60"/>
  <c r="N139" i="60"/>
  <c r="A140" i="60"/>
  <c r="B140" i="60"/>
  <c r="C140" i="60"/>
  <c r="D140" i="60"/>
  <c r="E140" i="60"/>
  <c r="F140" i="60"/>
  <c r="G140" i="60"/>
  <c r="H140" i="60"/>
  <c r="I140" i="60"/>
  <c r="J140" i="60"/>
  <c r="K140" i="60"/>
  <c r="L140" i="60"/>
  <c r="M140" i="60"/>
  <c r="N140" i="60"/>
  <c r="A141" i="60"/>
  <c r="B141" i="60"/>
  <c r="C141" i="60"/>
  <c r="D141" i="60"/>
  <c r="E141" i="60"/>
  <c r="F141" i="60"/>
  <c r="G141" i="60"/>
  <c r="H141" i="60"/>
  <c r="I141" i="60"/>
  <c r="J141" i="60"/>
  <c r="K141" i="60"/>
  <c r="L141" i="60"/>
  <c r="M141" i="60"/>
  <c r="N141" i="60"/>
  <c r="A142" i="60"/>
  <c r="B142" i="60"/>
  <c r="C142" i="60"/>
  <c r="D142" i="60"/>
  <c r="E142" i="60"/>
  <c r="F142" i="60"/>
  <c r="G142" i="60"/>
  <c r="H142" i="60"/>
  <c r="I142" i="60"/>
  <c r="J142" i="60"/>
  <c r="K142" i="60"/>
  <c r="L142" i="60"/>
  <c r="M142" i="60"/>
  <c r="N142" i="60"/>
  <c r="A143" i="60"/>
  <c r="B143" i="60"/>
  <c r="C143" i="60"/>
  <c r="D143" i="60"/>
  <c r="E143" i="60"/>
  <c r="F143" i="60"/>
  <c r="G143" i="60"/>
  <c r="H143" i="60"/>
  <c r="I143" i="60"/>
  <c r="J143" i="60"/>
  <c r="K143" i="60"/>
  <c r="L143" i="60"/>
  <c r="M143" i="60"/>
  <c r="N143" i="60"/>
  <c r="A144" i="60"/>
  <c r="B144" i="60"/>
  <c r="C144" i="60"/>
  <c r="D144" i="60"/>
  <c r="E144" i="60"/>
  <c r="F144" i="60"/>
  <c r="G144" i="60"/>
  <c r="H144" i="60"/>
  <c r="I144" i="60"/>
  <c r="J144" i="60"/>
  <c r="K144" i="60"/>
  <c r="L144" i="60"/>
  <c r="M144" i="60"/>
  <c r="N144" i="60"/>
  <c r="A145" i="60"/>
  <c r="B145" i="60"/>
  <c r="C145" i="60"/>
  <c r="D145" i="60"/>
  <c r="E145" i="60"/>
  <c r="F145" i="60"/>
  <c r="G145" i="60"/>
  <c r="H145" i="60"/>
  <c r="I145" i="60"/>
  <c r="J145" i="60"/>
  <c r="K145" i="60"/>
  <c r="L145" i="60"/>
  <c r="M145" i="60"/>
  <c r="N145" i="60"/>
  <c r="A146" i="60"/>
  <c r="B146" i="60"/>
  <c r="C146" i="60"/>
  <c r="D146" i="60"/>
  <c r="E146" i="60"/>
  <c r="F146" i="60"/>
  <c r="G146" i="60"/>
  <c r="H146" i="60"/>
  <c r="I146" i="60"/>
  <c r="J146" i="60"/>
  <c r="K146" i="60"/>
  <c r="L146" i="60"/>
  <c r="M146" i="60"/>
  <c r="N146" i="60"/>
  <c r="A147" i="60"/>
  <c r="B147" i="60"/>
  <c r="C147" i="60"/>
  <c r="D147" i="60"/>
  <c r="E147" i="60"/>
  <c r="F147" i="60"/>
  <c r="G147" i="60"/>
  <c r="H147" i="60"/>
  <c r="I147" i="60"/>
  <c r="J147" i="60"/>
  <c r="K147" i="60"/>
  <c r="L147" i="60"/>
  <c r="M147" i="60"/>
  <c r="N147" i="60"/>
  <c r="A148" i="60"/>
  <c r="B148" i="60"/>
  <c r="C148" i="60"/>
  <c r="D148" i="60"/>
  <c r="E148" i="60"/>
  <c r="F148" i="60"/>
  <c r="G148" i="60"/>
  <c r="H148" i="60"/>
  <c r="I148" i="60"/>
  <c r="J148" i="60"/>
  <c r="K148" i="60"/>
  <c r="L148" i="60"/>
  <c r="M148" i="60"/>
  <c r="N148" i="60"/>
  <c r="A149" i="60"/>
  <c r="B149" i="60"/>
  <c r="C149" i="60"/>
  <c r="D149" i="60"/>
  <c r="E149" i="60"/>
  <c r="F149" i="60"/>
  <c r="G149" i="60"/>
  <c r="H149" i="60"/>
  <c r="I149" i="60"/>
  <c r="J149" i="60"/>
  <c r="K149" i="60"/>
  <c r="L149" i="60"/>
  <c r="M149" i="60"/>
  <c r="N149" i="60"/>
  <c r="A150" i="60"/>
  <c r="B150" i="60"/>
  <c r="C150" i="60"/>
  <c r="D150" i="60"/>
  <c r="E150" i="60"/>
  <c r="F150" i="60"/>
  <c r="G150" i="60"/>
  <c r="H150" i="60"/>
  <c r="I150" i="60"/>
  <c r="J150" i="60"/>
  <c r="K150" i="60"/>
  <c r="L150" i="60"/>
  <c r="M150" i="60"/>
  <c r="N150" i="60"/>
  <c r="A151" i="60"/>
  <c r="B151" i="60"/>
  <c r="C151" i="60"/>
  <c r="D151" i="60"/>
  <c r="E151" i="60"/>
  <c r="F151" i="60"/>
  <c r="G151" i="60"/>
  <c r="H151" i="60"/>
  <c r="I151" i="60"/>
  <c r="J151" i="60"/>
  <c r="K151" i="60"/>
  <c r="L151" i="60"/>
  <c r="M151" i="60"/>
  <c r="N151" i="60"/>
  <c r="A152" i="60"/>
  <c r="B152" i="60"/>
  <c r="C152" i="60"/>
  <c r="D152" i="60"/>
  <c r="E152" i="60"/>
  <c r="F152" i="60"/>
  <c r="G152" i="60"/>
  <c r="H152" i="60"/>
  <c r="I152" i="60"/>
  <c r="J152" i="60"/>
  <c r="K152" i="60"/>
  <c r="L152" i="60"/>
  <c r="M152" i="60"/>
  <c r="N152" i="60"/>
  <c r="A153" i="60"/>
  <c r="B153" i="60"/>
  <c r="C153" i="60"/>
  <c r="D153" i="60"/>
  <c r="E153" i="60"/>
  <c r="F153" i="60"/>
  <c r="G153" i="60"/>
  <c r="H153" i="60"/>
  <c r="I153" i="60"/>
  <c r="J153" i="60"/>
  <c r="K153" i="60"/>
  <c r="L153" i="60"/>
  <c r="M153" i="60"/>
  <c r="N153" i="60"/>
  <c r="A154" i="60"/>
  <c r="B154" i="60"/>
  <c r="C154" i="60"/>
  <c r="D154" i="60"/>
  <c r="E154" i="60"/>
  <c r="F154" i="60"/>
  <c r="G154" i="60"/>
  <c r="H154" i="60"/>
  <c r="I154" i="60"/>
  <c r="J154" i="60"/>
  <c r="K154" i="60"/>
  <c r="L154" i="60"/>
  <c r="M154" i="60"/>
  <c r="N154" i="60"/>
  <c r="A155" i="60"/>
  <c r="B155" i="60"/>
  <c r="C155" i="60"/>
  <c r="D155" i="60"/>
  <c r="E155" i="60"/>
  <c r="F155" i="60"/>
  <c r="G155" i="60"/>
  <c r="H155" i="60"/>
  <c r="I155" i="60"/>
  <c r="J155" i="60"/>
  <c r="K155" i="60"/>
  <c r="L155" i="60"/>
  <c r="M155" i="60"/>
  <c r="N155" i="60"/>
  <c r="A156" i="60"/>
  <c r="B156" i="60"/>
  <c r="C156" i="60"/>
  <c r="D156" i="60"/>
  <c r="E156" i="60"/>
  <c r="F156" i="60"/>
  <c r="G156" i="60"/>
  <c r="H156" i="60"/>
  <c r="I156" i="60"/>
  <c r="J156" i="60"/>
  <c r="K156" i="60"/>
  <c r="L156" i="60"/>
  <c r="M156" i="60"/>
  <c r="N156" i="60"/>
  <c r="A157" i="60"/>
  <c r="B157" i="60"/>
  <c r="C157" i="60"/>
  <c r="D157" i="60"/>
  <c r="E157" i="60"/>
  <c r="F157" i="60"/>
  <c r="G157" i="60"/>
  <c r="H157" i="60"/>
  <c r="I157" i="60"/>
  <c r="J157" i="60"/>
  <c r="K157" i="60"/>
  <c r="L157" i="60"/>
  <c r="M157" i="60"/>
  <c r="N157" i="60"/>
  <c r="A158" i="60"/>
  <c r="B158" i="60"/>
  <c r="C158" i="60"/>
  <c r="D158" i="60"/>
  <c r="E158" i="60"/>
  <c r="F158" i="60"/>
  <c r="G158" i="60"/>
  <c r="H158" i="60"/>
  <c r="I158" i="60"/>
  <c r="J158" i="60"/>
  <c r="K158" i="60"/>
  <c r="L158" i="60"/>
  <c r="M158" i="60"/>
  <c r="N158" i="60"/>
  <c r="A159" i="60"/>
  <c r="B159" i="60"/>
  <c r="C159" i="60"/>
  <c r="D159" i="60"/>
  <c r="E159" i="60"/>
  <c r="F159" i="60"/>
  <c r="G159" i="60"/>
  <c r="H159" i="60"/>
  <c r="I159" i="60"/>
  <c r="J159" i="60"/>
  <c r="K159" i="60"/>
  <c r="L159" i="60"/>
  <c r="M159" i="60"/>
  <c r="N159" i="60"/>
  <c r="A160" i="60"/>
  <c r="B160" i="60"/>
  <c r="C160" i="60"/>
  <c r="D160" i="60"/>
  <c r="E160" i="60"/>
  <c r="F160" i="60"/>
  <c r="G160" i="60"/>
  <c r="H160" i="60"/>
  <c r="I160" i="60"/>
  <c r="J160" i="60"/>
  <c r="O160" i="60" s="1"/>
  <c r="K160" i="60"/>
  <c r="L160" i="60"/>
  <c r="M160" i="60"/>
  <c r="N160" i="60"/>
  <c r="A161" i="60"/>
  <c r="B161" i="60"/>
  <c r="C161" i="60"/>
  <c r="D161" i="60"/>
  <c r="E161" i="60"/>
  <c r="F161" i="60"/>
  <c r="G161" i="60"/>
  <c r="H161" i="60"/>
  <c r="I161" i="60"/>
  <c r="J161" i="60"/>
  <c r="K161" i="60"/>
  <c r="L161" i="60"/>
  <c r="M161" i="60"/>
  <c r="N161" i="60"/>
  <c r="A162" i="60"/>
  <c r="B162" i="60"/>
  <c r="C162" i="60"/>
  <c r="D162" i="60"/>
  <c r="E162" i="60"/>
  <c r="F162" i="60"/>
  <c r="G162" i="60"/>
  <c r="H162" i="60"/>
  <c r="I162" i="60"/>
  <c r="J162" i="60"/>
  <c r="K162" i="60"/>
  <c r="L162" i="60"/>
  <c r="M162" i="60"/>
  <c r="N162" i="60"/>
  <c r="A163" i="60"/>
  <c r="B163" i="60"/>
  <c r="C163" i="60"/>
  <c r="D163" i="60"/>
  <c r="E163" i="60"/>
  <c r="F163" i="60"/>
  <c r="G163" i="60"/>
  <c r="H163" i="60"/>
  <c r="I163" i="60"/>
  <c r="J163" i="60"/>
  <c r="K163" i="60"/>
  <c r="L163" i="60"/>
  <c r="M163" i="60"/>
  <c r="N163" i="60"/>
  <c r="A164" i="60"/>
  <c r="B164" i="60"/>
  <c r="C164" i="60"/>
  <c r="D164" i="60"/>
  <c r="E164" i="60"/>
  <c r="F164" i="60"/>
  <c r="G164" i="60"/>
  <c r="H164" i="60"/>
  <c r="I164" i="60"/>
  <c r="J164" i="60"/>
  <c r="K164" i="60"/>
  <c r="L164" i="60"/>
  <c r="M164" i="60"/>
  <c r="N164" i="60"/>
  <c r="A165" i="60"/>
  <c r="B165" i="60"/>
  <c r="C165" i="60"/>
  <c r="D165" i="60"/>
  <c r="E165" i="60"/>
  <c r="F165" i="60"/>
  <c r="G165" i="60"/>
  <c r="H165" i="60"/>
  <c r="I165" i="60"/>
  <c r="J165" i="60"/>
  <c r="K165" i="60"/>
  <c r="L165" i="60"/>
  <c r="M165" i="60"/>
  <c r="N165" i="60"/>
  <c r="A166" i="60"/>
  <c r="B166" i="60"/>
  <c r="C166" i="60"/>
  <c r="D166" i="60"/>
  <c r="E166" i="60"/>
  <c r="F166" i="60"/>
  <c r="G166" i="60"/>
  <c r="H166" i="60"/>
  <c r="I166" i="60"/>
  <c r="J166" i="60"/>
  <c r="K166" i="60"/>
  <c r="L166" i="60"/>
  <c r="M166" i="60"/>
  <c r="N166" i="60"/>
  <c r="A167" i="60"/>
  <c r="B167" i="60"/>
  <c r="C167" i="60"/>
  <c r="D167" i="60"/>
  <c r="E167" i="60"/>
  <c r="F167" i="60"/>
  <c r="G167" i="60"/>
  <c r="H167" i="60"/>
  <c r="I167" i="60"/>
  <c r="J167" i="60"/>
  <c r="K167" i="60"/>
  <c r="L167" i="60"/>
  <c r="M167" i="60"/>
  <c r="N167" i="60"/>
  <c r="A168" i="60"/>
  <c r="B168" i="60"/>
  <c r="C168" i="60"/>
  <c r="D168" i="60"/>
  <c r="E168" i="60"/>
  <c r="F168" i="60"/>
  <c r="G168" i="60"/>
  <c r="H168" i="60"/>
  <c r="I168" i="60"/>
  <c r="J168" i="60"/>
  <c r="K168" i="60"/>
  <c r="L168" i="60"/>
  <c r="M168" i="60"/>
  <c r="N168" i="60"/>
  <c r="A169" i="60"/>
  <c r="B169" i="60"/>
  <c r="C169" i="60"/>
  <c r="D169" i="60"/>
  <c r="E169" i="60"/>
  <c r="F169" i="60"/>
  <c r="G169" i="60"/>
  <c r="H169" i="60"/>
  <c r="I169" i="60"/>
  <c r="J169" i="60"/>
  <c r="K169" i="60"/>
  <c r="L169" i="60"/>
  <c r="M169" i="60"/>
  <c r="N169" i="60"/>
  <c r="A170" i="60"/>
  <c r="B170" i="60"/>
  <c r="C170" i="60"/>
  <c r="D170" i="60"/>
  <c r="E170" i="60"/>
  <c r="F170" i="60"/>
  <c r="G170" i="60"/>
  <c r="H170" i="60"/>
  <c r="I170" i="60"/>
  <c r="J170" i="60"/>
  <c r="K170" i="60"/>
  <c r="L170" i="60"/>
  <c r="M170" i="60"/>
  <c r="N170" i="60"/>
  <c r="A171" i="60"/>
  <c r="B171" i="60"/>
  <c r="C171" i="60"/>
  <c r="D171" i="60"/>
  <c r="E171" i="60"/>
  <c r="F171" i="60"/>
  <c r="G171" i="60"/>
  <c r="H171" i="60"/>
  <c r="I171" i="60"/>
  <c r="J171" i="60"/>
  <c r="K171" i="60"/>
  <c r="L171" i="60"/>
  <c r="M171" i="60"/>
  <c r="N171" i="60"/>
  <c r="A172" i="60"/>
  <c r="B172" i="60"/>
  <c r="C172" i="60"/>
  <c r="D172" i="60"/>
  <c r="E172" i="60"/>
  <c r="F172" i="60"/>
  <c r="G172" i="60"/>
  <c r="H172" i="60"/>
  <c r="I172" i="60"/>
  <c r="J172" i="60"/>
  <c r="K172" i="60"/>
  <c r="L172" i="60"/>
  <c r="M172" i="60"/>
  <c r="N172" i="60"/>
  <c r="A173" i="60"/>
  <c r="B173" i="60"/>
  <c r="C173" i="60"/>
  <c r="D173" i="60"/>
  <c r="E173" i="60"/>
  <c r="F173" i="60"/>
  <c r="G173" i="60"/>
  <c r="H173" i="60"/>
  <c r="I173" i="60"/>
  <c r="J173" i="60"/>
  <c r="K173" i="60"/>
  <c r="L173" i="60"/>
  <c r="M173" i="60"/>
  <c r="N173" i="60"/>
  <c r="A174" i="60"/>
  <c r="B174" i="60"/>
  <c r="C174" i="60"/>
  <c r="D174" i="60"/>
  <c r="E174" i="60"/>
  <c r="F174" i="60"/>
  <c r="G174" i="60"/>
  <c r="H174" i="60"/>
  <c r="I174" i="60"/>
  <c r="J174" i="60"/>
  <c r="K174" i="60"/>
  <c r="L174" i="60"/>
  <c r="M174" i="60"/>
  <c r="N174" i="60"/>
  <c r="A175" i="60"/>
  <c r="B175" i="60"/>
  <c r="C175" i="60"/>
  <c r="D175" i="60"/>
  <c r="E175" i="60"/>
  <c r="F175" i="60"/>
  <c r="G175" i="60"/>
  <c r="H175" i="60"/>
  <c r="I175" i="60"/>
  <c r="J175" i="60"/>
  <c r="K175" i="60"/>
  <c r="L175" i="60"/>
  <c r="M175" i="60"/>
  <c r="N175" i="60"/>
  <c r="A176" i="60"/>
  <c r="B176" i="60"/>
  <c r="C176" i="60"/>
  <c r="D176" i="60"/>
  <c r="E176" i="60"/>
  <c r="F176" i="60"/>
  <c r="G176" i="60"/>
  <c r="H176" i="60"/>
  <c r="I176" i="60"/>
  <c r="J176" i="60"/>
  <c r="K176" i="60"/>
  <c r="L176" i="60"/>
  <c r="M176" i="60"/>
  <c r="N176" i="60"/>
  <c r="A177" i="60"/>
  <c r="B177" i="60"/>
  <c r="C177" i="60"/>
  <c r="D177" i="60"/>
  <c r="E177" i="60"/>
  <c r="F177" i="60"/>
  <c r="G177" i="60"/>
  <c r="H177" i="60"/>
  <c r="I177" i="60"/>
  <c r="J177" i="60"/>
  <c r="K177" i="60"/>
  <c r="L177" i="60"/>
  <c r="M177" i="60"/>
  <c r="N177" i="60"/>
  <c r="A178" i="60"/>
  <c r="B178" i="60"/>
  <c r="C178" i="60"/>
  <c r="D178" i="60"/>
  <c r="E178" i="60"/>
  <c r="F178" i="60"/>
  <c r="G178" i="60"/>
  <c r="H178" i="60"/>
  <c r="I178" i="60"/>
  <c r="J178" i="60"/>
  <c r="K178" i="60"/>
  <c r="L178" i="60"/>
  <c r="M178" i="60"/>
  <c r="N178" i="60"/>
  <c r="A179" i="60"/>
  <c r="B179" i="60"/>
  <c r="C179" i="60"/>
  <c r="D179" i="60"/>
  <c r="E179" i="60"/>
  <c r="F179" i="60"/>
  <c r="G179" i="60"/>
  <c r="H179" i="60"/>
  <c r="I179" i="60"/>
  <c r="J179" i="60"/>
  <c r="K179" i="60"/>
  <c r="L179" i="60"/>
  <c r="M179" i="60"/>
  <c r="N179" i="60"/>
  <c r="A180" i="60"/>
  <c r="B180" i="60"/>
  <c r="C180" i="60"/>
  <c r="D180" i="60"/>
  <c r="E180" i="60"/>
  <c r="F180" i="60"/>
  <c r="G180" i="60"/>
  <c r="H180" i="60"/>
  <c r="I180" i="60"/>
  <c r="J180" i="60"/>
  <c r="K180" i="60"/>
  <c r="L180" i="60"/>
  <c r="M180" i="60"/>
  <c r="N180" i="60"/>
  <c r="A181" i="60"/>
  <c r="B181" i="60"/>
  <c r="C181" i="60"/>
  <c r="D181" i="60"/>
  <c r="E181" i="60"/>
  <c r="F181" i="60"/>
  <c r="G181" i="60"/>
  <c r="H181" i="60"/>
  <c r="I181" i="60"/>
  <c r="J181" i="60"/>
  <c r="K181" i="60"/>
  <c r="L181" i="60"/>
  <c r="M181" i="60"/>
  <c r="N181" i="60"/>
  <c r="A182" i="60"/>
  <c r="B182" i="60"/>
  <c r="C182" i="60"/>
  <c r="D182" i="60"/>
  <c r="E182" i="60"/>
  <c r="F182" i="60"/>
  <c r="G182" i="60"/>
  <c r="H182" i="60"/>
  <c r="I182" i="60"/>
  <c r="J182" i="60"/>
  <c r="K182" i="60"/>
  <c r="L182" i="60"/>
  <c r="M182" i="60"/>
  <c r="N182" i="60"/>
  <c r="A183" i="60"/>
  <c r="B183" i="60"/>
  <c r="C183" i="60"/>
  <c r="D183" i="60"/>
  <c r="E183" i="60"/>
  <c r="F183" i="60"/>
  <c r="G183" i="60"/>
  <c r="H183" i="60"/>
  <c r="I183" i="60"/>
  <c r="J183" i="60"/>
  <c r="K183" i="60"/>
  <c r="L183" i="60"/>
  <c r="M183" i="60"/>
  <c r="N183" i="60"/>
  <c r="A184" i="60"/>
  <c r="B184" i="60"/>
  <c r="C184" i="60"/>
  <c r="D184" i="60"/>
  <c r="E184" i="60"/>
  <c r="F184" i="60"/>
  <c r="G184" i="60"/>
  <c r="H184" i="60"/>
  <c r="I184" i="60"/>
  <c r="J184" i="60"/>
  <c r="K184" i="60"/>
  <c r="L184" i="60"/>
  <c r="M184" i="60"/>
  <c r="N184" i="60"/>
  <c r="A185" i="60"/>
  <c r="B185" i="60"/>
  <c r="C185" i="60"/>
  <c r="D185" i="60"/>
  <c r="E185" i="60"/>
  <c r="F185" i="60"/>
  <c r="G185" i="60"/>
  <c r="H185" i="60"/>
  <c r="I185" i="60"/>
  <c r="J185" i="60"/>
  <c r="K185" i="60"/>
  <c r="L185" i="60"/>
  <c r="M185" i="60"/>
  <c r="N185" i="60"/>
  <c r="A186" i="60"/>
  <c r="B186" i="60"/>
  <c r="C186" i="60"/>
  <c r="D186" i="60"/>
  <c r="E186" i="60"/>
  <c r="F186" i="60"/>
  <c r="G186" i="60"/>
  <c r="H186" i="60"/>
  <c r="I186" i="60"/>
  <c r="J186" i="60"/>
  <c r="K186" i="60"/>
  <c r="L186" i="60"/>
  <c r="M186" i="60"/>
  <c r="N186" i="60"/>
  <c r="A187" i="60"/>
  <c r="B187" i="60"/>
  <c r="C187" i="60"/>
  <c r="D187" i="60"/>
  <c r="E187" i="60"/>
  <c r="F187" i="60"/>
  <c r="G187" i="60"/>
  <c r="H187" i="60"/>
  <c r="I187" i="60"/>
  <c r="J187" i="60"/>
  <c r="K187" i="60"/>
  <c r="L187" i="60"/>
  <c r="M187" i="60"/>
  <c r="N187" i="60"/>
  <c r="A188" i="60"/>
  <c r="B188" i="60"/>
  <c r="C188" i="60"/>
  <c r="D188" i="60"/>
  <c r="E188" i="60"/>
  <c r="F188" i="60"/>
  <c r="G188" i="60"/>
  <c r="H188" i="60"/>
  <c r="I188" i="60"/>
  <c r="J188" i="60"/>
  <c r="K188" i="60"/>
  <c r="L188" i="60"/>
  <c r="M188" i="60"/>
  <c r="N188" i="60"/>
  <c r="A189" i="60"/>
  <c r="B189" i="60"/>
  <c r="C189" i="60"/>
  <c r="D189" i="60"/>
  <c r="E189" i="60"/>
  <c r="F189" i="60"/>
  <c r="G189" i="60"/>
  <c r="H189" i="60"/>
  <c r="I189" i="60"/>
  <c r="J189" i="60"/>
  <c r="K189" i="60"/>
  <c r="L189" i="60"/>
  <c r="M189" i="60"/>
  <c r="N189" i="60"/>
  <c r="A190" i="60"/>
  <c r="B190" i="60"/>
  <c r="C190" i="60"/>
  <c r="D190" i="60"/>
  <c r="E190" i="60"/>
  <c r="F190" i="60"/>
  <c r="G190" i="60"/>
  <c r="H190" i="60"/>
  <c r="I190" i="60"/>
  <c r="J190" i="60"/>
  <c r="K190" i="60"/>
  <c r="L190" i="60"/>
  <c r="M190" i="60"/>
  <c r="N190" i="60"/>
  <c r="J217" i="84"/>
  <c r="K217" i="84"/>
  <c r="L217" i="84"/>
  <c r="P217" i="84"/>
  <c r="O217" i="84" s="1"/>
  <c r="J218" i="84"/>
  <c r="K218" i="84"/>
  <c r="L218" i="84"/>
  <c r="P218" i="84"/>
  <c r="N218" i="84" s="1"/>
  <c r="M218" i="84" s="1"/>
  <c r="J219" i="84"/>
  <c r="K219" i="84"/>
  <c r="L219" i="84"/>
  <c r="P219" i="84"/>
  <c r="O219" i="84" s="1"/>
  <c r="G217" i="84"/>
  <c r="F217" i="84" s="1"/>
  <c r="G218" i="84"/>
  <c r="F218" i="84" s="1"/>
  <c r="G219" i="84"/>
  <c r="F219" i="84" s="1"/>
  <c r="A230" i="86"/>
  <c r="A231" i="86"/>
  <c r="A232" i="86"/>
  <c r="A233" i="86"/>
  <c r="A234" i="86"/>
  <c r="A235" i="86"/>
  <c r="A236" i="86"/>
  <c r="A237" i="86"/>
  <c r="A238" i="86"/>
  <c r="A239" i="86"/>
  <c r="A240" i="86"/>
  <c r="O140" i="60" l="1"/>
  <c r="O139" i="60"/>
  <c r="O108" i="60"/>
  <c r="O91" i="60"/>
  <c r="O150" i="60"/>
  <c r="O144" i="60"/>
  <c r="O107" i="60"/>
  <c r="O92" i="60"/>
  <c r="O32" i="60"/>
  <c r="O30" i="60"/>
  <c r="O29" i="60"/>
  <c r="O20" i="60"/>
  <c r="O18" i="60"/>
  <c r="O17" i="60"/>
  <c r="O16" i="60"/>
  <c r="O14" i="60"/>
  <c r="O190" i="60"/>
  <c r="O184" i="60"/>
  <c r="O180" i="60"/>
  <c r="O172" i="60"/>
  <c r="O152" i="60"/>
  <c r="O136" i="60"/>
  <c r="O135" i="60"/>
  <c r="O124" i="60"/>
  <c r="O123" i="60"/>
  <c r="O120" i="60"/>
  <c r="O104" i="60"/>
  <c r="O88" i="60"/>
  <c r="O87" i="60"/>
  <c r="O64" i="60"/>
  <c r="O60" i="60"/>
  <c r="O59" i="60"/>
  <c r="O55" i="60"/>
  <c r="O44" i="60"/>
  <c r="O43" i="60"/>
  <c r="O40" i="60"/>
  <c r="O186" i="60"/>
  <c r="O176" i="60"/>
  <c r="O168" i="60"/>
  <c r="O162" i="60"/>
  <c r="O154" i="60"/>
  <c r="O145" i="60"/>
  <c r="O97" i="60"/>
  <c r="O81" i="60"/>
  <c r="O77" i="60"/>
  <c r="O61" i="60"/>
  <c r="O189" i="60"/>
  <c r="O39" i="60"/>
  <c r="O181" i="60"/>
  <c r="O179" i="60"/>
  <c r="O171" i="60"/>
  <c r="O146" i="60"/>
  <c r="O132" i="60"/>
  <c r="O128" i="60"/>
  <c r="O116" i="60"/>
  <c r="O112" i="60"/>
  <c r="O110" i="60"/>
  <c r="O100" i="60"/>
  <c r="O98" i="60"/>
  <c r="O96" i="60"/>
  <c r="O84" i="60"/>
  <c r="O80" i="60"/>
  <c r="O78" i="60"/>
  <c r="O68" i="60"/>
  <c r="O66" i="60"/>
  <c r="O62" i="60"/>
  <c r="O52" i="60"/>
  <c r="O48" i="60"/>
  <c r="O188" i="60"/>
  <c r="O187" i="60"/>
  <c r="O191" i="60"/>
  <c r="O182" i="60"/>
  <c r="O174" i="60"/>
  <c r="O173" i="60"/>
  <c r="O178" i="60"/>
  <c r="O166" i="60"/>
  <c r="O165" i="60"/>
  <c r="O164" i="60"/>
  <c r="O163" i="60"/>
  <c r="O170" i="60"/>
  <c r="O158" i="60"/>
  <c r="O157" i="60"/>
  <c r="O156" i="60"/>
  <c r="O155" i="60"/>
  <c r="O142" i="60"/>
  <c r="O141" i="60"/>
  <c r="O149" i="60"/>
  <c r="O148" i="60"/>
  <c r="O147" i="60"/>
  <c r="O130" i="60"/>
  <c r="O129" i="60"/>
  <c r="O126" i="60"/>
  <c r="O114" i="60"/>
  <c r="O113" i="60"/>
  <c r="O109" i="60"/>
  <c r="O119" i="60"/>
  <c r="O94" i="60"/>
  <c r="O93" i="60"/>
  <c r="O103" i="60"/>
  <c r="O50" i="60"/>
  <c r="O49" i="60"/>
  <c r="O28" i="60"/>
  <c r="O27" i="60"/>
  <c r="O24" i="60"/>
  <c r="O23" i="60"/>
  <c r="O76" i="60"/>
  <c r="O75" i="60"/>
  <c r="O72" i="60"/>
  <c r="O71" i="60"/>
  <c r="O46" i="60"/>
  <c r="O45" i="60"/>
  <c r="O36" i="60"/>
  <c r="O34" i="60"/>
  <c r="O33" i="60"/>
  <c r="O12" i="60"/>
  <c r="O11" i="60"/>
  <c r="O9" i="60"/>
  <c r="O8" i="60"/>
  <c r="O7" i="60"/>
  <c r="O5" i="60"/>
  <c r="O82" i="60"/>
  <c r="O56" i="60"/>
  <c r="O153" i="60"/>
  <c r="O138" i="60"/>
  <c r="O137" i="60"/>
  <c r="O131" i="60"/>
  <c r="O122" i="60"/>
  <c r="O121" i="60"/>
  <c r="O115" i="60"/>
  <c r="O106" i="60"/>
  <c r="O105" i="60"/>
  <c r="O99" i="60"/>
  <c r="O90" i="60"/>
  <c r="O89" i="60"/>
  <c r="O83" i="60"/>
  <c r="O74" i="60"/>
  <c r="O73" i="60"/>
  <c r="O67" i="60"/>
  <c r="O65" i="60"/>
  <c r="O58" i="60"/>
  <c r="O57" i="60"/>
  <c r="O51" i="60"/>
  <c r="O42" i="60"/>
  <c r="O41" i="60"/>
  <c r="O35" i="60"/>
  <c r="O26" i="60"/>
  <c r="O25" i="60"/>
  <c r="O19" i="60"/>
  <c r="O10" i="60"/>
  <c r="O185" i="60"/>
  <c r="O177" i="60"/>
  <c r="O169" i="60"/>
  <c r="O161" i="60"/>
  <c r="O183" i="60"/>
  <c r="O175" i="60"/>
  <c r="O167" i="60"/>
  <c r="O159" i="60"/>
  <c r="O151" i="60"/>
  <c r="O143" i="60"/>
  <c r="O134" i="60"/>
  <c r="O133" i="60"/>
  <c r="O127" i="60"/>
  <c r="O125" i="60"/>
  <c r="O118" i="60"/>
  <c r="O117" i="60"/>
  <c r="O111" i="60"/>
  <c r="O102" i="60"/>
  <c r="O101" i="60"/>
  <c r="O95" i="60"/>
  <c r="O86" i="60"/>
  <c r="O85" i="60"/>
  <c r="O79" i="60"/>
  <c r="O70" i="60"/>
  <c r="O69" i="60"/>
  <c r="O63" i="60"/>
  <c r="O54" i="60"/>
  <c r="O53" i="60"/>
  <c r="O47" i="60"/>
  <c r="O38" i="60"/>
  <c r="O37" i="60"/>
  <c r="O31" i="60"/>
  <c r="O22" i="60"/>
  <c r="O21" i="60"/>
  <c r="O15" i="60"/>
  <c r="O13" i="60"/>
  <c r="O6" i="60"/>
  <c r="O192" i="60"/>
  <c r="N217" i="84"/>
  <c r="M217" i="84" s="1"/>
  <c r="O218" i="84"/>
  <c r="N219" i="84"/>
  <c r="M219" i="84" s="1"/>
  <c r="AA6" i="70"/>
  <c r="AA7" i="70"/>
  <c r="AA8" i="70"/>
  <c r="AA9" i="70"/>
  <c r="AA10" i="70"/>
  <c r="AA5" i="70"/>
  <c r="Z6" i="70"/>
  <c r="Z7" i="70"/>
  <c r="Z8" i="70"/>
  <c r="Z9" i="70"/>
  <c r="Z10" i="70"/>
  <c r="Z5" i="70"/>
  <c r="Y6" i="70"/>
  <c r="Y7" i="70"/>
  <c r="Y8" i="70"/>
  <c r="AB8" i="70" s="1"/>
  <c r="Y9" i="70"/>
  <c r="Y10" i="70"/>
  <c r="Y5" i="70"/>
  <c r="H4" i="84"/>
  <c r="H5" i="84"/>
  <c r="H6" i="84"/>
  <c r="H8" i="84"/>
  <c r="H10" i="84"/>
  <c r="H11" i="84"/>
  <c r="H3" i="84"/>
  <c r="AB10" i="70" l="1"/>
  <c r="AC10" i="70"/>
  <c r="AC6" i="70"/>
  <c r="AC9" i="70"/>
  <c r="AB6" i="70"/>
  <c r="AC8" i="70"/>
  <c r="AC5" i="70"/>
  <c r="AC7" i="70"/>
  <c r="AB5" i="70"/>
  <c r="AB7" i="70"/>
  <c r="AB9" i="70"/>
  <c r="G6" i="69"/>
  <c r="G7" i="69"/>
  <c r="G8" i="69"/>
  <c r="G9" i="69"/>
  <c r="G5" i="69"/>
  <c r="F6" i="69"/>
  <c r="F7" i="69"/>
  <c r="L7" i="69" s="1"/>
  <c r="F8" i="69"/>
  <c r="L8" i="69" s="1"/>
  <c r="F9" i="69"/>
  <c r="F5" i="69"/>
  <c r="E9" i="69"/>
  <c r="E8" i="69"/>
  <c r="K8" i="69" s="1"/>
  <c r="E7" i="69"/>
  <c r="K7" i="69" s="1"/>
  <c r="E6" i="69"/>
  <c r="E5" i="69"/>
  <c r="L9" i="69" l="1"/>
  <c r="K5" i="69"/>
  <c r="K9" i="69"/>
  <c r="K6" i="69"/>
  <c r="L5" i="69"/>
  <c r="L6" i="69"/>
  <c r="A12" i="57"/>
  <c r="B12" i="57"/>
  <c r="C12" i="57"/>
  <c r="D12" i="57"/>
  <c r="E12" i="57"/>
  <c r="F12" i="57"/>
  <c r="G12" i="57"/>
  <c r="H12" i="57"/>
  <c r="I12" i="57"/>
  <c r="J12" i="57" s="1"/>
  <c r="K12" i="57" s="1"/>
  <c r="A13" i="57"/>
  <c r="B13" i="57"/>
  <c r="C13" i="57"/>
  <c r="D13" i="57"/>
  <c r="E13" i="57"/>
  <c r="F13" i="57"/>
  <c r="G13" i="57"/>
  <c r="H13" i="57"/>
  <c r="I13" i="57"/>
  <c r="J13" i="57" s="1"/>
  <c r="K13" i="57" s="1"/>
  <c r="C10" i="64" l="1"/>
  <c r="D10" i="64"/>
  <c r="F10" i="64"/>
  <c r="G10" i="64"/>
  <c r="C11" i="64"/>
  <c r="D11" i="64"/>
  <c r="F11" i="64"/>
  <c r="G11" i="64"/>
  <c r="C12" i="64"/>
  <c r="D12" i="64"/>
  <c r="F12" i="64"/>
  <c r="G12" i="64"/>
  <c r="C13" i="64"/>
  <c r="D13" i="64"/>
  <c r="F13" i="64"/>
  <c r="G13" i="64"/>
  <c r="CP11" i="82"/>
  <c r="CQ11" i="82"/>
  <c r="CS11" i="82"/>
  <c r="CT11" i="82"/>
  <c r="CP12" i="82"/>
  <c r="CQ12" i="82"/>
  <c r="CS12" i="82"/>
  <c r="CT12" i="82"/>
  <c r="CP13" i="82"/>
  <c r="CQ13" i="82"/>
  <c r="CS13" i="82"/>
  <c r="CT13" i="82"/>
  <c r="CP14" i="82"/>
  <c r="CQ14" i="82"/>
  <c r="CS14" i="82"/>
  <c r="CT14" i="82"/>
  <c r="P216" i="84"/>
  <c r="O216" i="84" s="1"/>
  <c r="L216" i="84"/>
  <c r="K216" i="84"/>
  <c r="J216" i="84"/>
  <c r="P215" i="84"/>
  <c r="L215" i="84"/>
  <c r="K215" i="84"/>
  <c r="J215" i="84"/>
  <c r="P214" i="84"/>
  <c r="L214" i="84"/>
  <c r="K214" i="84"/>
  <c r="J214" i="84"/>
  <c r="P213" i="84"/>
  <c r="O213" i="84" s="1"/>
  <c r="L213" i="84"/>
  <c r="K213" i="84"/>
  <c r="J213" i="84"/>
  <c r="P212" i="84"/>
  <c r="N212" i="84" s="1"/>
  <c r="M212" i="84" s="1"/>
  <c r="L212" i="84"/>
  <c r="K212" i="84"/>
  <c r="J212" i="84"/>
  <c r="P211" i="84"/>
  <c r="L211" i="84"/>
  <c r="K211" i="84"/>
  <c r="J211" i="84"/>
  <c r="P210" i="84"/>
  <c r="N210" i="84" s="1"/>
  <c r="M210" i="84" s="1"/>
  <c r="L210" i="84"/>
  <c r="K210" i="84"/>
  <c r="J210" i="84"/>
  <c r="P209" i="84"/>
  <c r="O209" i="84" s="1"/>
  <c r="L209" i="84"/>
  <c r="K209" i="84"/>
  <c r="J209" i="84"/>
  <c r="P208" i="84"/>
  <c r="O208" i="84" s="1"/>
  <c r="L208" i="84"/>
  <c r="K208" i="84"/>
  <c r="J208" i="84"/>
  <c r="P207" i="84"/>
  <c r="L207" i="84"/>
  <c r="K207" i="84"/>
  <c r="J207" i="84"/>
  <c r="G3" i="84"/>
  <c r="F3" i="84" s="1"/>
  <c r="G4" i="84"/>
  <c r="F4" i="84" s="1"/>
  <c r="G5" i="84"/>
  <c r="F5" i="84" s="1"/>
  <c r="G6" i="84"/>
  <c r="F6" i="84" s="1"/>
  <c r="G7" i="84"/>
  <c r="F7" i="84" s="1"/>
  <c r="G8" i="84"/>
  <c r="F8" i="84" s="1"/>
  <c r="G9" i="84"/>
  <c r="F9" i="84" s="1"/>
  <c r="G10" i="84"/>
  <c r="F10" i="84" s="1"/>
  <c r="G11" i="84"/>
  <c r="F11" i="84" s="1"/>
  <c r="G12" i="84"/>
  <c r="F12" i="84" s="1"/>
  <c r="G13" i="84"/>
  <c r="F13" i="84" s="1"/>
  <c r="G14" i="84"/>
  <c r="F14" i="84" s="1"/>
  <c r="G15" i="84"/>
  <c r="F15" i="84" s="1"/>
  <c r="G16" i="84"/>
  <c r="F16" i="84" s="1"/>
  <c r="G17" i="84"/>
  <c r="F17" i="84" s="1"/>
  <c r="G18" i="84"/>
  <c r="F18" i="84" s="1"/>
  <c r="G19" i="84"/>
  <c r="F19" i="84" s="1"/>
  <c r="G20" i="84"/>
  <c r="F20" i="84" s="1"/>
  <c r="G21" i="84"/>
  <c r="F21" i="84" s="1"/>
  <c r="G22" i="84"/>
  <c r="F22" i="84" s="1"/>
  <c r="G23" i="84"/>
  <c r="F23" i="84" s="1"/>
  <c r="G24" i="84"/>
  <c r="F24" i="84" s="1"/>
  <c r="G25" i="84"/>
  <c r="F25" i="84" s="1"/>
  <c r="G26" i="84"/>
  <c r="F26" i="84" s="1"/>
  <c r="G27" i="84"/>
  <c r="F27" i="84" s="1"/>
  <c r="G28" i="84"/>
  <c r="F28" i="84" s="1"/>
  <c r="G29" i="84"/>
  <c r="F29" i="84" s="1"/>
  <c r="G30" i="84"/>
  <c r="F30" i="84" s="1"/>
  <c r="G31" i="84"/>
  <c r="F31" i="84" s="1"/>
  <c r="G32" i="84"/>
  <c r="F32" i="84" s="1"/>
  <c r="G33" i="84"/>
  <c r="F33" i="84" s="1"/>
  <c r="G34" i="84"/>
  <c r="F34" i="84" s="1"/>
  <c r="G35" i="84"/>
  <c r="F35" i="84" s="1"/>
  <c r="G36" i="84"/>
  <c r="F36" i="84" s="1"/>
  <c r="G37" i="84"/>
  <c r="F37" i="84" s="1"/>
  <c r="G38" i="84"/>
  <c r="F38" i="84" s="1"/>
  <c r="G39" i="84"/>
  <c r="F39" i="84" s="1"/>
  <c r="G40" i="84"/>
  <c r="F40" i="84" s="1"/>
  <c r="G41" i="84"/>
  <c r="F41" i="84" s="1"/>
  <c r="G42" i="84"/>
  <c r="F42" i="84" s="1"/>
  <c r="G43" i="84"/>
  <c r="F43" i="84" s="1"/>
  <c r="G44" i="84"/>
  <c r="F44" i="84" s="1"/>
  <c r="G45" i="84"/>
  <c r="F45" i="84" s="1"/>
  <c r="G46" i="84"/>
  <c r="F46" i="84" s="1"/>
  <c r="G47" i="84"/>
  <c r="F47" i="84" s="1"/>
  <c r="G48" i="84"/>
  <c r="F48" i="84" s="1"/>
  <c r="G49" i="84"/>
  <c r="F49" i="84" s="1"/>
  <c r="G50" i="84"/>
  <c r="F50" i="84" s="1"/>
  <c r="G51" i="84"/>
  <c r="F51" i="84" s="1"/>
  <c r="G52" i="84"/>
  <c r="F52" i="84" s="1"/>
  <c r="G53" i="84"/>
  <c r="F53" i="84" s="1"/>
  <c r="G54" i="84"/>
  <c r="F54" i="84" s="1"/>
  <c r="G55" i="84"/>
  <c r="F55" i="84" s="1"/>
  <c r="G56" i="84"/>
  <c r="F56" i="84" s="1"/>
  <c r="G57" i="84"/>
  <c r="F57" i="84" s="1"/>
  <c r="G58" i="84"/>
  <c r="F58" i="84" s="1"/>
  <c r="G59" i="84"/>
  <c r="F59" i="84" s="1"/>
  <c r="G60" i="84"/>
  <c r="F60" i="84" s="1"/>
  <c r="G61" i="84"/>
  <c r="F61" i="84" s="1"/>
  <c r="G62" i="84"/>
  <c r="F62" i="84" s="1"/>
  <c r="G63" i="84"/>
  <c r="F63" i="84" s="1"/>
  <c r="G64" i="84"/>
  <c r="F64" i="84" s="1"/>
  <c r="G65" i="84"/>
  <c r="F65" i="84" s="1"/>
  <c r="G66" i="84"/>
  <c r="F66" i="84" s="1"/>
  <c r="G67" i="84"/>
  <c r="F67" i="84" s="1"/>
  <c r="G68" i="84"/>
  <c r="F68" i="84" s="1"/>
  <c r="G69" i="84"/>
  <c r="F69" i="84" s="1"/>
  <c r="G70" i="84"/>
  <c r="F70" i="84" s="1"/>
  <c r="G71" i="84"/>
  <c r="F71" i="84" s="1"/>
  <c r="G72" i="84"/>
  <c r="F72" i="84" s="1"/>
  <c r="G73" i="84"/>
  <c r="F73" i="84" s="1"/>
  <c r="G74" i="84"/>
  <c r="F74" i="84" s="1"/>
  <c r="G75" i="84"/>
  <c r="F75" i="84" s="1"/>
  <c r="G76" i="84"/>
  <c r="F76" i="84" s="1"/>
  <c r="G77" i="84"/>
  <c r="F77" i="84" s="1"/>
  <c r="G78" i="84"/>
  <c r="F78" i="84" s="1"/>
  <c r="G79" i="84"/>
  <c r="F79" i="84" s="1"/>
  <c r="G80" i="84"/>
  <c r="F80" i="84" s="1"/>
  <c r="G81" i="84"/>
  <c r="F81" i="84" s="1"/>
  <c r="G82" i="84"/>
  <c r="F82" i="84" s="1"/>
  <c r="G83" i="84"/>
  <c r="F83" i="84" s="1"/>
  <c r="G84" i="84"/>
  <c r="F84" i="84" s="1"/>
  <c r="G85" i="84"/>
  <c r="F85" i="84" s="1"/>
  <c r="G86" i="84"/>
  <c r="F86" i="84" s="1"/>
  <c r="G87" i="84"/>
  <c r="F87" i="84" s="1"/>
  <c r="G88" i="84"/>
  <c r="F88" i="84" s="1"/>
  <c r="G89" i="84"/>
  <c r="F89" i="84" s="1"/>
  <c r="G90" i="84"/>
  <c r="F90" i="84" s="1"/>
  <c r="G91" i="84"/>
  <c r="F91" i="84" s="1"/>
  <c r="G92" i="84"/>
  <c r="F92" i="84" s="1"/>
  <c r="G93" i="84"/>
  <c r="F93" i="84" s="1"/>
  <c r="G94" i="84"/>
  <c r="F94" i="84" s="1"/>
  <c r="G95" i="84"/>
  <c r="F95" i="84" s="1"/>
  <c r="G96" i="84"/>
  <c r="F96" i="84" s="1"/>
  <c r="G97" i="84"/>
  <c r="F97" i="84" s="1"/>
  <c r="G98" i="84"/>
  <c r="F98" i="84" s="1"/>
  <c r="G99" i="84"/>
  <c r="F99" i="84" s="1"/>
  <c r="G100" i="84"/>
  <c r="F100" i="84" s="1"/>
  <c r="G101" i="84"/>
  <c r="F101" i="84" s="1"/>
  <c r="G102" i="84"/>
  <c r="F102" i="84" s="1"/>
  <c r="G103" i="84"/>
  <c r="F103" i="84" s="1"/>
  <c r="G104" i="84"/>
  <c r="F104" i="84" s="1"/>
  <c r="G105" i="84"/>
  <c r="F105" i="84" s="1"/>
  <c r="G106" i="84"/>
  <c r="F106" i="84" s="1"/>
  <c r="G107" i="84"/>
  <c r="F107" i="84" s="1"/>
  <c r="G108" i="84"/>
  <c r="F108" i="84" s="1"/>
  <c r="G109" i="84"/>
  <c r="F109" i="84" s="1"/>
  <c r="G110" i="84"/>
  <c r="F110" i="84" s="1"/>
  <c r="G111" i="84"/>
  <c r="F111" i="84" s="1"/>
  <c r="G112" i="84"/>
  <c r="F112" i="84" s="1"/>
  <c r="G113" i="84"/>
  <c r="F113" i="84" s="1"/>
  <c r="G114" i="84"/>
  <c r="F114" i="84" s="1"/>
  <c r="G115" i="84"/>
  <c r="F115" i="84" s="1"/>
  <c r="G116" i="84"/>
  <c r="F116" i="84" s="1"/>
  <c r="G117" i="84"/>
  <c r="F117" i="84" s="1"/>
  <c r="G118" i="84"/>
  <c r="F118" i="84" s="1"/>
  <c r="G119" i="84"/>
  <c r="F119" i="84" s="1"/>
  <c r="G120" i="84"/>
  <c r="F120" i="84" s="1"/>
  <c r="G121" i="84"/>
  <c r="F121" i="84" s="1"/>
  <c r="G122" i="84"/>
  <c r="F122" i="84" s="1"/>
  <c r="G123" i="84"/>
  <c r="F123" i="84" s="1"/>
  <c r="G124" i="84"/>
  <c r="F124" i="84" s="1"/>
  <c r="G125" i="84"/>
  <c r="F125" i="84" s="1"/>
  <c r="G126" i="84"/>
  <c r="F126" i="84" s="1"/>
  <c r="G127" i="84"/>
  <c r="F127" i="84" s="1"/>
  <c r="G128" i="84"/>
  <c r="F128" i="84" s="1"/>
  <c r="G129" i="84"/>
  <c r="F129" i="84" s="1"/>
  <c r="G130" i="84"/>
  <c r="F130" i="84" s="1"/>
  <c r="G131" i="84"/>
  <c r="F131" i="84" s="1"/>
  <c r="G132" i="84"/>
  <c r="F132" i="84" s="1"/>
  <c r="G133" i="84"/>
  <c r="F133" i="84" s="1"/>
  <c r="G134" i="84"/>
  <c r="F134" i="84" s="1"/>
  <c r="G135" i="84"/>
  <c r="F135" i="84" s="1"/>
  <c r="G136" i="84"/>
  <c r="F136" i="84" s="1"/>
  <c r="G137" i="84"/>
  <c r="F137" i="84" s="1"/>
  <c r="G138" i="84"/>
  <c r="F138" i="84" s="1"/>
  <c r="G139" i="84"/>
  <c r="F139" i="84" s="1"/>
  <c r="G140" i="84"/>
  <c r="F140" i="84" s="1"/>
  <c r="G141" i="84"/>
  <c r="F141" i="84" s="1"/>
  <c r="G142" i="84"/>
  <c r="F142" i="84" s="1"/>
  <c r="G143" i="84"/>
  <c r="F143" i="84" s="1"/>
  <c r="G144" i="84"/>
  <c r="F144" i="84" s="1"/>
  <c r="G145" i="84"/>
  <c r="F145" i="84" s="1"/>
  <c r="G146" i="84"/>
  <c r="F146" i="84" s="1"/>
  <c r="G147" i="84"/>
  <c r="F147" i="84" s="1"/>
  <c r="G148" i="84"/>
  <c r="F148" i="84" s="1"/>
  <c r="G149" i="84"/>
  <c r="F149" i="84" s="1"/>
  <c r="G150" i="84"/>
  <c r="F150" i="84" s="1"/>
  <c r="G151" i="84"/>
  <c r="F151" i="84" s="1"/>
  <c r="G152" i="84"/>
  <c r="F152" i="84" s="1"/>
  <c r="G153" i="84"/>
  <c r="F153" i="84" s="1"/>
  <c r="G154" i="84"/>
  <c r="F154" i="84" s="1"/>
  <c r="G155" i="84"/>
  <c r="F155" i="84" s="1"/>
  <c r="G156" i="84"/>
  <c r="F156" i="84" s="1"/>
  <c r="G157" i="84"/>
  <c r="F157" i="84" s="1"/>
  <c r="G158" i="84"/>
  <c r="F158" i="84" s="1"/>
  <c r="G159" i="84"/>
  <c r="F159" i="84" s="1"/>
  <c r="G160" i="84"/>
  <c r="F160" i="84" s="1"/>
  <c r="G161" i="84"/>
  <c r="F161" i="84" s="1"/>
  <c r="G162" i="84"/>
  <c r="F162" i="84" s="1"/>
  <c r="G163" i="84"/>
  <c r="F163" i="84" s="1"/>
  <c r="G164" i="84"/>
  <c r="F164" i="84" s="1"/>
  <c r="G165" i="84"/>
  <c r="F165" i="84" s="1"/>
  <c r="G166" i="84"/>
  <c r="F166" i="84" s="1"/>
  <c r="G167" i="84"/>
  <c r="F167" i="84" s="1"/>
  <c r="G168" i="84"/>
  <c r="F168" i="84" s="1"/>
  <c r="G169" i="84"/>
  <c r="F169" i="84" s="1"/>
  <c r="G170" i="84"/>
  <c r="F170" i="84" s="1"/>
  <c r="G171" i="84"/>
  <c r="F171" i="84" s="1"/>
  <c r="G172" i="84"/>
  <c r="F172" i="84" s="1"/>
  <c r="G173" i="84"/>
  <c r="F173" i="84" s="1"/>
  <c r="G174" i="84"/>
  <c r="F174" i="84" s="1"/>
  <c r="G175" i="84"/>
  <c r="F175" i="84" s="1"/>
  <c r="G176" i="84"/>
  <c r="F176" i="84" s="1"/>
  <c r="G177" i="84"/>
  <c r="F177" i="84" s="1"/>
  <c r="G178" i="84"/>
  <c r="F178" i="84" s="1"/>
  <c r="G179" i="84"/>
  <c r="F179" i="84" s="1"/>
  <c r="G180" i="84"/>
  <c r="F180" i="84" s="1"/>
  <c r="G181" i="84"/>
  <c r="F181" i="84" s="1"/>
  <c r="G182" i="84"/>
  <c r="F182" i="84" s="1"/>
  <c r="G183" i="84"/>
  <c r="F183" i="84" s="1"/>
  <c r="G184" i="84"/>
  <c r="F184" i="84" s="1"/>
  <c r="G185" i="84"/>
  <c r="F185" i="84" s="1"/>
  <c r="G186" i="84"/>
  <c r="F186" i="84" s="1"/>
  <c r="G187" i="84"/>
  <c r="F187" i="84" s="1"/>
  <c r="G188" i="84"/>
  <c r="F188" i="84" s="1"/>
  <c r="G189" i="84"/>
  <c r="F189" i="84" s="1"/>
  <c r="G190" i="84"/>
  <c r="F190" i="84" s="1"/>
  <c r="G191" i="84"/>
  <c r="F191" i="84" s="1"/>
  <c r="G192" i="84"/>
  <c r="F192" i="84" s="1"/>
  <c r="G193" i="84"/>
  <c r="F193" i="84" s="1"/>
  <c r="G194" i="84"/>
  <c r="F194" i="84" s="1"/>
  <c r="G195" i="84"/>
  <c r="F195" i="84" s="1"/>
  <c r="G196" i="84"/>
  <c r="F196" i="84" s="1"/>
  <c r="G197" i="84"/>
  <c r="F197" i="84" s="1"/>
  <c r="G198" i="84"/>
  <c r="F198" i="84" s="1"/>
  <c r="G199" i="84"/>
  <c r="F199" i="84" s="1"/>
  <c r="G200" i="84"/>
  <c r="F200" i="84" s="1"/>
  <c r="G201" i="84"/>
  <c r="F201" i="84" s="1"/>
  <c r="G202" i="84"/>
  <c r="F202" i="84" s="1"/>
  <c r="G203" i="84"/>
  <c r="F203" i="84" s="1"/>
  <c r="G204" i="84"/>
  <c r="F204" i="84" s="1"/>
  <c r="G205" i="84"/>
  <c r="F205" i="84" s="1"/>
  <c r="G206" i="84"/>
  <c r="F206" i="84" s="1"/>
  <c r="G207" i="84"/>
  <c r="F207" i="84" s="1"/>
  <c r="G208" i="84"/>
  <c r="F208" i="84" s="1"/>
  <c r="G209" i="84"/>
  <c r="F209" i="84" s="1"/>
  <c r="G210" i="84"/>
  <c r="F210" i="84" s="1"/>
  <c r="G211" i="84"/>
  <c r="F211" i="84" s="1"/>
  <c r="G212" i="84"/>
  <c r="F212" i="84" s="1"/>
  <c r="G213" i="84"/>
  <c r="F213" i="84" s="1"/>
  <c r="G214" i="84"/>
  <c r="F214" i="84" s="1"/>
  <c r="G215" i="84"/>
  <c r="F215" i="84" s="1"/>
  <c r="G216" i="84"/>
  <c r="F216" i="84" s="1"/>
  <c r="E3" i="84"/>
  <c r="E4" i="84" s="1"/>
  <c r="E5" i="84" s="1"/>
  <c r="E6" i="84" s="1"/>
  <c r="E7" i="84" s="1"/>
  <c r="E8" i="84" s="1"/>
  <c r="E9" i="84" s="1"/>
  <c r="E10" i="84" s="1"/>
  <c r="E11" i="84" s="1"/>
  <c r="E12" i="84" s="1"/>
  <c r="E13" i="84" s="1"/>
  <c r="E14" i="84" s="1"/>
  <c r="E15" i="84" s="1"/>
  <c r="E16" i="84" s="1"/>
  <c r="E17" i="84" s="1"/>
  <c r="E18" i="84" s="1"/>
  <c r="E19" i="84" s="1"/>
  <c r="E20" i="84" s="1"/>
  <c r="E21" i="84" s="1"/>
  <c r="E22" i="84" s="1"/>
  <c r="E23" i="84" s="1"/>
  <c r="E24" i="84" s="1"/>
  <c r="E25" i="84" s="1"/>
  <c r="E26" i="84" s="1"/>
  <c r="E27" i="84" s="1"/>
  <c r="E28" i="84" s="1"/>
  <c r="E29" i="84" s="1"/>
  <c r="E30" i="84" s="1"/>
  <c r="E31" i="84" s="1"/>
  <c r="E32" i="84" s="1"/>
  <c r="E33" i="84" s="1"/>
  <c r="E34" i="84" s="1"/>
  <c r="E35" i="84" s="1"/>
  <c r="E36" i="84" s="1"/>
  <c r="E37" i="84" s="1"/>
  <c r="E38" i="84" s="1"/>
  <c r="E39" i="84" s="1"/>
  <c r="E40" i="84" s="1"/>
  <c r="E41" i="84" s="1"/>
  <c r="E42" i="84" s="1"/>
  <c r="E43" i="84" s="1"/>
  <c r="E44" i="84" s="1"/>
  <c r="E45" i="84" s="1"/>
  <c r="E46" i="84" s="1"/>
  <c r="E47" i="84" s="1"/>
  <c r="E48" i="84" s="1"/>
  <c r="E49" i="84" s="1"/>
  <c r="E50" i="84" s="1"/>
  <c r="E51" i="84" s="1"/>
  <c r="E52" i="84" s="1"/>
  <c r="E53" i="84" s="1"/>
  <c r="E54" i="84" s="1"/>
  <c r="E55" i="84" s="1"/>
  <c r="E56" i="84" s="1"/>
  <c r="E57" i="84" s="1"/>
  <c r="E58" i="84" s="1"/>
  <c r="E59" i="84" s="1"/>
  <c r="E60" i="84" s="1"/>
  <c r="E61" i="84" s="1"/>
  <c r="E62" i="84" s="1"/>
  <c r="E63" i="84" s="1"/>
  <c r="E64" i="84" s="1"/>
  <c r="E65" i="84" s="1"/>
  <c r="E66" i="84" s="1"/>
  <c r="E67" i="84" s="1"/>
  <c r="E68" i="84" s="1"/>
  <c r="E69" i="84" s="1"/>
  <c r="E70" i="84" s="1"/>
  <c r="E71" i="84" s="1"/>
  <c r="E72" i="84" s="1"/>
  <c r="E73" i="84" s="1"/>
  <c r="E74" i="84" s="1"/>
  <c r="E75" i="84" s="1"/>
  <c r="E76" i="84" s="1"/>
  <c r="E77" i="84" s="1"/>
  <c r="E78" i="84" s="1"/>
  <c r="E79" i="84" s="1"/>
  <c r="E80" i="84" s="1"/>
  <c r="E81" i="84" s="1"/>
  <c r="E82" i="84" s="1"/>
  <c r="E83" i="84" s="1"/>
  <c r="E84" i="84" s="1"/>
  <c r="E85" i="84" s="1"/>
  <c r="E86" i="84" s="1"/>
  <c r="E87" i="84" s="1"/>
  <c r="E88" i="84" s="1"/>
  <c r="E89" i="84" s="1"/>
  <c r="E90" i="84" s="1"/>
  <c r="E91" i="84" s="1"/>
  <c r="E92" i="84" s="1"/>
  <c r="E93" i="84" s="1"/>
  <c r="E94" i="84" s="1"/>
  <c r="E95" i="84" s="1"/>
  <c r="E96" i="84" s="1"/>
  <c r="E97" i="84" s="1"/>
  <c r="E98" i="84" s="1"/>
  <c r="E99" i="84" s="1"/>
  <c r="E100" i="84" s="1"/>
  <c r="E101" i="84" s="1"/>
  <c r="E102" i="84" s="1"/>
  <c r="E103" i="84" s="1"/>
  <c r="E104" i="84" s="1"/>
  <c r="E105" i="84" s="1"/>
  <c r="E106" i="84" s="1"/>
  <c r="E107" i="84" s="1"/>
  <c r="E108" i="84" s="1"/>
  <c r="E109" i="84" s="1"/>
  <c r="E110" i="84" s="1"/>
  <c r="E111" i="84" s="1"/>
  <c r="E112" i="84" s="1"/>
  <c r="E113" i="84" s="1"/>
  <c r="E114" i="84" s="1"/>
  <c r="E115" i="84" s="1"/>
  <c r="E116" i="84" s="1"/>
  <c r="E117" i="84" s="1"/>
  <c r="E118" i="84" s="1"/>
  <c r="E119" i="84" s="1"/>
  <c r="E120" i="84" s="1"/>
  <c r="E121" i="84" s="1"/>
  <c r="E122" i="84" s="1"/>
  <c r="E123" i="84" s="1"/>
  <c r="E124" i="84" s="1"/>
  <c r="E125" i="84" s="1"/>
  <c r="E126" i="84" s="1"/>
  <c r="E127" i="84" s="1"/>
  <c r="E128" i="84" s="1"/>
  <c r="E129" i="84" s="1"/>
  <c r="E130" i="84" s="1"/>
  <c r="E131" i="84" s="1"/>
  <c r="E132" i="84" s="1"/>
  <c r="E133" i="84" s="1"/>
  <c r="E134" i="84" s="1"/>
  <c r="E135" i="84" s="1"/>
  <c r="E136" i="84" s="1"/>
  <c r="E137" i="84" s="1"/>
  <c r="E138" i="84" s="1"/>
  <c r="E139" i="84" s="1"/>
  <c r="E140" i="84" s="1"/>
  <c r="E141" i="84" s="1"/>
  <c r="E142" i="84" s="1"/>
  <c r="E143" i="84" s="1"/>
  <c r="E144" i="84" s="1"/>
  <c r="E145" i="84" s="1"/>
  <c r="E146" i="84" s="1"/>
  <c r="E147" i="84" s="1"/>
  <c r="E148" i="84" s="1"/>
  <c r="E149" i="84" s="1"/>
  <c r="E150" i="84" s="1"/>
  <c r="E151" i="84" s="1"/>
  <c r="E152" i="84" s="1"/>
  <c r="E153" i="84" s="1"/>
  <c r="E154" i="84" s="1"/>
  <c r="E155" i="84" s="1"/>
  <c r="E156" i="84" s="1"/>
  <c r="E157" i="84" s="1"/>
  <c r="E158" i="84" s="1"/>
  <c r="E159" i="84" s="1"/>
  <c r="E160" i="84" s="1"/>
  <c r="E161" i="84" s="1"/>
  <c r="E162" i="84" s="1"/>
  <c r="E163" i="84" s="1"/>
  <c r="E164" i="84" s="1"/>
  <c r="E165" i="84" s="1"/>
  <c r="E166" i="84" s="1"/>
  <c r="E167" i="84" s="1"/>
  <c r="E168" i="84" s="1"/>
  <c r="E169" i="84" s="1"/>
  <c r="E170" i="84" s="1"/>
  <c r="E171" i="84" s="1"/>
  <c r="E172" i="84" s="1"/>
  <c r="E173" i="84" s="1"/>
  <c r="E174" i="84" s="1"/>
  <c r="E175" i="84" s="1"/>
  <c r="E176" i="84" s="1"/>
  <c r="E177" i="84" s="1"/>
  <c r="E178" i="84" s="1"/>
  <c r="E179" i="84" s="1"/>
  <c r="E180" i="84" s="1"/>
  <c r="E181" i="84" s="1"/>
  <c r="E182" i="84" s="1"/>
  <c r="E183" i="84" s="1"/>
  <c r="E184" i="84" s="1"/>
  <c r="E185" i="84" s="1"/>
  <c r="E186" i="84" s="1"/>
  <c r="E187" i="84" s="1"/>
  <c r="E188" i="84" s="1"/>
  <c r="E189" i="84" s="1"/>
  <c r="E190" i="84" s="1"/>
  <c r="E191" i="84" s="1"/>
  <c r="E192" i="84" s="1"/>
  <c r="E193" i="84" s="1"/>
  <c r="E194" i="84" s="1"/>
  <c r="E195" i="84" s="1"/>
  <c r="E196" i="84" s="1"/>
  <c r="E197" i="84" s="1"/>
  <c r="E198" i="84" s="1"/>
  <c r="E199" i="84" s="1"/>
  <c r="E200" i="84" s="1"/>
  <c r="E201" i="84" s="1"/>
  <c r="E202" i="84" s="1"/>
  <c r="E203" i="84" s="1"/>
  <c r="E204" i="84" s="1"/>
  <c r="E205" i="84" s="1"/>
  <c r="E206" i="84" s="1"/>
  <c r="E207" i="84" s="1"/>
  <c r="E208" i="84" s="1"/>
  <c r="E209" i="84" s="1"/>
  <c r="E210" i="84" s="1"/>
  <c r="E211" i="84" s="1"/>
  <c r="E212" i="84" s="1"/>
  <c r="E213" i="84" s="1"/>
  <c r="E214" i="84" s="1"/>
  <c r="E215" i="84" s="1"/>
  <c r="E216" i="84" s="1"/>
  <c r="E217" i="84" s="1"/>
  <c r="C3" i="84"/>
  <c r="B3" i="84"/>
  <c r="B4" i="84" s="1"/>
  <c r="B5" i="84" s="1"/>
  <c r="B6" i="84" s="1"/>
  <c r="B7" i="84" s="1"/>
  <c r="B8" i="84" s="1"/>
  <c r="B9" i="84" s="1"/>
  <c r="B10" i="84" l="1"/>
  <c r="B11" i="84" s="1"/>
  <c r="B12" i="84" s="1"/>
  <c r="B13" i="84" s="1"/>
  <c r="E218" i="84"/>
  <c r="E219" i="84" s="1"/>
  <c r="E220" i="84" s="1"/>
  <c r="O212" i="84"/>
  <c r="N209" i="84"/>
  <c r="M209" i="84" s="1"/>
  <c r="CR11" i="82"/>
  <c r="CU11" i="82" s="1"/>
  <c r="E13" i="64"/>
  <c r="H13" i="64" s="1"/>
  <c r="E11" i="64"/>
  <c r="H11" i="64" s="1"/>
  <c r="E10" i="64"/>
  <c r="H10" i="64" s="1"/>
  <c r="CR13" i="82"/>
  <c r="CU13" i="82" s="1"/>
  <c r="CR14" i="82"/>
  <c r="CU14" i="82" s="1"/>
  <c r="CR12" i="82"/>
  <c r="CU12" i="82" s="1"/>
  <c r="E12" i="64"/>
  <c r="H12" i="64" s="1"/>
  <c r="N208" i="84"/>
  <c r="M208" i="84" s="1"/>
  <c r="O210" i="84"/>
  <c r="N213" i="84"/>
  <c r="M213" i="84" s="1"/>
  <c r="N216" i="84"/>
  <c r="M216" i="84" s="1"/>
  <c r="N214" i="84"/>
  <c r="M214" i="84" s="1"/>
  <c r="O214" i="84"/>
  <c r="O215" i="84"/>
  <c r="N215" i="84"/>
  <c r="M215" i="84" s="1"/>
  <c r="O211" i="84"/>
  <c r="N211" i="84"/>
  <c r="M211" i="84" s="1"/>
  <c r="O207" i="84"/>
  <c r="N207" i="84"/>
  <c r="M207" i="84" s="1"/>
  <c r="E221" i="84" l="1"/>
  <c r="E222" i="84" s="1"/>
  <c r="E223" i="84" s="1"/>
  <c r="E224" i="84" s="1"/>
  <c r="E225" i="84" s="1"/>
  <c r="E226" i="84" s="1"/>
  <c r="E227" i="84" s="1"/>
  <c r="E228" i="84" s="1"/>
  <c r="E229" i="84" s="1"/>
  <c r="E230" i="84" s="1"/>
  <c r="E231" i="84" s="1"/>
  <c r="E232" i="84" s="1"/>
  <c r="E233" i="84" s="1"/>
  <c r="E234" i="84" s="1"/>
  <c r="E235" i="84" s="1"/>
  <c r="E236" i="84" s="1"/>
  <c r="E237" i="84" s="1"/>
  <c r="E238" i="84" s="1"/>
  <c r="E239" i="84" s="1"/>
  <c r="E240" i="84" s="1"/>
  <c r="E241" i="84" s="1"/>
  <c r="E242" i="84" s="1"/>
  <c r="E243" i="84" s="1"/>
  <c r="E244" i="84" s="1"/>
  <c r="E245" i="84" s="1"/>
  <c r="E246" i="84" s="1"/>
  <c r="E247" i="84" s="1"/>
  <c r="E248" i="84" s="1"/>
  <c r="E249" i="84" s="1"/>
  <c r="E250" i="84" s="1"/>
  <c r="E251" i="84" s="1"/>
  <c r="E252" i="84" s="1"/>
  <c r="E253" i="84" s="1"/>
  <c r="B14" i="84"/>
  <c r="E254" i="84" l="1"/>
  <c r="E255" i="84" s="1"/>
  <c r="E256" i="84" s="1"/>
  <c r="E257" i="84" s="1"/>
  <c r="E258" i="84" s="1"/>
  <c r="E259" i="84" s="1"/>
  <c r="E260" i="84" s="1"/>
  <c r="E261" i="84" s="1"/>
  <c r="B15" i="84"/>
  <c r="B16" i="84" l="1"/>
  <c r="B17" i="84" l="1"/>
  <c r="B18" i="84" l="1"/>
  <c r="B19" i="84" l="1"/>
  <c r="B20" i="84" l="1"/>
  <c r="B21" i="84" l="1"/>
  <c r="B22" i="84" l="1"/>
  <c r="B23" i="84" l="1"/>
  <c r="B24" i="84" l="1"/>
  <c r="B25" i="84" l="1"/>
  <c r="B26" i="84" l="1"/>
  <c r="B27" i="84" l="1"/>
  <c r="B28" i="84" l="1"/>
  <c r="B29" i="84" l="1"/>
  <c r="B30" i="84" l="1"/>
  <c r="B31" i="84" l="1"/>
  <c r="B32" i="84" l="1"/>
  <c r="B33" i="84" l="1"/>
  <c r="B34" i="84" l="1"/>
  <c r="B35" i="84" l="1"/>
  <c r="B36" i="84" l="1"/>
  <c r="B37" i="84" l="1"/>
  <c r="B38" i="84" l="1"/>
  <c r="B39" i="84" l="1"/>
  <c r="B40" i="84" l="1"/>
  <c r="B41" i="84" l="1"/>
  <c r="B42" i="84" l="1"/>
  <c r="B43" i="84" l="1"/>
  <c r="B44" i="84" l="1"/>
  <c r="B45" i="84" l="1"/>
  <c r="B46" i="84" l="1"/>
  <c r="B47" i="84" l="1"/>
  <c r="B48" i="84" l="1"/>
  <c r="B49" i="84" l="1"/>
  <c r="B50" i="84" l="1"/>
  <c r="B51" i="84" l="1"/>
  <c r="B52" i="84" l="1"/>
  <c r="B53" i="84" l="1"/>
  <c r="B54" i="84" l="1"/>
  <c r="B55" i="84" l="1"/>
  <c r="B56" i="84" l="1"/>
  <c r="B57" i="84" l="1"/>
  <c r="B58" i="84" l="1"/>
  <c r="B59" i="84" l="1"/>
  <c r="B60" i="84" l="1"/>
  <c r="B61" i="84" l="1"/>
  <c r="B62" i="84" l="1"/>
  <c r="B63" i="84" l="1"/>
  <c r="B64" i="84" l="1"/>
  <c r="B65" i="84" l="1"/>
  <c r="B66" i="84" l="1"/>
  <c r="B67" i="84" l="1"/>
  <c r="B68" i="84" l="1"/>
  <c r="B69" i="84" l="1"/>
  <c r="B70" i="84" l="1"/>
  <c r="B71" i="84" l="1"/>
  <c r="B72" i="84" l="1"/>
  <c r="B73" i="84" l="1"/>
  <c r="B74" i="84" l="1"/>
  <c r="B75" i="84" l="1"/>
  <c r="B76" i="84" l="1"/>
  <c r="B77" i="84" l="1"/>
  <c r="B78" i="84" l="1"/>
  <c r="B79" i="84" l="1"/>
  <c r="B80" i="84" l="1"/>
  <c r="B81" i="84" l="1"/>
  <c r="B82" i="84" l="1"/>
  <c r="B83" i="84" l="1"/>
  <c r="B84" i="84" l="1"/>
  <c r="B85" i="84" l="1"/>
  <c r="B86" i="84" l="1"/>
  <c r="B87" i="84" l="1"/>
  <c r="B88" i="84" l="1"/>
  <c r="B89" i="84" l="1"/>
  <c r="B90" i="84" s="1"/>
  <c r="B91" i="84" l="1"/>
  <c r="G15" i="48"/>
  <c r="G16" i="48"/>
  <c r="H16" i="48"/>
  <c r="G17" i="48"/>
  <c r="G18" i="48"/>
  <c r="A215" i="86"/>
  <c r="A216" i="86"/>
  <c r="A217" i="86"/>
  <c r="A218" i="86"/>
  <c r="A219" i="86"/>
  <c r="A220" i="86"/>
  <c r="A221" i="86"/>
  <c r="A222" i="86"/>
  <c r="A223" i="86"/>
  <c r="A224" i="86"/>
  <c r="A225" i="86"/>
  <c r="A226" i="86"/>
  <c r="A227" i="86"/>
  <c r="A228" i="86"/>
  <c r="A229" i="86"/>
  <c r="B192" i="45"/>
  <c r="B193" i="45"/>
  <c r="B194" i="45"/>
  <c r="B195" i="45"/>
  <c r="B196" i="45"/>
  <c r="B197" i="45"/>
  <c r="B198" i="45"/>
  <c r="B199" i="45"/>
  <c r="B200" i="45"/>
  <c r="B201" i="45"/>
  <c r="B202" i="45"/>
  <c r="B203" i="45"/>
  <c r="B204" i="45"/>
  <c r="B205" i="45"/>
  <c r="B206" i="45"/>
  <c r="B207" i="45"/>
  <c r="B208" i="45"/>
  <c r="B209" i="45"/>
  <c r="B210" i="45"/>
  <c r="B92" i="84" l="1"/>
  <c r="A4" i="84"/>
  <c r="B93" i="84" l="1"/>
  <c r="A5" i="84"/>
  <c r="A6" i="84" s="1"/>
  <c r="A7" i="84" s="1"/>
  <c r="C4" i="84"/>
  <c r="C5" i="84" s="1"/>
  <c r="C6" i="84" s="1"/>
  <c r="C7" i="84" s="1"/>
  <c r="B94" i="84" l="1"/>
  <c r="B95" i="84" s="1"/>
  <c r="B96" i="84" s="1"/>
  <c r="B97" i="84" s="1"/>
  <c r="B98" i="84" s="1"/>
  <c r="B99" i="84" s="1"/>
  <c r="B100" i="84" s="1"/>
  <c r="B101" i="84" s="1"/>
  <c r="B102" i="84" s="1"/>
  <c r="B103" i="84" s="1"/>
  <c r="B104" i="84" s="1"/>
  <c r="B105" i="84" s="1"/>
  <c r="B106" i="84" s="1"/>
  <c r="B107" i="84" s="1"/>
  <c r="B108" i="84" s="1"/>
  <c r="B109" i="84" s="1"/>
  <c r="B110" i="84" s="1"/>
  <c r="B111" i="84" s="1"/>
  <c r="B112" i="84" s="1"/>
  <c r="B113" i="84" s="1"/>
  <c r="B114" i="84" s="1"/>
  <c r="B115" i="84" s="1"/>
  <c r="B116" i="84" s="1"/>
  <c r="B117" i="84" s="1"/>
  <c r="C8" i="84"/>
  <c r="H7" i="84"/>
  <c r="A8" i="84"/>
  <c r="A9" i="84" s="1"/>
  <c r="B118" i="84" l="1"/>
  <c r="B119" i="84" s="1"/>
  <c r="B120" i="84" s="1"/>
  <c r="B121" i="84" s="1"/>
  <c r="B122" i="84" s="1"/>
  <c r="B123" i="84" s="1"/>
  <c r="B124" i="84" s="1"/>
  <c r="B125" i="84" s="1"/>
  <c r="B126" i="84" s="1"/>
  <c r="B127" i="84" s="1"/>
  <c r="B128" i="84" s="1"/>
  <c r="B129" i="84" s="1"/>
  <c r="B130" i="84" s="1"/>
  <c r="B131" i="84" s="1"/>
  <c r="B132" i="84" s="1"/>
  <c r="B133" i="84" s="1"/>
  <c r="B134" i="84" s="1"/>
  <c r="B135" i="84" s="1"/>
  <c r="B136" i="84" s="1"/>
  <c r="B137" i="84" s="1"/>
  <c r="B138" i="84" s="1"/>
  <c r="B139" i="84" s="1"/>
  <c r="B140" i="84" s="1"/>
  <c r="B141" i="84" s="1"/>
  <c r="B142" i="84" s="1"/>
  <c r="B143" i="84" s="1"/>
  <c r="A10" i="84"/>
  <c r="A11" i="84" s="1"/>
  <c r="A12" i="84" s="1"/>
  <c r="C9" i="84"/>
  <c r="B202" i="75"/>
  <c r="C202" i="75"/>
  <c r="D202" i="75"/>
  <c r="E202" i="75"/>
  <c r="F202" i="75"/>
  <c r="G202" i="75"/>
  <c r="B203" i="75"/>
  <c r="C203" i="75"/>
  <c r="D203" i="75"/>
  <c r="E203" i="75"/>
  <c r="F203" i="75"/>
  <c r="G203" i="75"/>
  <c r="B204" i="75"/>
  <c r="C204" i="75"/>
  <c r="D204" i="75"/>
  <c r="E204" i="75"/>
  <c r="F204" i="75"/>
  <c r="G204" i="75"/>
  <c r="B205" i="75"/>
  <c r="C205" i="75"/>
  <c r="D205" i="75"/>
  <c r="E205" i="75"/>
  <c r="F205" i="75"/>
  <c r="G205" i="75"/>
  <c r="B206" i="75"/>
  <c r="C206" i="75"/>
  <c r="D206" i="75"/>
  <c r="E206" i="75"/>
  <c r="F206" i="75"/>
  <c r="G206" i="75"/>
  <c r="B207" i="75"/>
  <c r="C207" i="75"/>
  <c r="D207" i="75"/>
  <c r="E207" i="75"/>
  <c r="F207" i="75"/>
  <c r="G207" i="75"/>
  <c r="B208" i="75"/>
  <c r="C208" i="75"/>
  <c r="D208" i="75"/>
  <c r="E208" i="75"/>
  <c r="F208" i="75"/>
  <c r="G208" i="75"/>
  <c r="B209" i="75"/>
  <c r="C209" i="75"/>
  <c r="D209" i="75"/>
  <c r="E209" i="75"/>
  <c r="F209" i="75"/>
  <c r="G209" i="75"/>
  <c r="B210" i="75"/>
  <c r="C210" i="75"/>
  <c r="D210" i="75"/>
  <c r="E210" i="75"/>
  <c r="F210" i="75"/>
  <c r="G210" i="75"/>
  <c r="B211" i="75"/>
  <c r="C211" i="75"/>
  <c r="D211" i="75"/>
  <c r="E211" i="75"/>
  <c r="F211" i="75"/>
  <c r="G211" i="75"/>
  <c r="B212" i="75"/>
  <c r="C212" i="75"/>
  <c r="D212" i="75"/>
  <c r="E212" i="75"/>
  <c r="F212" i="75"/>
  <c r="G212" i="75"/>
  <c r="B213" i="75"/>
  <c r="C213" i="75"/>
  <c r="D213" i="75"/>
  <c r="E213" i="75"/>
  <c r="F213" i="75"/>
  <c r="G213" i="75"/>
  <c r="B214" i="75"/>
  <c r="C214" i="75"/>
  <c r="D214" i="75"/>
  <c r="E214" i="75"/>
  <c r="F214" i="75"/>
  <c r="G214" i="75"/>
  <c r="A215" i="75"/>
  <c r="B215" i="75"/>
  <c r="C215" i="75"/>
  <c r="D215" i="75"/>
  <c r="E215" i="75"/>
  <c r="F215" i="75"/>
  <c r="G215" i="75"/>
  <c r="A216" i="75"/>
  <c r="B216" i="75"/>
  <c r="C216" i="75"/>
  <c r="D216" i="75"/>
  <c r="E216" i="75"/>
  <c r="F216" i="75"/>
  <c r="G216" i="75"/>
  <c r="A217" i="75"/>
  <c r="B217" i="75"/>
  <c r="C217" i="75"/>
  <c r="D217" i="75"/>
  <c r="E217" i="75"/>
  <c r="F217" i="75"/>
  <c r="G217" i="75"/>
  <c r="A218" i="75"/>
  <c r="B218" i="75"/>
  <c r="C218" i="75"/>
  <c r="D218" i="75"/>
  <c r="E218" i="75"/>
  <c r="F218" i="75"/>
  <c r="G218" i="75"/>
  <c r="A219" i="75"/>
  <c r="B219" i="75"/>
  <c r="C219" i="75"/>
  <c r="D219" i="75"/>
  <c r="E219" i="75"/>
  <c r="F219" i="75"/>
  <c r="G219" i="75"/>
  <c r="A220" i="75"/>
  <c r="B220" i="75"/>
  <c r="C220" i="75"/>
  <c r="D220" i="75"/>
  <c r="E220" i="75"/>
  <c r="F220" i="75"/>
  <c r="G220" i="75"/>
  <c r="A221" i="75"/>
  <c r="B221" i="75"/>
  <c r="C221" i="75"/>
  <c r="D221" i="75"/>
  <c r="E221" i="75"/>
  <c r="F221" i="75"/>
  <c r="G221" i="75"/>
  <c r="A222" i="75"/>
  <c r="B222" i="75"/>
  <c r="C222" i="75"/>
  <c r="D222" i="75"/>
  <c r="E222" i="75"/>
  <c r="F222" i="75"/>
  <c r="G222" i="75"/>
  <c r="A223" i="75"/>
  <c r="B223" i="75"/>
  <c r="C223" i="75"/>
  <c r="D223" i="75"/>
  <c r="E223" i="75"/>
  <c r="F223" i="75"/>
  <c r="G223" i="75"/>
  <c r="A224" i="75"/>
  <c r="B224" i="75"/>
  <c r="C224" i="75"/>
  <c r="D224" i="75"/>
  <c r="E224" i="75"/>
  <c r="F224" i="75"/>
  <c r="G224" i="75"/>
  <c r="A225" i="75"/>
  <c r="B225" i="75"/>
  <c r="C225" i="75"/>
  <c r="D225" i="75"/>
  <c r="E225" i="75"/>
  <c r="F225" i="75"/>
  <c r="G225" i="75"/>
  <c r="A226" i="75"/>
  <c r="B226" i="75"/>
  <c r="C226" i="75"/>
  <c r="D226" i="75"/>
  <c r="E226" i="75"/>
  <c r="F226" i="75"/>
  <c r="G226" i="75"/>
  <c r="A227" i="75"/>
  <c r="B227" i="75"/>
  <c r="C227" i="75"/>
  <c r="D227" i="75"/>
  <c r="E227" i="75"/>
  <c r="F227" i="75"/>
  <c r="G227" i="75"/>
  <c r="A228" i="75"/>
  <c r="B228" i="75"/>
  <c r="C228" i="75"/>
  <c r="D228" i="75"/>
  <c r="E228" i="75"/>
  <c r="F228" i="75"/>
  <c r="G228" i="75"/>
  <c r="A229" i="75"/>
  <c r="B229" i="75"/>
  <c r="C229" i="75"/>
  <c r="D229" i="75"/>
  <c r="E229" i="75"/>
  <c r="F229" i="75"/>
  <c r="G229" i="75"/>
  <c r="A230" i="75"/>
  <c r="B230" i="75"/>
  <c r="C230" i="75"/>
  <c r="D230" i="75"/>
  <c r="E230" i="75"/>
  <c r="F230" i="75"/>
  <c r="G230" i="75"/>
  <c r="A231" i="75"/>
  <c r="B231" i="75"/>
  <c r="C231" i="75"/>
  <c r="D231" i="75"/>
  <c r="E231" i="75"/>
  <c r="F231" i="75"/>
  <c r="G231" i="75"/>
  <c r="A232" i="75"/>
  <c r="B232" i="75"/>
  <c r="C232" i="75"/>
  <c r="D232" i="75"/>
  <c r="E232" i="75"/>
  <c r="F232" i="75"/>
  <c r="G232" i="75"/>
  <c r="A233" i="75"/>
  <c r="B233" i="75"/>
  <c r="C233" i="75"/>
  <c r="D233" i="75"/>
  <c r="E233" i="75"/>
  <c r="F233" i="75"/>
  <c r="G233" i="75"/>
  <c r="A234" i="75"/>
  <c r="B234" i="75"/>
  <c r="C234" i="75"/>
  <c r="D234" i="75"/>
  <c r="E234" i="75"/>
  <c r="F234" i="75"/>
  <c r="G234" i="75"/>
  <c r="A235" i="75"/>
  <c r="B235" i="75"/>
  <c r="C235" i="75"/>
  <c r="D235" i="75"/>
  <c r="E235" i="75"/>
  <c r="F235" i="75"/>
  <c r="G235" i="75"/>
  <c r="A236" i="75"/>
  <c r="B236" i="75"/>
  <c r="C236" i="75"/>
  <c r="D236" i="75"/>
  <c r="E236" i="75"/>
  <c r="F236" i="75"/>
  <c r="G236" i="75"/>
  <c r="A237" i="75"/>
  <c r="B237" i="75"/>
  <c r="C237" i="75"/>
  <c r="D237" i="75"/>
  <c r="E237" i="75"/>
  <c r="F237" i="75"/>
  <c r="G237" i="75"/>
  <c r="A238" i="75"/>
  <c r="B238" i="75"/>
  <c r="C238" i="75"/>
  <c r="D238" i="75"/>
  <c r="E238" i="75"/>
  <c r="F238" i="75"/>
  <c r="G238" i="75"/>
  <c r="A239" i="75"/>
  <c r="B239" i="75"/>
  <c r="C239" i="75"/>
  <c r="D239" i="75"/>
  <c r="E239" i="75"/>
  <c r="F239" i="75"/>
  <c r="G239" i="75"/>
  <c r="A240" i="75"/>
  <c r="B240" i="75"/>
  <c r="C240" i="75"/>
  <c r="D240" i="75"/>
  <c r="E240" i="75"/>
  <c r="F240" i="75"/>
  <c r="G240" i="75"/>
  <c r="A241" i="75"/>
  <c r="B241" i="75"/>
  <c r="C241" i="75"/>
  <c r="D241" i="75"/>
  <c r="E241" i="75"/>
  <c r="F241" i="75"/>
  <c r="G241" i="75"/>
  <c r="A242" i="75"/>
  <c r="B242" i="75"/>
  <c r="C242" i="75"/>
  <c r="D242" i="75"/>
  <c r="E242" i="75"/>
  <c r="F242" i="75"/>
  <c r="G242" i="75"/>
  <c r="A243" i="75"/>
  <c r="B243" i="75"/>
  <c r="C243" i="75"/>
  <c r="D243" i="75"/>
  <c r="E243" i="75"/>
  <c r="F243" i="75"/>
  <c r="G243" i="75"/>
  <c r="A244" i="75"/>
  <c r="B244" i="75"/>
  <c r="C244" i="75"/>
  <c r="D244" i="75"/>
  <c r="E244" i="75"/>
  <c r="F244" i="75"/>
  <c r="G244" i="75"/>
  <c r="A245" i="75"/>
  <c r="B245" i="75"/>
  <c r="C245" i="75"/>
  <c r="D245" i="75"/>
  <c r="E245" i="75"/>
  <c r="F245" i="75"/>
  <c r="G245" i="75"/>
  <c r="A246" i="75"/>
  <c r="B246" i="75"/>
  <c r="C246" i="75"/>
  <c r="D246" i="75"/>
  <c r="E246" i="75"/>
  <c r="F246" i="75"/>
  <c r="G246" i="75"/>
  <c r="A247" i="75"/>
  <c r="B247" i="75"/>
  <c r="C247" i="75"/>
  <c r="D247" i="75"/>
  <c r="E247" i="75"/>
  <c r="F247" i="75"/>
  <c r="G247" i="75"/>
  <c r="A248" i="75"/>
  <c r="B248" i="75"/>
  <c r="C248" i="75"/>
  <c r="D248" i="75"/>
  <c r="E248" i="75"/>
  <c r="F248" i="75"/>
  <c r="G248" i="75"/>
  <c r="A249" i="75"/>
  <c r="B249" i="75"/>
  <c r="C249" i="75"/>
  <c r="D249" i="75"/>
  <c r="E249" i="75"/>
  <c r="F249" i="75"/>
  <c r="G249" i="75"/>
  <c r="A250" i="75"/>
  <c r="B250" i="75"/>
  <c r="C250" i="75"/>
  <c r="D250" i="75"/>
  <c r="E250" i="75"/>
  <c r="F250" i="75"/>
  <c r="G250" i="75"/>
  <c r="A251" i="75"/>
  <c r="B251" i="75"/>
  <c r="C251" i="75"/>
  <c r="D251" i="75"/>
  <c r="E251" i="75"/>
  <c r="F251" i="75"/>
  <c r="G251" i="75"/>
  <c r="A252" i="75"/>
  <c r="B252" i="75"/>
  <c r="C252" i="75"/>
  <c r="D252" i="75"/>
  <c r="E252" i="75"/>
  <c r="F252" i="75"/>
  <c r="G252" i="75"/>
  <c r="A253" i="75"/>
  <c r="B253" i="75"/>
  <c r="C253" i="75"/>
  <c r="D253" i="75"/>
  <c r="E253" i="75"/>
  <c r="F253" i="75"/>
  <c r="G253" i="75"/>
  <c r="A254" i="75"/>
  <c r="B254" i="75"/>
  <c r="C254" i="75"/>
  <c r="D254" i="75"/>
  <c r="E254" i="75"/>
  <c r="F254" i="75"/>
  <c r="G254" i="75"/>
  <c r="A255" i="75"/>
  <c r="B255" i="75"/>
  <c r="C255" i="75"/>
  <c r="D255" i="75"/>
  <c r="E255" i="75"/>
  <c r="F255" i="75"/>
  <c r="G255" i="75"/>
  <c r="A256" i="75"/>
  <c r="B256" i="75"/>
  <c r="C256" i="75"/>
  <c r="D256" i="75"/>
  <c r="E256" i="75"/>
  <c r="F256" i="75"/>
  <c r="G256" i="75"/>
  <c r="A257" i="75"/>
  <c r="B257" i="75"/>
  <c r="C257" i="75"/>
  <c r="D257" i="75"/>
  <c r="E257" i="75"/>
  <c r="F257" i="75"/>
  <c r="G257" i="75"/>
  <c r="A258" i="75"/>
  <c r="B258" i="75"/>
  <c r="C258" i="75"/>
  <c r="D258" i="75"/>
  <c r="E258" i="75"/>
  <c r="F258" i="75"/>
  <c r="G258" i="75"/>
  <c r="A259" i="75"/>
  <c r="B259" i="75"/>
  <c r="C259" i="75"/>
  <c r="D259" i="75"/>
  <c r="E259" i="75"/>
  <c r="F259" i="75"/>
  <c r="G259" i="75"/>
  <c r="A260" i="75"/>
  <c r="B260" i="75"/>
  <c r="C260" i="75"/>
  <c r="D260" i="75"/>
  <c r="E260" i="75"/>
  <c r="F260" i="75"/>
  <c r="G260" i="75"/>
  <c r="A261" i="75"/>
  <c r="B261" i="75"/>
  <c r="C261" i="75"/>
  <c r="D261" i="75"/>
  <c r="E261" i="75"/>
  <c r="F261" i="75"/>
  <c r="G261" i="75"/>
  <c r="A262" i="75"/>
  <c r="B262" i="75"/>
  <c r="C262" i="75"/>
  <c r="D262" i="75"/>
  <c r="E262" i="75"/>
  <c r="F262" i="75"/>
  <c r="G262" i="75"/>
  <c r="A263" i="75"/>
  <c r="B263" i="75"/>
  <c r="C263" i="75"/>
  <c r="D263" i="75"/>
  <c r="E263" i="75"/>
  <c r="F263" i="75"/>
  <c r="G263" i="75"/>
  <c r="A264" i="75"/>
  <c r="B264" i="75"/>
  <c r="C264" i="75"/>
  <c r="D264" i="75"/>
  <c r="E264" i="75"/>
  <c r="F264" i="75"/>
  <c r="G264" i="75"/>
  <c r="A265" i="75"/>
  <c r="B265" i="75"/>
  <c r="C265" i="75"/>
  <c r="D265" i="75"/>
  <c r="E265" i="75"/>
  <c r="F265" i="75"/>
  <c r="G265" i="75"/>
  <c r="A266" i="75"/>
  <c r="B266" i="75"/>
  <c r="C266" i="75"/>
  <c r="D266" i="75"/>
  <c r="E266" i="75"/>
  <c r="F266" i="75"/>
  <c r="G266" i="75"/>
  <c r="A267" i="75"/>
  <c r="B267" i="75"/>
  <c r="C267" i="75"/>
  <c r="D267" i="75"/>
  <c r="E267" i="75"/>
  <c r="F267" i="75"/>
  <c r="G267" i="75"/>
  <c r="A268" i="75"/>
  <c r="B268" i="75"/>
  <c r="C268" i="75"/>
  <c r="D268" i="75"/>
  <c r="E268" i="75"/>
  <c r="F268" i="75"/>
  <c r="G268" i="75"/>
  <c r="A269" i="75"/>
  <c r="B269" i="75"/>
  <c r="C269" i="75"/>
  <c r="D269" i="75"/>
  <c r="E269" i="75"/>
  <c r="F269" i="75"/>
  <c r="G269" i="75"/>
  <c r="A270" i="75"/>
  <c r="B270" i="75"/>
  <c r="C270" i="75"/>
  <c r="D270" i="75"/>
  <c r="E270" i="75"/>
  <c r="F270" i="75"/>
  <c r="G270" i="75"/>
  <c r="A271" i="75"/>
  <c r="B271" i="75"/>
  <c r="C271" i="75"/>
  <c r="D271" i="75"/>
  <c r="E271" i="75"/>
  <c r="F271" i="75"/>
  <c r="G271" i="75"/>
  <c r="A272" i="75"/>
  <c r="B272" i="75"/>
  <c r="C272" i="75"/>
  <c r="D272" i="75"/>
  <c r="E272" i="75"/>
  <c r="F272" i="75"/>
  <c r="G272" i="75"/>
  <c r="A273" i="75"/>
  <c r="B273" i="75"/>
  <c r="C273" i="75"/>
  <c r="D273" i="75"/>
  <c r="E273" i="75"/>
  <c r="F273" i="75"/>
  <c r="G273" i="75"/>
  <c r="A274" i="75"/>
  <c r="B274" i="75"/>
  <c r="C274" i="75"/>
  <c r="D274" i="75"/>
  <c r="E274" i="75"/>
  <c r="F274" i="75"/>
  <c r="G274" i="75"/>
  <c r="C10" i="84" l="1"/>
  <c r="C11" i="84" s="1"/>
  <c r="C12" i="84" s="1"/>
  <c r="C13" i="84" s="1"/>
  <c r="H9" i="84"/>
  <c r="B144" i="84"/>
  <c r="A13" i="84"/>
  <c r="H12" i="84" l="1"/>
  <c r="B145" i="84"/>
  <c r="B146" i="84" s="1"/>
  <c r="B147" i="84" s="1"/>
  <c r="B148" i="84" s="1"/>
  <c r="B149" i="84" s="1"/>
  <c r="B150" i="84" s="1"/>
  <c r="B151" i="84" s="1"/>
  <c r="B152" i="84" s="1"/>
  <c r="B153" i="84" s="1"/>
  <c r="B154" i="84" s="1"/>
  <c r="B155" i="84" s="1"/>
  <c r="B156" i="84" s="1"/>
  <c r="B157" i="84" s="1"/>
  <c r="B158" i="84" s="1"/>
  <c r="B159" i="84" s="1"/>
  <c r="B160" i="84" s="1"/>
  <c r="B161" i="84" s="1"/>
  <c r="B162" i="84" s="1"/>
  <c r="B163" i="84" s="1"/>
  <c r="B164" i="84" s="1"/>
  <c r="B165" i="84" s="1"/>
  <c r="B166" i="84" s="1"/>
  <c r="B167" i="84" s="1"/>
  <c r="B168" i="84" s="1"/>
  <c r="B169" i="84" s="1"/>
  <c r="B170" i="84" s="1"/>
  <c r="B171" i="84" s="1"/>
  <c r="B172" i="84" s="1"/>
  <c r="B173" i="84" s="1"/>
  <c r="B174" i="84" s="1"/>
  <c r="B175" i="84" s="1"/>
  <c r="B176" i="84" s="1"/>
  <c r="B177" i="84" s="1"/>
  <c r="B178" i="84" s="1"/>
  <c r="B179" i="84" s="1"/>
  <c r="B180" i="84" s="1"/>
  <c r="B181" i="84" s="1"/>
  <c r="B182" i="84" s="1"/>
  <c r="B183" i="84" s="1"/>
  <c r="C14" i="84"/>
  <c r="H13" i="84"/>
  <c r="A14" i="84"/>
  <c r="B184" i="84" l="1"/>
  <c r="C15" i="84"/>
  <c r="H14" i="84"/>
  <c r="A15" i="84"/>
  <c r="B185" i="84" l="1"/>
  <c r="B186" i="84" s="1"/>
  <c r="B187" i="84" s="1"/>
  <c r="B188" i="84" s="1"/>
  <c r="B189" i="84" s="1"/>
  <c r="B190" i="84" s="1"/>
  <c r="B191" i="84" s="1"/>
  <c r="B192" i="84" s="1"/>
  <c r="B193" i="84" s="1"/>
  <c r="B194" i="84" s="1"/>
  <c r="C16" i="84"/>
  <c r="H15" i="84"/>
  <c r="A16" i="84"/>
  <c r="B195" i="84" l="1"/>
  <c r="C17" i="84"/>
  <c r="H16" i="84"/>
  <c r="A17" i="84"/>
  <c r="B196" i="84" l="1"/>
  <c r="B197" i="84" s="1"/>
  <c r="B198" i="84" s="1"/>
  <c r="B199" i="84" s="1"/>
  <c r="B200" i="84" s="1"/>
  <c r="B201" i="84" s="1"/>
  <c r="B202" i="84" s="1"/>
  <c r="B203" i="84" s="1"/>
  <c r="B204" i="84" s="1"/>
  <c r="B205" i="84" s="1"/>
  <c r="B206" i="84" s="1"/>
  <c r="B207" i="84" s="1"/>
  <c r="B208" i="84" s="1"/>
  <c r="B209" i="84" s="1"/>
  <c r="B210" i="84" s="1"/>
  <c r="B211" i="84" s="1"/>
  <c r="B212" i="84" s="1"/>
  <c r="B213" i="84" s="1"/>
  <c r="B214" i="84" s="1"/>
  <c r="B215" i="84" s="1"/>
  <c r="B216" i="84" s="1"/>
  <c r="B217" i="84" s="1"/>
  <c r="B218" i="84" s="1"/>
  <c r="C18" i="84"/>
  <c r="H17" i="84"/>
  <c r="A18" i="84"/>
  <c r="B219" i="84" l="1"/>
  <c r="B220" i="84" s="1"/>
  <c r="C19" i="84"/>
  <c r="H18" i="84"/>
  <c r="A19" i="84"/>
  <c r="B221" i="84" l="1"/>
  <c r="C20" i="84"/>
  <c r="H19" i="84"/>
  <c r="A20" i="84"/>
  <c r="B222" i="84" l="1"/>
  <c r="C21" i="84"/>
  <c r="H20" i="84"/>
  <c r="A21" i="84"/>
  <c r="B223" i="84" l="1"/>
  <c r="C22" i="84"/>
  <c r="H21" i="84"/>
  <c r="A22" i="84"/>
  <c r="B224" i="84" l="1"/>
  <c r="C23" i="84"/>
  <c r="H22" i="84"/>
  <c r="A23" i="84"/>
  <c r="B225" i="84" l="1"/>
  <c r="C24" i="84"/>
  <c r="H23" i="84"/>
  <c r="A24" i="84"/>
  <c r="B226" i="84" l="1"/>
  <c r="C25" i="84"/>
  <c r="H24" i="84"/>
  <c r="A25" i="84"/>
  <c r="B227" i="84" l="1"/>
  <c r="C26" i="84"/>
  <c r="H25" i="84"/>
  <c r="A26" i="84"/>
  <c r="B228" i="84" l="1"/>
  <c r="C27" i="84"/>
  <c r="H26" i="84"/>
  <c r="A27" i="84"/>
  <c r="B229" i="84" l="1"/>
  <c r="C28" i="84"/>
  <c r="H27" i="84"/>
  <c r="A28" i="84"/>
  <c r="B230" i="84" l="1"/>
  <c r="C29" i="84"/>
  <c r="H28" i="84"/>
  <c r="A29" i="84"/>
  <c r="B231" i="84" l="1"/>
  <c r="C30" i="84"/>
  <c r="H29" i="84"/>
  <c r="A30" i="84"/>
  <c r="B232" i="84" l="1"/>
  <c r="C31" i="84"/>
  <c r="H30" i="84"/>
  <c r="A31" i="84"/>
  <c r="B233" i="84" l="1"/>
  <c r="B234" i="84" s="1"/>
  <c r="C32" i="84"/>
  <c r="H31" i="84"/>
  <c r="A32" i="84"/>
  <c r="B235" i="84" l="1"/>
  <c r="C33" i="84"/>
  <c r="H32" i="84"/>
  <c r="A33" i="84"/>
  <c r="B236" i="84" l="1"/>
  <c r="C34" i="84"/>
  <c r="H33" i="84"/>
  <c r="A34" i="84"/>
  <c r="B237" i="84" l="1"/>
  <c r="C35" i="84"/>
  <c r="H34" i="84"/>
  <c r="A35" i="84"/>
  <c r="B238" i="84" l="1"/>
  <c r="C36" i="84"/>
  <c r="H35" i="84"/>
  <c r="A36" i="84"/>
  <c r="B239" i="84" l="1"/>
  <c r="C37" i="84"/>
  <c r="H36" i="84"/>
  <c r="A37" i="84"/>
  <c r="B240" i="84" l="1"/>
  <c r="C38" i="84"/>
  <c r="H37" i="84"/>
  <c r="A38" i="84"/>
  <c r="B241" i="84" l="1"/>
  <c r="C39" i="84"/>
  <c r="H38" i="84"/>
  <c r="A39" i="84"/>
  <c r="B242" i="84" l="1"/>
  <c r="C40" i="84"/>
  <c r="H39" i="84"/>
  <c r="A40" i="84"/>
  <c r="A24" i="96"/>
  <c r="A23" i="96"/>
  <c r="A22" i="96"/>
  <c r="A21" i="96"/>
  <c r="A20" i="96"/>
  <c r="A19" i="96"/>
  <c r="A18" i="96"/>
  <c r="A17" i="96"/>
  <c r="A13" i="96"/>
  <c r="A12" i="96"/>
  <c r="A11" i="96"/>
  <c r="A10" i="96"/>
  <c r="A9" i="96"/>
  <c r="A8" i="96"/>
  <c r="A7" i="96"/>
  <c r="A6" i="96"/>
  <c r="F152" i="95"/>
  <c r="E152" i="95"/>
  <c r="D152" i="95"/>
  <c r="C152" i="95"/>
  <c r="B152" i="95"/>
  <c r="F151" i="95"/>
  <c r="E151" i="95"/>
  <c r="D151" i="95"/>
  <c r="C151" i="95"/>
  <c r="B151" i="95"/>
  <c r="F150" i="95"/>
  <c r="E150" i="95"/>
  <c r="D150" i="95"/>
  <c r="C150" i="95"/>
  <c r="B150" i="95"/>
  <c r="F149" i="95"/>
  <c r="E149" i="95"/>
  <c r="D149" i="95"/>
  <c r="C149" i="95"/>
  <c r="B149" i="95"/>
  <c r="F148" i="95"/>
  <c r="E148" i="95"/>
  <c r="D148" i="95"/>
  <c r="C148" i="95"/>
  <c r="C145" i="95" s="1"/>
  <c r="B148" i="95"/>
  <c r="F147" i="95"/>
  <c r="E147" i="95"/>
  <c r="D147" i="95"/>
  <c r="D145" i="95" s="1"/>
  <c r="C147" i="95"/>
  <c r="B147" i="95"/>
  <c r="F146" i="95"/>
  <c r="E146" i="95"/>
  <c r="E145" i="95" s="1"/>
  <c r="D146" i="95"/>
  <c r="C146" i="95"/>
  <c r="B146" i="95"/>
  <c r="F145" i="95"/>
  <c r="B145" i="95"/>
  <c r="F144" i="95"/>
  <c r="E144" i="95"/>
  <c r="D144" i="95"/>
  <c r="C144" i="95"/>
  <c r="C141" i="95" s="1"/>
  <c r="B144" i="95"/>
  <c r="F143" i="95"/>
  <c r="E143" i="95"/>
  <c r="D143" i="95"/>
  <c r="D141" i="95" s="1"/>
  <c r="C143" i="95"/>
  <c r="B143" i="95"/>
  <c r="F142" i="95"/>
  <c r="E142" i="95"/>
  <c r="E141" i="95" s="1"/>
  <c r="D142" i="95"/>
  <c r="C142" i="95"/>
  <c r="B142" i="95"/>
  <c r="F141" i="95"/>
  <c r="B141" i="95"/>
  <c r="F140" i="95"/>
  <c r="E140" i="95"/>
  <c r="D140" i="95"/>
  <c r="C140" i="95"/>
  <c r="B140" i="95"/>
  <c r="F139" i="95"/>
  <c r="E139" i="95"/>
  <c r="D139" i="95"/>
  <c r="C139" i="95"/>
  <c r="B139" i="95"/>
  <c r="F138" i="95"/>
  <c r="E138" i="95"/>
  <c r="D138" i="95"/>
  <c r="C138" i="95"/>
  <c r="B138" i="95"/>
  <c r="F137" i="95"/>
  <c r="E137" i="95"/>
  <c r="D137" i="95"/>
  <c r="C137" i="95"/>
  <c r="B137" i="95"/>
  <c r="F136" i="95"/>
  <c r="E136" i="95"/>
  <c r="D136" i="95"/>
  <c r="C136" i="95"/>
  <c r="B136" i="95"/>
  <c r="F135" i="95"/>
  <c r="E135" i="95"/>
  <c r="D135" i="95"/>
  <c r="D132" i="95" s="1"/>
  <c r="C135" i="95"/>
  <c r="B135" i="95"/>
  <c r="F134" i="95"/>
  <c r="E134" i="95"/>
  <c r="E132" i="95" s="1"/>
  <c r="D134" i="95"/>
  <c r="C134" i="95"/>
  <c r="B134" i="95"/>
  <c r="F133" i="95"/>
  <c r="F132" i="95" s="1"/>
  <c r="E133" i="95"/>
  <c r="D133" i="95"/>
  <c r="C133" i="95"/>
  <c r="B133" i="95"/>
  <c r="B132" i="95" s="1"/>
  <c r="C132" i="95"/>
  <c r="F131" i="95"/>
  <c r="E131" i="95"/>
  <c r="D131" i="95"/>
  <c r="D128" i="95" s="1"/>
  <c r="C131" i="95"/>
  <c r="B131" i="95"/>
  <c r="F130" i="95"/>
  <c r="E130" i="95"/>
  <c r="E128" i="95" s="1"/>
  <c r="D130" i="95"/>
  <c r="C130" i="95"/>
  <c r="B130" i="95"/>
  <c r="F129" i="95"/>
  <c r="F128" i="95" s="1"/>
  <c r="E129" i="95"/>
  <c r="D129" i="95"/>
  <c r="C129" i="95"/>
  <c r="B129" i="95"/>
  <c r="B128" i="95" s="1"/>
  <c r="C128" i="95"/>
  <c r="F127" i="95"/>
  <c r="E127" i="95"/>
  <c r="D127" i="95"/>
  <c r="C127" i="95"/>
  <c r="B127" i="95"/>
  <c r="F126" i="95"/>
  <c r="E126" i="95"/>
  <c r="D126" i="95"/>
  <c r="C126" i="95"/>
  <c r="B126" i="95"/>
  <c r="F125" i="95"/>
  <c r="E125" i="95"/>
  <c r="D125" i="95"/>
  <c r="C125" i="95"/>
  <c r="B125" i="95"/>
  <c r="F124" i="95"/>
  <c r="E124" i="95"/>
  <c r="D124" i="95"/>
  <c r="C124" i="95"/>
  <c r="B124" i="95"/>
  <c r="F123" i="95"/>
  <c r="E123" i="95"/>
  <c r="D123" i="95"/>
  <c r="C123" i="95"/>
  <c r="B123" i="95"/>
  <c r="F122" i="95"/>
  <c r="E122" i="95"/>
  <c r="D122" i="95"/>
  <c r="C122" i="95"/>
  <c r="B122" i="95"/>
  <c r="F121" i="95"/>
  <c r="F118" i="95" s="1"/>
  <c r="E121" i="95"/>
  <c r="D121" i="95"/>
  <c r="C121" i="95"/>
  <c r="B121" i="95"/>
  <c r="B118" i="95" s="1"/>
  <c r="F120" i="95"/>
  <c r="E120" i="95"/>
  <c r="D120" i="95"/>
  <c r="C120" i="95"/>
  <c r="C118" i="95" s="1"/>
  <c r="B120" i="95"/>
  <c r="F119" i="95"/>
  <c r="E119" i="95"/>
  <c r="D119" i="95"/>
  <c r="D118" i="95" s="1"/>
  <c r="C119" i="95"/>
  <c r="B119" i="95"/>
  <c r="E118" i="95"/>
  <c r="F117" i="95"/>
  <c r="E117" i="95"/>
  <c r="D117" i="95"/>
  <c r="C117" i="95"/>
  <c r="B117" i="95"/>
  <c r="F116" i="95"/>
  <c r="E116" i="95"/>
  <c r="D116" i="95"/>
  <c r="C116" i="95"/>
  <c r="B116" i="95"/>
  <c r="F115" i="95"/>
  <c r="E115" i="95"/>
  <c r="D115" i="95"/>
  <c r="C115" i="95"/>
  <c r="B115" i="95"/>
  <c r="F114" i="95"/>
  <c r="E114" i="95"/>
  <c r="D114" i="95"/>
  <c r="C114" i="95"/>
  <c r="B114" i="95"/>
  <c r="F113" i="95"/>
  <c r="E113" i="95"/>
  <c r="D113" i="95"/>
  <c r="C113" i="95"/>
  <c r="B113" i="95"/>
  <c r="F112" i="95"/>
  <c r="E112" i="95"/>
  <c r="D112" i="95"/>
  <c r="C112" i="95"/>
  <c r="B112" i="95"/>
  <c r="F111" i="95"/>
  <c r="E111" i="95"/>
  <c r="D111" i="95"/>
  <c r="D108" i="95" s="1"/>
  <c r="C111" i="95"/>
  <c r="B111" i="95"/>
  <c r="F110" i="95"/>
  <c r="E110" i="95"/>
  <c r="E108" i="95" s="1"/>
  <c r="D110" i="95"/>
  <c r="C110" i="95"/>
  <c r="B110" i="95"/>
  <c r="F109" i="95"/>
  <c r="F108" i="95" s="1"/>
  <c r="E109" i="95"/>
  <c r="D109" i="95"/>
  <c r="C109" i="95"/>
  <c r="B109" i="95"/>
  <c r="B108" i="95" s="1"/>
  <c r="C108" i="95"/>
  <c r="F107" i="95"/>
  <c r="E107" i="95"/>
  <c r="D107" i="95"/>
  <c r="C107" i="95"/>
  <c r="B107" i="95"/>
  <c r="F106" i="95"/>
  <c r="E106" i="95"/>
  <c r="D106" i="95"/>
  <c r="C106" i="95"/>
  <c r="B106" i="95"/>
  <c r="F105" i="95"/>
  <c r="E105" i="95"/>
  <c r="D105" i="95"/>
  <c r="C105" i="95"/>
  <c r="B105" i="95"/>
  <c r="F104" i="95"/>
  <c r="E104" i="95"/>
  <c r="D104" i="95"/>
  <c r="C104" i="95"/>
  <c r="B104" i="95"/>
  <c r="F103" i="95"/>
  <c r="E103" i="95"/>
  <c r="D103" i="95"/>
  <c r="C103" i="95"/>
  <c r="B103" i="95"/>
  <c r="F102" i="95"/>
  <c r="E102" i="95"/>
  <c r="D102" i="95"/>
  <c r="C102" i="95"/>
  <c r="B102" i="95"/>
  <c r="F101" i="95"/>
  <c r="F98" i="95" s="1"/>
  <c r="E101" i="95"/>
  <c r="D101" i="95"/>
  <c r="C101" i="95"/>
  <c r="B101" i="95"/>
  <c r="B98" i="95" s="1"/>
  <c r="F100" i="95"/>
  <c r="E100" i="95"/>
  <c r="D100" i="95"/>
  <c r="C100" i="95"/>
  <c r="C98" i="95" s="1"/>
  <c r="B100" i="95"/>
  <c r="F99" i="95"/>
  <c r="E99" i="95"/>
  <c r="D99" i="95"/>
  <c r="D98" i="95" s="1"/>
  <c r="C99" i="95"/>
  <c r="B99" i="95"/>
  <c r="E98" i="95"/>
  <c r="F97" i="95"/>
  <c r="E97" i="95"/>
  <c r="D97" i="95"/>
  <c r="C97" i="95"/>
  <c r="B97" i="95"/>
  <c r="F96" i="95"/>
  <c r="E96" i="95"/>
  <c r="D96" i="95"/>
  <c r="C96" i="95"/>
  <c r="B96" i="95"/>
  <c r="F95" i="95"/>
  <c r="E95" i="95"/>
  <c r="D95" i="95"/>
  <c r="C95" i="95"/>
  <c r="B95" i="95"/>
  <c r="F94" i="95"/>
  <c r="E94" i="95"/>
  <c r="D94" i="95"/>
  <c r="C94" i="95"/>
  <c r="B94" i="95"/>
  <c r="F93" i="95"/>
  <c r="E93" i="95"/>
  <c r="D93" i="95"/>
  <c r="C93" i="95"/>
  <c r="B93" i="95"/>
  <c r="F92" i="95"/>
  <c r="E92" i="95"/>
  <c r="D92" i="95"/>
  <c r="C92" i="95"/>
  <c r="B92" i="95"/>
  <c r="F91" i="95"/>
  <c r="E91" i="95"/>
  <c r="D91" i="95"/>
  <c r="D88" i="95" s="1"/>
  <c r="C91" i="95"/>
  <c r="B91" i="95"/>
  <c r="F90" i="95"/>
  <c r="E90" i="95"/>
  <c r="E88" i="95" s="1"/>
  <c r="D90" i="95"/>
  <c r="C90" i="95"/>
  <c r="B90" i="95"/>
  <c r="F89" i="95"/>
  <c r="F88" i="95" s="1"/>
  <c r="E89" i="95"/>
  <c r="D89" i="95"/>
  <c r="C89" i="95"/>
  <c r="B89" i="95"/>
  <c r="B88" i="95" s="1"/>
  <c r="C88" i="95"/>
  <c r="F87" i="95"/>
  <c r="E87" i="95"/>
  <c r="D87" i="95"/>
  <c r="C87" i="95"/>
  <c r="B87" i="95"/>
  <c r="F86" i="95"/>
  <c r="E86" i="95"/>
  <c r="D86" i="95"/>
  <c r="C86" i="95"/>
  <c r="B86" i="95"/>
  <c r="F85" i="95"/>
  <c r="E85" i="95"/>
  <c r="D85" i="95"/>
  <c r="C85" i="95"/>
  <c r="B85" i="95"/>
  <c r="F84" i="95"/>
  <c r="E84" i="95"/>
  <c r="D84" i="95"/>
  <c r="C84" i="95"/>
  <c r="B84" i="95"/>
  <c r="F83" i="95"/>
  <c r="E83" i="95"/>
  <c r="D83" i="95"/>
  <c r="D80" i="95" s="1"/>
  <c r="D79" i="95" s="1"/>
  <c r="C83" i="95"/>
  <c r="B83" i="95"/>
  <c r="F82" i="95"/>
  <c r="E82" i="95"/>
  <c r="E80" i="95" s="1"/>
  <c r="E79" i="95" s="1"/>
  <c r="D82" i="95"/>
  <c r="C82" i="95"/>
  <c r="B82" i="95"/>
  <c r="F81" i="95"/>
  <c r="F80" i="95" s="1"/>
  <c r="F79" i="95" s="1"/>
  <c r="E81" i="95"/>
  <c r="D81" i="95"/>
  <c r="C81" i="95"/>
  <c r="B81" i="95"/>
  <c r="B80" i="95" s="1"/>
  <c r="B79" i="95" s="1"/>
  <c r="C80" i="95"/>
  <c r="C79" i="95" s="1"/>
  <c r="F63" i="95"/>
  <c r="E63" i="95"/>
  <c r="C63" i="95"/>
  <c r="B63" i="95"/>
  <c r="B243" i="84" l="1"/>
  <c r="C41" i="84"/>
  <c r="H40" i="84"/>
  <c r="A41" i="84"/>
  <c r="BG74" i="87"/>
  <c r="BF74" i="87"/>
  <c r="E68" i="94" s="1"/>
  <c r="BD74" i="87"/>
  <c r="C68" i="94" s="1"/>
  <c r="BC74" i="87"/>
  <c r="BG69" i="87"/>
  <c r="BF69" i="87"/>
  <c r="E63" i="94" s="1"/>
  <c r="BD69" i="87"/>
  <c r="BD68" i="87" s="1"/>
  <c r="BC69" i="87"/>
  <c r="F59" i="94"/>
  <c r="E59" i="94"/>
  <c r="C59" i="94"/>
  <c r="B59" i="94"/>
  <c r="F36" i="94"/>
  <c r="E36" i="94"/>
  <c r="C36" i="94"/>
  <c r="B36" i="94"/>
  <c r="F35" i="94"/>
  <c r="E35" i="94"/>
  <c r="C35" i="94"/>
  <c r="B35" i="94"/>
  <c r="B244" i="84" l="1"/>
  <c r="BE74" i="87"/>
  <c r="D68" i="94" s="1"/>
  <c r="C42" i="84"/>
  <c r="H41" i="84"/>
  <c r="A42" i="84"/>
  <c r="BE69" i="87"/>
  <c r="BE68" i="87" s="1"/>
  <c r="BH69" i="87"/>
  <c r="BH68" i="87" s="1"/>
  <c r="BH74" i="87"/>
  <c r="B68" i="94"/>
  <c r="F68" i="94"/>
  <c r="BF68" i="87"/>
  <c r="C63" i="94"/>
  <c r="BC68" i="87"/>
  <c r="BG68" i="87"/>
  <c r="B63" i="94"/>
  <c r="F63" i="94"/>
  <c r="B245" i="84" l="1"/>
  <c r="C43" i="84"/>
  <c r="H42" i="84"/>
  <c r="A43" i="84"/>
  <c r="D63" i="94"/>
  <c r="E66" i="93"/>
  <c r="D66" i="93"/>
  <c r="E61" i="93"/>
  <c r="D61" i="93"/>
  <c r="C61" i="93"/>
  <c r="B246" i="84" l="1"/>
  <c r="C44" i="84"/>
  <c r="H43" i="84"/>
  <c r="A44" i="84"/>
  <c r="J14" i="92"/>
  <c r="I14" i="92"/>
  <c r="H14" i="92"/>
  <c r="G14" i="92"/>
  <c r="J13" i="92"/>
  <c r="I13" i="92"/>
  <c r="H13" i="92"/>
  <c r="G13" i="92"/>
  <c r="J12" i="92"/>
  <c r="I12" i="92"/>
  <c r="H12" i="92"/>
  <c r="G12" i="92"/>
  <c r="J11" i="92"/>
  <c r="I11" i="92"/>
  <c r="H11" i="92"/>
  <c r="G11" i="92"/>
  <c r="J8" i="92"/>
  <c r="I8" i="92"/>
  <c r="H8" i="92"/>
  <c r="G8" i="92"/>
  <c r="J7" i="92"/>
  <c r="I7" i="92"/>
  <c r="H7" i="92"/>
  <c r="G7" i="92"/>
  <c r="J6" i="92"/>
  <c r="I6" i="92"/>
  <c r="H6" i="92"/>
  <c r="G6" i="92"/>
  <c r="J5" i="92"/>
  <c r="I5" i="92"/>
  <c r="H5" i="92"/>
  <c r="G5" i="92"/>
  <c r="E14" i="92"/>
  <c r="E13" i="92"/>
  <c r="E12" i="92"/>
  <c r="E11" i="92"/>
  <c r="E8" i="92"/>
  <c r="E7" i="92"/>
  <c r="E6" i="92"/>
  <c r="E5" i="92"/>
  <c r="B247" i="84" l="1"/>
  <c r="C45" i="84"/>
  <c r="H44" i="84"/>
  <c r="A45" i="84"/>
  <c r="AM9" i="87"/>
  <c r="AL9" i="87"/>
  <c r="AK9" i="87"/>
  <c r="B248" i="84" l="1"/>
  <c r="C46" i="84"/>
  <c r="H45" i="84"/>
  <c r="A46" i="84"/>
  <c r="Q9" i="87"/>
  <c r="B249" i="84" l="1"/>
  <c r="C47" i="84"/>
  <c r="H46" i="84"/>
  <c r="A47" i="84"/>
  <c r="J9" i="87"/>
  <c r="I9" i="87"/>
  <c r="F9" i="87"/>
  <c r="E9" i="87"/>
  <c r="B250" i="84" l="1"/>
  <c r="C48" i="84"/>
  <c r="H47" i="84"/>
  <c r="A48" i="84"/>
  <c r="B5" i="46"/>
  <c r="D5" i="87"/>
  <c r="B251" i="84" l="1"/>
  <c r="C49" i="84"/>
  <c r="H48" i="84"/>
  <c r="A49" i="84"/>
  <c r="F35" i="91"/>
  <c r="E35" i="91"/>
  <c r="D35" i="91"/>
  <c r="C35" i="91"/>
  <c r="C32" i="91" s="1"/>
  <c r="B35" i="91"/>
  <c r="F34" i="91"/>
  <c r="E34" i="91"/>
  <c r="D34" i="91"/>
  <c r="D32" i="91" s="1"/>
  <c r="C34" i="91"/>
  <c r="B34" i="91"/>
  <c r="F33" i="91"/>
  <c r="E33" i="91"/>
  <c r="E32" i="91" s="1"/>
  <c r="D33" i="91"/>
  <c r="C33" i="91"/>
  <c r="B33" i="91"/>
  <c r="B32" i="91" s="1"/>
  <c r="F32" i="91"/>
  <c r="H25" i="91"/>
  <c r="G25" i="91"/>
  <c r="F25" i="91"/>
  <c r="E25" i="91"/>
  <c r="D25" i="91"/>
  <c r="C25" i="91"/>
  <c r="H24" i="91"/>
  <c r="G24" i="91"/>
  <c r="F24" i="91"/>
  <c r="E24" i="91"/>
  <c r="D24" i="91"/>
  <c r="D22" i="91" s="1"/>
  <c r="C24" i="91"/>
  <c r="C22" i="91" s="1"/>
  <c r="H23" i="91"/>
  <c r="G23" i="91"/>
  <c r="F23" i="91"/>
  <c r="F22" i="91" s="1"/>
  <c r="E23" i="91"/>
  <c r="D23" i="91"/>
  <c r="C23" i="91"/>
  <c r="H22" i="91"/>
  <c r="H20" i="91"/>
  <c r="G20" i="91"/>
  <c r="F20" i="91"/>
  <c r="E20" i="91"/>
  <c r="D20" i="91"/>
  <c r="C20" i="91"/>
  <c r="H19" i="91"/>
  <c r="G19" i="91"/>
  <c r="F19" i="91"/>
  <c r="E19" i="91"/>
  <c r="D19" i="91"/>
  <c r="C19" i="91"/>
  <c r="C17" i="91" s="1"/>
  <c r="H18" i="91"/>
  <c r="H17" i="91" s="1"/>
  <c r="G18" i="91"/>
  <c r="F18" i="91"/>
  <c r="E18" i="91"/>
  <c r="E17" i="91" s="1"/>
  <c r="D18" i="91"/>
  <c r="C18" i="91"/>
  <c r="G17" i="91"/>
  <c r="B25" i="91"/>
  <c r="B24" i="91"/>
  <c r="B23" i="91"/>
  <c r="B20" i="91"/>
  <c r="B19" i="91"/>
  <c r="B18" i="91"/>
  <c r="H8" i="91"/>
  <c r="H7" i="91"/>
  <c r="G8" i="91"/>
  <c r="G7" i="91"/>
  <c r="B252" i="84" l="1"/>
  <c r="B253" i="84" s="1"/>
  <c r="C50" i="84"/>
  <c r="H49" i="84"/>
  <c r="A50" i="84"/>
  <c r="F17" i="91"/>
  <c r="G22" i="91"/>
  <c r="B17" i="91"/>
  <c r="D17" i="91"/>
  <c r="B22" i="91"/>
  <c r="E22" i="91"/>
  <c r="G152" i="95"/>
  <c r="G151" i="95"/>
  <c r="G150" i="95"/>
  <c r="G149" i="95"/>
  <c r="G148" i="95"/>
  <c r="G147" i="95"/>
  <c r="G146" i="95"/>
  <c r="G145" i="95"/>
  <c r="G144" i="95"/>
  <c r="G143" i="95"/>
  <c r="G142" i="95"/>
  <c r="G141" i="95"/>
  <c r="G140" i="95"/>
  <c r="G139" i="95"/>
  <c r="G138" i="95"/>
  <c r="G137" i="95"/>
  <c r="G136" i="95"/>
  <c r="G135" i="95"/>
  <c r="G134" i="95"/>
  <c r="G133" i="95"/>
  <c r="G132" i="95"/>
  <c r="G131" i="95"/>
  <c r="G130" i="95"/>
  <c r="G129" i="95"/>
  <c r="G128" i="95"/>
  <c r="G127" i="95"/>
  <c r="G126" i="95"/>
  <c r="G125" i="95"/>
  <c r="G124" i="95"/>
  <c r="G123" i="95"/>
  <c r="G122" i="95"/>
  <c r="G121" i="95"/>
  <c r="G120" i="95"/>
  <c r="G119" i="95"/>
  <c r="G118" i="95"/>
  <c r="G117" i="95"/>
  <c r="G116" i="95"/>
  <c r="G115" i="95"/>
  <c r="G114" i="95"/>
  <c r="G113" i="95"/>
  <c r="G112" i="95"/>
  <c r="G111" i="95"/>
  <c r="G110" i="95"/>
  <c r="G109" i="95"/>
  <c r="G108" i="95"/>
  <c r="G107" i="95"/>
  <c r="G106" i="95"/>
  <c r="G105" i="95"/>
  <c r="G104" i="95"/>
  <c r="G103" i="95"/>
  <c r="G102" i="95"/>
  <c r="G101" i="95"/>
  <c r="G100" i="95"/>
  <c r="G99" i="95"/>
  <c r="G98" i="95"/>
  <c r="G97" i="95"/>
  <c r="G96" i="95"/>
  <c r="G95" i="95"/>
  <c r="G94" i="95"/>
  <c r="G93" i="95"/>
  <c r="G92" i="95"/>
  <c r="G91" i="95"/>
  <c r="G90" i="95"/>
  <c r="G89" i="95"/>
  <c r="G88" i="95"/>
  <c r="G87" i="95"/>
  <c r="G86" i="95"/>
  <c r="G85" i="95"/>
  <c r="G84" i="95"/>
  <c r="G83" i="95"/>
  <c r="G82" i="95"/>
  <c r="G81" i="95"/>
  <c r="B254" i="84" l="1"/>
  <c r="C51" i="84"/>
  <c r="H50" i="84"/>
  <c r="A51" i="84"/>
  <c r="G80" i="95"/>
  <c r="G79" i="95"/>
  <c r="B255" i="84" l="1"/>
  <c r="C52" i="84"/>
  <c r="H51" i="84"/>
  <c r="A52" i="84"/>
  <c r="G68" i="94"/>
  <c r="G67" i="94"/>
  <c r="G63" i="94"/>
  <c r="F62" i="94"/>
  <c r="E62" i="94"/>
  <c r="D62" i="94"/>
  <c r="C62" i="94"/>
  <c r="B62" i="94"/>
  <c r="G59" i="94"/>
  <c r="G36" i="94"/>
  <c r="G35" i="94"/>
  <c r="F34" i="94"/>
  <c r="E34" i="94"/>
  <c r="C34" i="94"/>
  <c r="B34" i="94"/>
  <c r="B256" i="84" l="1"/>
  <c r="C53" i="84"/>
  <c r="H52" i="84"/>
  <c r="A53" i="84"/>
  <c r="G62" i="94"/>
  <c r="G34" i="94"/>
  <c r="B257" i="84" l="1"/>
  <c r="C54" i="84"/>
  <c r="H53" i="84"/>
  <c r="A54" i="84"/>
  <c r="J10" i="92"/>
  <c r="I10" i="92"/>
  <c r="H10" i="92"/>
  <c r="G10" i="92"/>
  <c r="E10" i="92"/>
  <c r="K10" i="92" s="1"/>
  <c r="J4" i="92"/>
  <c r="J16" i="92" s="1"/>
  <c r="I4" i="92"/>
  <c r="H4" i="92"/>
  <c r="H16" i="92" s="1"/>
  <c r="G4" i="92"/>
  <c r="E4" i="92"/>
  <c r="K4" i="92" s="1"/>
  <c r="B258" i="84" l="1"/>
  <c r="C55" i="84"/>
  <c r="H54" i="84"/>
  <c r="A55" i="84"/>
  <c r="I16" i="92"/>
  <c r="G16" i="92"/>
  <c r="E16" i="92"/>
  <c r="K16" i="92" s="1"/>
  <c r="B259" i="84" l="1"/>
  <c r="C56" i="84"/>
  <c r="H55" i="84"/>
  <c r="A56" i="84"/>
  <c r="H9" i="91"/>
  <c r="G9" i="91"/>
  <c r="D9" i="91"/>
  <c r="C5" i="91"/>
  <c r="B260" i="84" l="1"/>
  <c r="C57" i="84"/>
  <c r="H56" i="84"/>
  <c r="A57" i="84"/>
  <c r="EL25" i="82"/>
  <c r="EK25" i="82"/>
  <c r="EL14" i="82"/>
  <c r="EL26" i="82" s="1"/>
  <c r="EK14" i="82"/>
  <c r="EK26" i="82" s="1"/>
  <c r="EE25" i="82"/>
  <c r="ED25" i="82"/>
  <c r="EF24" i="82"/>
  <c r="EF23" i="82"/>
  <c r="EF22" i="82"/>
  <c r="EF21" i="82"/>
  <c r="EF20" i="82"/>
  <c r="EF19" i="82"/>
  <c r="EF18" i="82"/>
  <c r="EF17" i="82"/>
  <c r="EF16" i="82"/>
  <c r="EF15" i="82"/>
  <c r="EF25" i="82" s="1"/>
  <c r="EE13" i="82"/>
  <c r="EE26" i="82" s="1"/>
  <c r="ED13" i="82"/>
  <c r="ED26" i="82" s="1"/>
  <c r="EF12" i="82"/>
  <c r="EF11" i="82"/>
  <c r="EF10" i="82"/>
  <c r="EF9" i="82"/>
  <c r="EF8" i="82"/>
  <c r="EF7" i="82"/>
  <c r="EF6" i="82"/>
  <c r="EF5" i="82"/>
  <c r="EF13" i="82" s="1"/>
  <c r="BZ17" i="82"/>
  <c r="BX38" i="82"/>
  <c r="BW38" i="82"/>
  <c r="BU38" i="82"/>
  <c r="BT38" i="82"/>
  <c r="BT34" i="82"/>
  <c r="BU34" i="82"/>
  <c r="BW34" i="82"/>
  <c r="BX34" i="82"/>
  <c r="BT35" i="82"/>
  <c r="BU35" i="82"/>
  <c r="BW35" i="82"/>
  <c r="BX35" i="82"/>
  <c r="BT36" i="82"/>
  <c r="BU36" i="82"/>
  <c r="BW36" i="82"/>
  <c r="BX36" i="82"/>
  <c r="BT37" i="82"/>
  <c r="BU37" i="82"/>
  <c r="BW37" i="82"/>
  <c r="BX37" i="82"/>
  <c r="BX43" i="82"/>
  <c r="BW43" i="82"/>
  <c r="BU43" i="82"/>
  <c r="BT43" i="82"/>
  <c r="BX42" i="82"/>
  <c r="BW42" i="82"/>
  <c r="BU42" i="82"/>
  <c r="BT42" i="82"/>
  <c r="BX41" i="82"/>
  <c r="BW41" i="82"/>
  <c r="BW40" i="82" s="1"/>
  <c r="BU41" i="82"/>
  <c r="BU40" i="82" s="1"/>
  <c r="BT41" i="82"/>
  <c r="B261" i="84" l="1"/>
  <c r="C58" i="84"/>
  <c r="H57" i="84"/>
  <c r="A58" i="84"/>
  <c r="BV38" i="82"/>
  <c r="BX40" i="82"/>
  <c r="BY38" i="82"/>
  <c r="BZ38" i="82" s="1"/>
  <c r="BV41" i="82"/>
  <c r="BV42" i="82"/>
  <c r="BV43" i="82"/>
  <c r="BY36" i="82"/>
  <c r="BZ36" i="82" s="1"/>
  <c r="BY35" i="82"/>
  <c r="BZ35" i="82" s="1"/>
  <c r="BY34" i="82"/>
  <c r="BZ34" i="82" s="1"/>
  <c r="BV35" i="82"/>
  <c r="EF26" i="82"/>
  <c r="BV36" i="82"/>
  <c r="BV34" i="82"/>
  <c r="BT40" i="82"/>
  <c r="BY42" i="82"/>
  <c r="BZ42" i="82" s="1"/>
  <c r="BY43" i="82"/>
  <c r="BZ43" i="82" s="1"/>
  <c r="BV37" i="82"/>
  <c r="BY37" i="82"/>
  <c r="BZ37" i="82" s="1"/>
  <c r="BY41" i="82"/>
  <c r="BZ41" i="82" s="1"/>
  <c r="E4" i="75"/>
  <c r="E5" i="75"/>
  <c r="E6" i="75"/>
  <c r="E7" i="75"/>
  <c r="E8" i="75"/>
  <c r="E9" i="75"/>
  <c r="E10" i="75"/>
  <c r="E11" i="75"/>
  <c r="E12" i="75"/>
  <c r="E13" i="75"/>
  <c r="E14" i="75"/>
  <c r="E15" i="75"/>
  <c r="E16" i="75"/>
  <c r="E17" i="75"/>
  <c r="E18" i="75"/>
  <c r="E19" i="75"/>
  <c r="E20" i="75"/>
  <c r="E21" i="75"/>
  <c r="E22" i="75"/>
  <c r="E23" i="75"/>
  <c r="E24" i="75"/>
  <c r="E25" i="75"/>
  <c r="E26" i="75"/>
  <c r="E27" i="75"/>
  <c r="E28" i="75"/>
  <c r="E29" i="75"/>
  <c r="E30" i="75"/>
  <c r="E31" i="75"/>
  <c r="E32" i="75"/>
  <c r="E33" i="75"/>
  <c r="E34" i="75"/>
  <c r="E35" i="75"/>
  <c r="E36" i="75"/>
  <c r="E37" i="75"/>
  <c r="E38" i="75"/>
  <c r="E39" i="75"/>
  <c r="E40" i="75"/>
  <c r="E41" i="75"/>
  <c r="E42" i="75"/>
  <c r="E43" i="75"/>
  <c r="E44" i="75"/>
  <c r="E45" i="75"/>
  <c r="E46" i="75"/>
  <c r="E47" i="75"/>
  <c r="E48" i="75"/>
  <c r="E49" i="75"/>
  <c r="E50" i="75"/>
  <c r="E51" i="75"/>
  <c r="E52" i="75"/>
  <c r="E53" i="75"/>
  <c r="E54" i="75"/>
  <c r="E55" i="75"/>
  <c r="E56" i="75"/>
  <c r="E57" i="75"/>
  <c r="E58" i="75"/>
  <c r="E59" i="75"/>
  <c r="E60" i="75"/>
  <c r="E61" i="75"/>
  <c r="E62" i="75"/>
  <c r="E63" i="75"/>
  <c r="E64" i="75"/>
  <c r="E65" i="75"/>
  <c r="E66" i="75"/>
  <c r="E67" i="75"/>
  <c r="E68" i="75"/>
  <c r="E69" i="75"/>
  <c r="E70" i="75"/>
  <c r="E71" i="75"/>
  <c r="E72" i="75"/>
  <c r="E73" i="75"/>
  <c r="E74" i="75"/>
  <c r="E75" i="75"/>
  <c r="E76" i="75"/>
  <c r="E77" i="75"/>
  <c r="E78" i="75"/>
  <c r="E79" i="75"/>
  <c r="E80" i="75"/>
  <c r="E81" i="75"/>
  <c r="E82" i="75"/>
  <c r="E83" i="75"/>
  <c r="E84" i="75"/>
  <c r="E85" i="75"/>
  <c r="E86" i="75"/>
  <c r="E87" i="75"/>
  <c r="E88" i="75"/>
  <c r="E89" i="75"/>
  <c r="E90" i="75"/>
  <c r="E91" i="75"/>
  <c r="E92" i="75"/>
  <c r="E93" i="75"/>
  <c r="E94" i="75"/>
  <c r="E95" i="75"/>
  <c r="E96" i="75"/>
  <c r="E97" i="75"/>
  <c r="E98" i="75"/>
  <c r="E99" i="75"/>
  <c r="E100" i="75"/>
  <c r="E101" i="75"/>
  <c r="E102" i="75"/>
  <c r="E103" i="75"/>
  <c r="E104" i="75"/>
  <c r="E105" i="75"/>
  <c r="E106" i="75"/>
  <c r="E107" i="75"/>
  <c r="E108" i="75"/>
  <c r="E109" i="75"/>
  <c r="E110" i="75"/>
  <c r="E111" i="75"/>
  <c r="E112" i="75"/>
  <c r="E113" i="75"/>
  <c r="E114" i="75"/>
  <c r="E115" i="75"/>
  <c r="E116" i="75"/>
  <c r="E117" i="75"/>
  <c r="E118" i="75"/>
  <c r="E119" i="75"/>
  <c r="E120" i="75"/>
  <c r="E121" i="75"/>
  <c r="E122" i="75"/>
  <c r="E123" i="75"/>
  <c r="E124" i="75"/>
  <c r="E125" i="75"/>
  <c r="E126" i="75"/>
  <c r="E127" i="75"/>
  <c r="E128" i="75"/>
  <c r="E129" i="75"/>
  <c r="E130" i="75"/>
  <c r="E131" i="75"/>
  <c r="E132" i="75"/>
  <c r="E133" i="75"/>
  <c r="E134" i="75"/>
  <c r="E135" i="75"/>
  <c r="E136" i="75"/>
  <c r="E137" i="75"/>
  <c r="E138" i="75"/>
  <c r="E139" i="75"/>
  <c r="E140" i="75"/>
  <c r="E141" i="75"/>
  <c r="E142" i="75"/>
  <c r="E143" i="75"/>
  <c r="E144" i="75"/>
  <c r="E145" i="75"/>
  <c r="E146" i="75"/>
  <c r="E147" i="75"/>
  <c r="E148" i="75"/>
  <c r="E149" i="75"/>
  <c r="E150" i="75"/>
  <c r="E151" i="75"/>
  <c r="E152" i="75"/>
  <c r="E153" i="75"/>
  <c r="E154" i="75"/>
  <c r="E155" i="75"/>
  <c r="E156" i="75"/>
  <c r="E157" i="75"/>
  <c r="E158" i="75"/>
  <c r="E159" i="75"/>
  <c r="E160" i="75"/>
  <c r="E161" i="75"/>
  <c r="E162" i="75"/>
  <c r="E163" i="75"/>
  <c r="E164" i="75"/>
  <c r="E165" i="75"/>
  <c r="E166" i="75"/>
  <c r="E167" i="75"/>
  <c r="E168" i="75"/>
  <c r="E169" i="75"/>
  <c r="E170" i="75"/>
  <c r="E171" i="75"/>
  <c r="E172" i="75"/>
  <c r="E173" i="75"/>
  <c r="E174" i="75"/>
  <c r="E175" i="75"/>
  <c r="E176" i="75"/>
  <c r="E177" i="75"/>
  <c r="E178" i="75"/>
  <c r="E179" i="75"/>
  <c r="E180" i="75"/>
  <c r="E181" i="75"/>
  <c r="E182" i="75"/>
  <c r="E183" i="75"/>
  <c r="E184" i="75"/>
  <c r="E185" i="75"/>
  <c r="E186" i="75"/>
  <c r="E187" i="75"/>
  <c r="E188" i="75"/>
  <c r="E189" i="75"/>
  <c r="E190" i="75"/>
  <c r="E191" i="75"/>
  <c r="E192" i="75"/>
  <c r="E193" i="75"/>
  <c r="E194" i="75"/>
  <c r="E195" i="75"/>
  <c r="E196" i="75"/>
  <c r="E197" i="75"/>
  <c r="E198" i="75"/>
  <c r="E199" i="75"/>
  <c r="E200" i="75"/>
  <c r="E201" i="75"/>
  <c r="E3" i="75"/>
  <c r="E3" i="73"/>
  <c r="C3" i="71"/>
  <c r="C3" i="72"/>
  <c r="C59" i="84" l="1"/>
  <c r="H58" i="84"/>
  <c r="A59" i="84"/>
  <c r="BV40" i="82"/>
  <c r="BY40" i="82"/>
  <c r="BZ40" i="82" s="1"/>
  <c r="D4" i="69"/>
  <c r="C60" i="84" l="1"/>
  <c r="H59" i="84"/>
  <c r="A60" i="84"/>
  <c r="D24" i="66"/>
  <c r="C24" i="66"/>
  <c r="D13" i="66"/>
  <c r="D25" i="66" s="1"/>
  <c r="C13" i="66"/>
  <c r="C25" i="66" s="1"/>
  <c r="D24" i="65"/>
  <c r="C24" i="65"/>
  <c r="E23" i="65"/>
  <c r="E22" i="65"/>
  <c r="E21" i="65"/>
  <c r="E20" i="65"/>
  <c r="E19" i="65"/>
  <c r="E18" i="65"/>
  <c r="E17" i="65"/>
  <c r="E16" i="65"/>
  <c r="E15" i="65"/>
  <c r="E14" i="65"/>
  <c r="E24" i="65" s="1"/>
  <c r="D12" i="65"/>
  <c r="D25" i="65" s="1"/>
  <c r="C12" i="65"/>
  <c r="C25" i="65" s="1"/>
  <c r="E11" i="65"/>
  <c r="E10" i="65"/>
  <c r="E9" i="65"/>
  <c r="E8" i="65"/>
  <c r="E7" i="65"/>
  <c r="E6" i="65"/>
  <c r="E5" i="65"/>
  <c r="E4" i="65"/>
  <c r="E12" i="65" s="1"/>
  <c r="CP25" i="23"/>
  <c r="CO25" i="23"/>
  <c r="CP14" i="23"/>
  <c r="CP26" i="23" s="1"/>
  <c r="CO14" i="23"/>
  <c r="CO26" i="23" s="1"/>
  <c r="C61" i="84" l="1"/>
  <c r="H60" i="84"/>
  <c r="A61" i="84"/>
  <c r="E25" i="65"/>
  <c r="CI25" i="23"/>
  <c r="CH25" i="23"/>
  <c r="CJ24" i="23"/>
  <c r="CJ23" i="23"/>
  <c r="CJ22" i="23"/>
  <c r="CJ21" i="23"/>
  <c r="CJ20" i="23"/>
  <c r="CJ19" i="23"/>
  <c r="CJ18" i="23"/>
  <c r="CJ17" i="23"/>
  <c r="CJ16" i="23"/>
  <c r="CJ15" i="23"/>
  <c r="CJ25" i="23" s="1"/>
  <c r="CI13" i="23"/>
  <c r="CI26" i="23" s="1"/>
  <c r="CH13" i="23"/>
  <c r="CH26" i="23" s="1"/>
  <c r="CJ12" i="23"/>
  <c r="CJ11" i="23"/>
  <c r="CJ10" i="23"/>
  <c r="CJ9" i="23"/>
  <c r="CJ8" i="23"/>
  <c r="CJ7" i="23"/>
  <c r="CJ6" i="23"/>
  <c r="CJ5" i="23"/>
  <c r="CJ13" i="23" s="1"/>
  <c r="CJ26" i="23" s="1"/>
  <c r="C62" i="84" l="1"/>
  <c r="H61" i="84"/>
  <c r="A62" i="84"/>
  <c r="BQ15" i="23"/>
  <c r="BP15" i="23"/>
  <c r="BN15" i="23"/>
  <c r="BM15" i="23"/>
  <c r="G13" i="58"/>
  <c r="F13" i="58"/>
  <c r="D13" i="58"/>
  <c r="C13" i="58"/>
  <c r="C63" i="84" l="1"/>
  <c r="H62" i="84"/>
  <c r="A63" i="84"/>
  <c r="E13" i="58"/>
  <c r="BO15" i="23"/>
  <c r="H13" i="58"/>
  <c r="I13" i="58" s="1"/>
  <c r="BR15" i="23"/>
  <c r="BS15" i="23" s="1"/>
  <c r="C64" i="84" l="1"/>
  <c r="H63" i="84"/>
  <c r="A64" i="84"/>
  <c r="G14" i="48"/>
  <c r="C65" i="84" l="1"/>
  <c r="H64" i="84"/>
  <c r="A65" i="84"/>
  <c r="CE15" i="82"/>
  <c r="CF15" i="82"/>
  <c r="CH15" i="82"/>
  <c r="CI15" i="82"/>
  <c r="C66" i="84" l="1"/>
  <c r="H65" i="84"/>
  <c r="A66" i="84"/>
  <c r="CJ15" i="82"/>
  <c r="CK15" i="82" s="1"/>
  <c r="CG15" i="82"/>
  <c r="C67" i="84" l="1"/>
  <c r="H66" i="84"/>
  <c r="A67" i="84"/>
  <c r="I11" i="57"/>
  <c r="H11" i="57"/>
  <c r="G11" i="57"/>
  <c r="F11" i="57"/>
  <c r="E11" i="57"/>
  <c r="D11" i="57"/>
  <c r="C11" i="57"/>
  <c r="B11" i="57"/>
  <c r="A11" i="57"/>
  <c r="I10" i="57"/>
  <c r="H10" i="57"/>
  <c r="G10" i="57"/>
  <c r="F10" i="57"/>
  <c r="E10" i="57"/>
  <c r="D10" i="57"/>
  <c r="C10" i="57"/>
  <c r="B10" i="57"/>
  <c r="A10" i="57"/>
  <c r="I9" i="57"/>
  <c r="H9" i="57"/>
  <c r="G9" i="57"/>
  <c r="F9" i="57"/>
  <c r="E9" i="57"/>
  <c r="J9" i="57" s="1"/>
  <c r="K9" i="57" s="1"/>
  <c r="D9" i="57"/>
  <c r="C9" i="57"/>
  <c r="B9" i="57"/>
  <c r="A9" i="57"/>
  <c r="I8" i="57"/>
  <c r="H8" i="57"/>
  <c r="G8" i="57"/>
  <c r="F8" i="57"/>
  <c r="E8" i="57"/>
  <c r="D8" i="57"/>
  <c r="C8" i="57"/>
  <c r="B8" i="57"/>
  <c r="A8" i="57"/>
  <c r="I7" i="57"/>
  <c r="H7" i="57"/>
  <c r="G7" i="57"/>
  <c r="F7" i="57"/>
  <c r="E7" i="57"/>
  <c r="D7" i="57"/>
  <c r="C7" i="57"/>
  <c r="B7" i="57"/>
  <c r="A7" i="57"/>
  <c r="I6" i="57"/>
  <c r="H6" i="57"/>
  <c r="G6" i="57"/>
  <c r="F6" i="57"/>
  <c r="E6" i="57"/>
  <c r="J6" i="57" s="1"/>
  <c r="K6" i="57" s="1"/>
  <c r="D6" i="57"/>
  <c r="C6" i="57"/>
  <c r="B6" i="57"/>
  <c r="A6" i="57"/>
  <c r="I5" i="57"/>
  <c r="H5" i="57"/>
  <c r="G5" i="57"/>
  <c r="F5" i="57"/>
  <c r="E5" i="57"/>
  <c r="J5" i="57" s="1"/>
  <c r="K5" i="57" s="1"/>
  <c r="D5" i="57"/>
  <c r="C5" i="57"/>
  <c r="B5" i="57"/>
  <c r="A5" i="57"/>
  <c r="CE13" i="82"/>
  <c r="CF13" i="82"/>
  <c r="CH13" i="82"/>
  <c r="CI13" i="82"/>
  <c r="CE14" i="82"/>
  <c r="CF14" i="82"/>
  <c r="CH14" i="82"/>
  <c r="CI14" i="82"/>
  <c r="C68" i="84" l="1"/>
  <c r="H67" i="84"/>
  <c r="A68" i="84"/>
  <c r="CJ14" i="82"/>
  <c r="CK14" i="82" s="1"/>
  <c r="CJ13" i="82"/>
  <c r="CK13" i="82" s="1"/>
  <c r="J7" i="57"/>
  <c r="K7" i="57" s="1"/>
  <c r="J11" i="57"/>
  <c r="K11" i="57" s="1"/>
  <c r="CG14" i="82"/>
  <c r="CG13" i="82"/>
  <c r="J8" i="57"/>
  <c r="K8" i="57" s="1"/>
  <c r="J10" i="57"/>
  <c r="K10" i="57" s="1"/>
  <c r="G12" i="48"/>
  <c r="G13" i="48"/>
  <c r="G11" i="48"/>
  <c r="C69" i="84" l="1"/>
  <c r="H68" i="84"/>
  <c r="A69" i="84"/>
  <c r="CX6" i="87"/>
  <c r="CL6" i="87"/>
  <c r="BZ6" i="87"/>
  <c r="BN6" i="87"/>
  <c r="BA5" i="87"/>
  <c r="AS5" i="87"/>
  <c r="AC5" i="87"/>
  <c r="AJ17" i="87"/>
  <c r="AI17" i="87"/>
  <c r="AJ11" i="87"/>
  <c r="AI11" i="87"/>
  <c r="AM21" i="87"/>
  <c r="K14" i="92" s="1"/>
  <c r="AM20" i="87"/>
  <c r="K13" i="92" s="1"/>
  <c r="AM19" i="87"/>
  <c r="K12" i="92" s="1"/>
  <c r="AM18" i="87"/>
  <c r="K11" i="92" s="1"/>
  <c r="AM15" i="87"/>
  <c r="K8" i="92" s="1"/>
  <c r="AM14" i="87"/>
  <c r="K7" i="92" s="1"/>
  <c r="AM13" i="87"/>
  <c r="K6" i="92" s="1"/>
  <c r="AM12" i="87"/>
  <c r="K5" i="92" s="1"/>
  <c r="CX3" i="87"/>
  <c r="CL3" i="87"/>
  <c r="BZ3" i="87"/>
  <c r="BN3" i="87"/>
  <c r="BA3" i="87"/>
  <c r="AS3" i="87"/>
  <c r="AC3" i="87"/>
  <c r="P3" i="87"/>
  <c r="D3" i="87"/>
  <c r="P5" i="87"/>
  <c r="AK17" i="87"/>
  <c r="AK11" i="87"/>
  <c r="AL17" i="87"/>
  <c r="AL11" i="87"/>
  <c r="B2" i="23"/>
  <c r="C70" i="84" l="1"/>
  <c r="H69" i="84"/>
  <c r="A70" i="84"/>
  <c r="AJ23" i="87"/>
  <c r="AK23" i="87"/>
  <c r="AM11" i="87"/>
  <c r="AL23" i="87"/>
  <c r="AM17" i="87"/>
  <c r="AM23" i="87" s="1"/>
  <c r="AI23" i="87"/>
  <c r="C71" i="84" l="1"/>
  <c r="H70" i="84"/>
  <c r="A71" i="84"/>
  <c r="B187" i="45"/>
  <c r="B188" i="45"/>
  <c r="B189" i="45"/>
  <c r="B190" i="45"/>
  <c r="B191" i="45"/>
  <c r="C72" i="84" l="1"/>
  <c r="H71" i="84"/>
  <c r="A72" i="84"/>
  <c r="BQ159" i="87"/>
  <c r="BT159" i="87" s="1"/>
  <c r="BQ158" i="87"/>
  <c r="BT158" i="87" s="1"/>
  <c r="BQ157" i="87"/>
  <c r="BT157" i="87" s="1"/>
  <c r="BQ156" i="87"/>
  <c r="BT156" i="87" s="1"/>
  <c r="BQ155" i="87"/>
  <c r="BT155" i="87" s="1"/>
  <c r="BQ154" i="87"/>
  <c r="BQ153" i="87"/>
  <c r="BT153" i="87" s="1"/>
  <c r="BS152" i="87"/>
  <c r="BR152" i="87"/>
  <c r="BP152" i="87"/>
  <c r="BO152" i="87"/>
  <c r="BQ151" i="87"/>
  <c r="BT151" i="87" s="1"/>
  <c r="BQ150" i="87"/>
  <c r="BT150" i="87" s="1"/>
  <c r="BQ149" i="87"/>
  <c r="BT149" i="87" s="1"/>
  <c r="BS148" i="87"/>
  <c r="BR148" i="87"/>
  <c r="BP148" i="87"/>
  <c r="BO148" i="87"/>
  <c r="BQ147" i="87"/>
  <c r="BT147" i="87" s="1"/>
  <c r="BQ146" i="87"/>
  <c r="BT146" i="87" s="1"/>
  <c r="BQ145" i="87"/>
  <c r="BT145" i="87" s="1"/>
  <c r="BQ144" i="87"/>
  <c r="BT144" i="87" s="1"/>
  <c r="BQ143" i="87"/>
  <c r="BT143" i="87" s="1"/>
  <c r="BQ142" i="87"/>
  <c r="BT142" i="87" s="1"/>
  <c r="BQ141" i="87"/>
  <c r="BT141" i="87" s="1"/>
  <c r="BQ140" i="87"/>
  <c r="BT140" i="87" s="1"/>
  <c r="BS139" i="87"/>
  <c r="BR139" i="87"/>
  <c r="BP139" i="87"/>
  <c r="BO139" i="87"/>
  <c r="BQ138" i="87"/>
  <c r="BT138" i="87" s="1"/>
  <c r="BQ137" i="87"/>
  <c r="BT137" i="87" s="1"/>
  <c r="BQ136" i="87"/>
  <c r="BT136" i="87" s="1"/>
  <c r="BS135" i="87"/>
  <c r="BR135" i="87"/>
  <c r="BP135" i="87"/>
  <c r="BO135" i="87"/>
  <c r="BQ134" i="87"/>
  <c r="BT134" i="87" s="1"/>
  <c r="BQ133" i="87"/>
  <c r="BT133" i="87" s="1"/>
  <c r="BQ132" i="87"/>
  <c r="BT132" i="87" s="1"/>
  <c r="BQ131" i="87"/>
  <c r="BT131" i="87" s="1"/>
  <c r="BQ130" i="87"/>
  <c r="BT130" i="87" s="1"/>
  <c r="BQ129" i="87"/>
  <c r="BT129" i="87" s="1"/>
  <c r="BQ128" i="87"/>
  <c r="BT128" i="87" s="1"/>
  <c r="BQ127" i="87"/>
  <c r="BT127" i="87" s="1"/>
  <c r="BQ126" i="87"/>
  <c r="BT126" i="87" s="1"/>
  <c r="BS125" i="87"/>
  <c r="BR125" i="87"/>
  <c r="BP125" i="87"/>
  <c r="BO125" i="87"/>
  <c r="BQ124" i="87"/>
  <c r="BT124" i="87" s="1"/>
  <c r="BQ123" i="87"/>
  <c r="BT123" i="87" s="1"/>
  <c r="BQ122" i="87"/>
  <c r="BT122" i="87" s="1"/>
  <c r="BQ121" i="87"/>
  <c r="BT121" i="87" s="1"/>
  <c r="BQ120" i="87"/>
  <c r="BT120" i="87" s="1"/>
  <c r="BQ119" i="87"/>
  <c r="BT119" i="87" s="1"/>
  <c r="BQ118" i="87"/>
  <c r="BT118" i="87" s="1"/>
  <c r="BQ117" i="87"/>
  <c r="BT117" i="87" s="1"/>
  <c r="BQ116" i="87"/>
  <c r="BT116" i="87" s="1"/>
  <c r="BS115" i="87"/>
  <c r="BS86" i="87" s="1"/>
  <c r="BR115" i="87"/>
  <c r="BP115" i="87"/>
  <c r="BO115" i="87"/>
  <c r="BQ114" i="87"/>
  <c r="BT114" i="87" s="1"/>
  <c r="BQ113" i="87"/>
  <c r="BT113" i="87" s="1"/>
  <c r="BQ112" i="87"/>
  <c r="BT112" i="87" s="1"/>
  <c r="BQ111" i="87"/>
  <c r="BT111" i="87" s="1"/>
  <c r="BQ110" i="87"/>
  <c r="BT110" i="87" s="1"/>
  <c r="BQ109" i="87"/>
  <c r="BT109" i="87" s="1"/>
  <c r="BQ108" i="87"/>
  <c r="BT108" i="87" s="1"/>
  <c r="BQ107" i="87"/>
  <c r="BT107" i="87" s="1"/>
  <c r="BQ106" i="87"/>
  <c r="BT106" i="87" s="1"/>
  <c r="BS105" i="87"/>
  <c r="BR105" i="87"/>
  <c r="BP105" i="87"/>
  <c r="BO105" i="87"/>
  <c r="BQ104" i="87"/>
  <c r="BT104" i="87" s="1"/>
  <c r="BQ103" i="87"/>
  <c r="BT103" i="87" s="1"/>
  <c r="BQ102" i="87"/>
  <c r="BT102" i="87" s="1"/>
  <c r="BQ101" i="87"/>
  <c r="BT101" i="87" s="1"/>
  <c r="BQ100" i="87"/>
  <c r="BT100" i="87" s="1"/>
  <c r="BQ99" i="87"/>
  <c r="BT99" i="87" s="1"/>
  <c r="BQ98" i="87"/>
  <c r="BT98" i="87" s="1"/>
  <c r="BQ97" i="87"/>
  <c r="BT97" i="87" s="1"/>
  <c r="BQ96" i="87"/>
  <c r="BT96" i="87" s="1"/>
  <c r="BS95" i="87"/>
  <c r="BR95" i="87"/>
  <c r="BP95" i="87"/>
  <c r="BO95" i="87"/>
  <c r="BQ94" i="87"/>
  <c r="BT94" i="87" s="1"/>
  <c r="BQ93" i="87"/>
  <c r="BT93" i="87" s="1"/>
  <c r="BQ92" i="87"/>
  <c r="BT92" i="87" s="1"/>
  <c r="BQ91" i="87"/>
  <c r="BT91" i="87" s="1"/>
  <c r="BQ90" i="87"/>
  <c r="BT90" i="87" s="1"/>
  <c r="BQ89" i="87"/>
  <c r="BQ88" i="87"/>
  <c r="BT88" i="87" s="1"/>
  <c r="BS87" i="87"/>
  <c r="BR87" i="87"/>
  <c r="BP87" i="87"/>
  <c r="BO87" i="87"/>
  <c r="BS84" i="87"/>
  <c r="F77" i="95" s="1"/>
  <c r="BR84" i="87"/>
  <c r="E77" i="95" s="1"/>
  <c r="BP84" i="87"/>
  <c r="C77" i="95" s="1"/>
  <c r="BO84" i="87"/>
  <c r="B77" i="95" s="1"/>
  <c r="CQ83" i="87"/>
  <c r="F77" i="97" s="1"/>
  <c r="CP83" i="87"/>
  <c r="E77" i="97" s="1"/>
  <c r="CN83" i="87"/>
  <c r="C77" i="97" s="1"/>
  <c r="CM83" i="87"/>
  <c r="B77" i="97" s="1"/>
  <c r="BS83" i="87"/>
  <c r="F76" i="95" s="1"/>
  <c r="BR83" i="87"/>
  <c r="E76" i="95" s="1"/>
  <c r="BP83" i="87"/>
  <c r="C76" i="95" s="1"/>
  <c r="BO83" i="87"/>
  <c r="B76" i="95" s="1"/>
  <c r="CQ82" i="87"/>
  <c r="F76" i="97" s="1"/>
  <c r="CP82" i="87"/>
  <c r="E76" i="97" s="1"/>
  <c r="CN82" i="87"/>
  <c r="C76" i="97" s="1"/>
  <c r="CM82" i="87"/>
  <c r="B76" i="97" s="1"/>
  <c r="BS82" i="87"/>
  <c r="F75" i="95" s="1"/>
  <c r="BR82" i="87"/>
  <c r="E75" i="95" s="1"/>
  <c r="BP82" i="87"/>
  <c r="C75" i="95" s="1"/>
  <c r="BO82" i="87"/>
  <c r="B75" i="95" s="1"/>
  <c r="CQ81" i="87"/>
  <c r="F75" i="97" s="1"/>
  <c r="CP81" i="87"/>
  <c r="E75" i="97" s="1"/>
  <c r="CN81" i="87"/>
  <c r="C75" i="97" s="1"/>
  <c r="CM81" i="87"/>
  <c r="B75" i="97" s="1"/>
  <c r="BS81" i="87"/>
  <c r="F74" i="95" s="1"/>
  <c r="BR81" i="87"/>
  <c r="E74" i="95" s="1"/>
  <c r="BP81" i="87"/>
  <c r="C74" i="95" s="1"/>
  <c r="BO81" i="87"/>
  <c r="B74" i="95" s="1"/>
  <c r="CQ80" i="87"/>
  <c r="CP80" i="87"/>
  <c r="CN80" i="87"/>
  <c r="CM80" i="87"/>
  <c r="B74" i="97" s="1"/>
  <c r="B73" i="97" s="1"/>
  <c r="BS80" i="87"/>
  <c r="F73" i="95" s="1"/>
  <c r="BR80" i="87"/>
  <c r="E73" i="95" s="1"/>
  <c r="BP80" i="87"/>
  <c r="C73" i="95" s="1"/>
  <c r="BO80" i="87"/>
  <c r="B73" i="95" s="1"/>
  <c r="BS79" i="87"/>
  <c r="BR79" i="87"/>
  <c r="E72" i="95" s="1"/>
  <c r="BP79" i="87"/>
  <c r="C72" i="95" s="1"/>
  <c r="BO79" i="87"/>
  <c r="B72" i="95" s="1"/>
  <c r="BS78" i="87"/>
  <c r="BR78" i="87"/>
  <c r="E71" i="95" s="1"/>
  <c r="E70" i="95" s="1"/>
  <c r="BP78" i="87"/>
  <c r="C71" i="95" s="1"/>
  <c r="C70" i="95" s="1"/>
  <c r="BO78" i="87"/>
  <c r="B71" i="95" s="1"/>
  <c r="B70" i="95" s="1"/>
  <c r="CQ77" i="87"/>
  <c r="F71" i="97" s="1"/>
  <c r="CP77" i="87"/>
  <c r="E71" i="97" s="1"/>
  <c r="CN77" i="87"/>
  <c r="C71" i="97" s="1"/>
  <c r="CM77" i="87"/>
  <c r="B71" i="97" s="1"/>
  <c r="CQ76" i="87"/>
  <c r="F70" i="97" s="1"/>
  <c r="CP76" i="87"/>
  <c r="E70" i="97" s="1"/>
  <c r="CN76" i="87"/>
  <c r="C70" i="97" s="1"/>
  <c r="CM76" i="87"/>
  <c r="B70" i="97" s="1"/>
  <c r="BS76" i="87"/>
  <c r="F69" i="95" s="1"/>
  <c r="BR76" i="87"/>
  <c r="E69" i="95" s="1"/>
  <c r="BP76" i="87"/>
  <c r="C69" i="95" s="1"/>
  <c r="BO76" i="87"/>
  <c r="B69" i="95" s="1"/>
  <c r="CQ75" i="87"/>
  <c r="F69" i="97" s="1"/>
  <c r="CP75" i="87"/>
  <c r="E69" i="97" s="1"/>
  <c r="CN75" i="87"/>
  <c r="C69" i="97" s="1"/>
  <c r="CM75" i="87"/>
  <c r="B69" i="97" s="1"/>
  <c r="BS75" i="87"/>
  <c r="F68" i="95" s="1"/>
  <c r="BR75" i="87"/>
  <c r="E68" i="95" s="1"/>
  <c r="BP75" i="87"/>
  <c r="C68" i="95" s="1"/>
  <c r="BO75" i="87"/>
  <c r="B68" i="95" s="1"/>
  <c r="CQ74" i="87"/>
  <c r="F68" i="97" s="1"/>
  <c r="CP74" i="87"/>
  <c r="E68" i="97" s="1"/>
  <c r="CN74" i="87"/>
  <c r="C68" i="97" s="1"/>
  <c r="CM74" i="87"/>
  <c r="B68" i="97" s="1"/>
  <c r="BS74" i="87"/>
  <c r="F67" i="95" s="1"/>
  <c r="BR74" i="87"/>
  <c r="E67" i="95" s="1"/>
  <c r="E66" i="95" s="1"/>
  <c r="BP74" i="87"/>
  <c r="C67" i="95" s="1"/>
  <c r="C66" i="95" s="1"/>
  <c r="BO74" i="87"/>
  <c r="B67" i="95" s="1"/>
  <c r="B66" i="95" s="1"/>
  <c r="CQ73" i="87"/>
  <c r="F67" i="97" s="1"/>
  <c r="CP73" i="87"/>
  <c r="E67" i="97" s="1"/>
  <c r="CN73" i="87"/>
  <c r="C67" i="97" s="1"/>
  <c r="CM73" i="87"/>
  <c r="B67" i="97" s="1"/>
  <c r="AV73" i="87"/>
  <c r="E62" i="93" s="1"/>
  <c r="E60" i="93" s="1"/>
  <c r="AU73" i="87"/>
  <c r="AT73" i="87"/>
  <c r="CQ72" i="87"/>
  <c r="F66" i="97" s="1"/>
  <c r="CP72" i="87"/>
  <c r="E66" i="97" s="1"/>
  <c r="CN72" i="87"/>
  <c r="C66" i="97" s="1"/>
  <c r="CM72" i="87"/>
  <c r="B66" i="97" s="1"/>
  <c r="BS72" i="87"/>
  <c r="F65" i="95" s="1"/>
  <c r="BR72" i="87"/>
  <c r="E65" i="95" s="1"/>
  <c r="BP72" i="87"/>
  <c r="C65" i="95" s="1"/>
  <c r="BO72" i="87"/>
  <c r="B65" i="95" s="1"/>
  <c r="CQ71" i="87"/>
  <c r="F65" i="97" s="1"/>
  <c r="CP71" i="87"/>
  <c r="E65" i="97" s="1"/>
  <c r="CN71" i="87"/>
  <c r="C65" i="97" s="1"/>
  <c r="CM71" i="87"/>
  <c r="B65" i="97" s="1"/>
  <c r="BS71" i="87"/>
  <c r="F64" i="95" s="1"/>
  <c r="BR71" i="87"/>
  <c r="E64" i="95" s="1"/>
  <c r="BP71" i="87"/>
  <c r="C64" i="95" s="1"/>
  <c r="BO71" i="87"/>
  <c r="B64" i="95" s="1"/>
  <c r="CQ70" i="87"/>
  <c r="F64" i="97" s="1"/>
  <c r="CP70" i="87"/>
  <c r="E64" i="97" s="1"/>
  <c r="CN70" i="87"/>
  <c r="C64" i="97" s="1"/>
  <c r="CM70" i="87"/>
  <c r="B64" i="97" s="1"/>
  <c r="BQ70" i="87"/>
  <c r="CQ69" i="87"/>
  <c r="F63" i="97" s="1"/>
  <c r="CP69" i="87"/>
  <c r="E63" i="97" s="1"/>
  <c r="CN69" i="87"/>
  <c r="C63" i="97" s="1"/>
  <c r="CM69" i="87"/>
  <c r="B63" i="97" s="1"/>
  <c r="BS69" i="87"/>
  <c r="F62" i="95" s="1"/>
  <c r="BR69" i="87"/>
  <c r="E62" i="95" s="1"/>
  <c r="BP69" i="87"/>
  <c r="C62" i="95" s="1"/>
  <c r="BO69" i="87"/>
  <c r="B62" i="95" s="1"/>
  <c r="AV56" i="87"/>
  <c r="AT56" i="87"/>
  <c r="C47" i="93" s="1"/>
  <c r="BS68" i="87"/>
  <c r="F61" i="95" s="1"/>
  <c r="BR68" i="87"/>
  <c r="E61" i="95" s="1"/>
  <c r="BP68" i="87"/>
  <c r="C61" i="95" s="1"/>
  <c r="BO68" i="87"/>
  <c r="B61" i="95" s="1"/>
  <c r="BS67" i="87"/>
  <c r="F60" i="95" s="1"/>
  <c r="BR67" i="87"/>
  <c r="E60" i="95" s="1"/>
  <c r="BP67" i="87"/>
  <c r="C60" i="95" s="1"/>
  <c r="BO67" i="87"/>
  <c r="B60" i="95" s="1"/>
  <c r="CQ66" i="87"/>
  <c r="F60" i="97" s="1"/>
  <c r="CP66" i="87"/>
  <c r="E60" i="97" s="1"/>
  <c r="CN66" i="87"/>
  <c r="C60" i="97" s="1"/>
  <c r="CM66" i="87"/>
  <c r="B60" i="97" s="1"/>
  <c r="BS66" i="87"/>
  <c r="F59" i="95" s="1"/>
  <c r="BR66" i="87"/>
  <c r="E59" i="95" s="1"/>
  <c r="BP66" i="87"/>
  <c r="C59" i="95" s="1"/>
  <c r="BO66" i="87"/>
  <c r="B59" i="95" s="1"/>
  <c r="BH65" i="87"/>
  <c r="BE65" i="87"/>
  <c r="D59" i="94" s="1"/>
  <c r="CQ65" i="87"/>
  <c r="F59" i="97" s="1"/>
  <c r="CP65" i="87"/>
  <c r="E59" i="97" s="1"/>
  <c r="CN65" i="87"/>
  <c r="C59" i="97" s="1"/>
  <c r="CM65" i="87"/>
  <c r="B59" i="97" s="1"/>
  <c r="BS65" i="87"/>
  <c r="F58" i="95" s="1"/>
  <c r="BR65" i="87"/>
  <c r="E58" i="95" s="1"/>
  <c r="BP65" i="87"/>
  <c r="C58" i="95" s="1"/>
  <c r="BO65" i="87"/>
  <c r="B58" i="95" s="1"/>
  <c r="BG64" i="87"/>
  <c r="F58" i="94" s="1"/>
  <c r="BF64" i="87"/>
  <c r="E58" i="94" s="1"/>
  <c r="BD64" i="87"/>
  <c r="C58" i="94" s="1"/>
  <c r="BC64" i="87"/>
  <c r="B58" i="94" s="1"/>
  <c r="CQ64" i="87"/>
  <c r="F58" i="97" s="1"/>
  <c r="CP64" i="87"/>
  <c r="E58" i="97" s="1"/>
  <c r="CN64" i="87"/>
  <c r="C58" i="97" s="1"/>
  <c r="CM64" i="87"/>
  <c r="B58" i="97" s="1"/>
  <c r="BG63" i="87"/>
  <c r="F57" i="94" s="1"/>
  <c r="BF63" i="87"/>
  <c r="E57" i="94" s="1"/>
  <c r="BD63" i="87"/>
  <c r="C57" i="94" s="1"/>
  <c r="BC63" i="87"/>
  <c r="B57" i="94" s="1"/>
  <c r="CQ63" i="87"/>
  <c r="F57" i="97" s="1"/>
  <c r="CP63" i="87"/>
  <c r="E57" i="97" s="1"/>
  <c r="CN63" i="87"/>
  <c r="C57" i="97" s="1"/>
  <c r="CM63" i="87"/>
  <c r="B57" i="97" s="1"/>
  <c r="BS63" i="87"/>
  <c r="F56" i="95" s="1"/>
  <c r="BR63" i="87"/>
  <c r="E56" i="95" s="1"/>
  <c r="BP63" i="87"/>
  <c r="C56" i="95" s="1"/>
  <c r="BO63" i="87"/>
  <c r="B56" i="95" s="1"/>
  <c r="BG62" i="87"/>
  <c r="F56" i="94" s="1"/>
  <c r="BF62" i="87"/>
  <c r="E56" i="94" s="1"/>
  <c r="E55" i="94" s="1"/>
  <c r="BD62" i="87"/>
  <c r="C56" i="94" s="1"/>
  <c r="BC62" i="87"/>
  <c r="B56" i="94" s="1"/>
  <c r="CQ62" i="87"/>
  <c r="F56" i="97" s="1"/>
  <c r="CP62" i="87"/>
  <c r="E56" i="97" s="1"/>
  <c r="CN62" i="87"/>
  <c r="C56" i="97" s="1"/>
  <c r="CM62" i="87"/>
  <c r="B56" i="97" s="1"/>
  <c r="BS62" i="87"/>
  <c r="F55" i="95" s="1"/>
  <c r="BR62" i="87"/>
  <c r="E55" i="95" s="1"/>
  <c r="BP62" i="87"/>
  <c r="C55" i="95" s="1"/>
  <c r="BO62" i="87"/>
  <c r="B55" i="95" s="1"/>
  <c r="BG61" i="87"/>
  <c r="BF61" i="87"/>
  <c r="BD61" i="87"/>
  <c r="BC61" i="87"/>
  <c r="CQ61" i="87"/>
  <c r="F55" i="97" s="1"/>
  <c r="CP61" i="87"/>
  <c r="E55" i="97" s="1"/>
  <c r="CN61" i="87"/>
  <c r="C55" i="97" s="1"/>
  <c r="CM61" i="87"/>
  <c r="B55" i="97" s="1"/>
  <c r="BS61" i="87"/>
  <c r="BR61" i="87"/>
  <c r="BP61" i="87"/>
  <c r="C54" i="95" s="1"/>
  <c r="C53" i="95" s="1"/>
  <c r="BO61" i="87"/>
  <c r="B54" i="95" s="1"/>
  <c r="B53" i="95" s="1"/>
  <c r="BG60" i="87"/>
  <c r="F54" i="94" s="1"/>
  <c r="BF60" i="87"/>
  <c r="E54" i="94" s="1"/>
  <c r="BD60" i="87"/>
  <c r="C54" i="94" s="1"/>
  <c r="BC60" i="87"/>
  <c r="B54" i="94" s="1"/>
  <c r="AV61" i="87"/>
  <c r="E52" i="93" s="1"/>
  <c r="AU61" i="87"/>
  <c r="CQ60" i="87"/>
  <c r="F54" i="97" s="1"/>
  <c r="CP60" i="87"/>
  <c r="E54" i="97" s="1"/>
  <c r="CN60" i="87"/>
  <c r="C54" i="97" s="1"/>
  <c r="CM60" i="87"/>
  <c r="B54" i="97" s="1"/>
  <c r="BP60" i="87"/>
  <c r="BG59" i="87"/>
  <c r="BF59" i="87"/>
  <c r="BD59" i="87"/>
  <c r="C53" i="94" s="1"/>
  <c r="BC59" i="87"/>
  <c r="BS59" i="87"/>
  <c r="F52" i="95" s="1"/>
  <c r="BR59" i="87"/>
  <c r="E52" i="95" s="1"/>
  <c r="BP59" i="87"/>
  <c r="C52" i="95" s="1"/>
  <c r="BO59" i="87"/>
  <c r="B52" i="95" s="1"/>
  <c r="BG58" i="87"/>
  <c r="F52" i="94" s="1"/>
  <c r="BF58" i="87"/>
  <c r="E52" i="94" s="1"/>
  <c r="BD58" i="87"/>
  <c r="C52" i="94" s="1"/>
  <c r="BC58" i="87"/>
  <c r="B52" i="94" s="1"/>
  <c r="BS58" i="87"/>
  <c r="F51" i="95" s="1"/>
  <c r="BR58" i="87"/>
  <c r="E51" i="95" s="1"/>
  <c r="BP58" i="87"/>
  <c r="C51" i="95" s="1"/>
  <c r="BO58" i="87"/>
  <c r="B51" i="95" s="1"/>
  <c r="BG57" i="87"/>
  <c r="F51" i="94" s="1"/>
  <c r="BF57" i="87"/>
  <c r="E51" i="94" s="1"/>
  <c r="BD57" i="87"/>
  <c r="C51" i="94" s="1"/>
  <c r="BC57" i="87"/>
  <c r="B51" i="94" s="1"/>
  <c r="CQ57" i="87"/>
  <c r="F51" i="97" s="1"/>
  <c r="CP57" i="87"/>
  <c r="E51" i="97" s="1"/>
  <c r="CN57" i="87"/>
  <c r="C51" i="97" s="1"/>
  <c r="CM57" i="87"/>
  <c r="B51" i="97" s="1"/>
  <c r="BS57" i="87"/>
  <c r="F50" i="95" s="1"/>
  <c r="BR57" i="87"/>
  <c r="E50" i="95" s="1"/>
  <c r="BP57" i="87"/>
  <c r="C50" i="95" s="1"/>
  <c r="BO57" i="87"/>
  <c r="B50" i="95" s="1"/>
  <c r="BG56" i="87"/>
  <c r="BF56" i="87"/>
  <c r="BD56" i="87"/>
  <c r="BC56" i="87"/>
  <c r="AU57" i="87"/>
  <c r="CQ56" i="87"/>
  <c r="F50" i="97" s="1"/>
  <c r="CP56" i="87"/>
  <c r="E50" i="97" s="1"/>
  <c r="CN56" i="87"/>
  <c r="C50" i="97" s="1"/>
  <c r="CM56" i="87"/>
  <c r="B50" i="97" s="1"/>
  <c r="BS56" i="87"/>
  <c r="F49" i="95" s="1"/>
  <c r="BR56" i="87"/>
  <c r="E49" i="95" s="1"/>
  <c r="BP56" i="87"/>
  <c r="C49" i="95" s="1"/>
  <c r="BO56" i="87"/>
  <c r="B49" i="95" s="1"/>
  <c r="BG55" i="87"/>
  <c r="F49" i="94" s="1"/>
  <c r="BF55" i="87"/>
  <c r="E49" i="94" s="1"/>
  <c r="BD55" i="87"/>
  <c r="C49" i="94" s="1"/>
  <c r="BC55" i="87"/>
  <c r="B49" i="94" s="1"/>
  <c r="CQ55" i="87"/>
  <c r="F49" i="97" s="1"/>
  <c r="CP55" i="87"/>
  <c r="E49" i="97" s="1"/>
  <c r="CN55" i="87"/>
  <c r="C49" i="97" s="1"/>
  <c r="CM55" i="87"/>
  <c r="B49" i="97" s="1"/>
  <c r="BS55" i="87"/>
  <c r="F48" i="95" s="1"/>
  <c r="BR55" i="87"/>
  <c r="E48" i="95" s="1"/>
  <c r="BP55" i="87"/>
  <c r="C48" i="95" s="1"/>
  <c r="BO55" i="87"/>
  <c r="B48" i="95" s="1"/>
  <c r="BG54" i="87"/>
  <c r="F48" i="94" s="1"/>
  <c r="BF54" i="87"/>
  <c r="E48" i="94" s="1"/>
  <c r="BD54" i="87"/>
  <c r="C48" i="94" s="1"/>
  <c r="BC54" i="87"/>
  <c r="B48" i="94" s="1"/>
  <c r="CQ54" i="87"/>
  <c r="F48" i="97" s="1"/>
  <c r="CP54" i="87"/>
  <c r="E48" i="97" s="1"/>
  <c r="CN54" i="87"/>
  <c r="C48" i="97" s="1"/>
  <c r="CM54" i="87"/>
  <c r="B48" i="97" s="1"/>
  <c r="BS54" i="87"/>
  <c r="F47" i="95" s="1"/>
  <c r="BR54" i="87"/>
  <c r="E47" i="95" s="1"/>
  <c r="BP54" i="87"/>
  <c r="C47" i="95" s="1"/>
  <c r="BO54" i="87"/>
  <c r="B47" i="95" s="1"/>
  <c r="BG53" i="87"/>
  <c r="F47" i="94" s="1"/>
  <c r="BF53" i="87"/>
  <c r="E47" i="94" s="1"/>
  <c r="BD53" i="87"/>
  <c r="C47" i="94" s="1"/>
  <c r="BC53" i="87"/>
  <c r="B47" i="94" s="1"/>
  <c r="CQ53" i="87"/>
  <c r="F47" i="97" s="1"/>
  <c r="CP53" i="87"/>
  <c r="E47" i="97" s="1"/>
  <c r="CN53" i="87"/>
  <c r="C47" i="97" s="1"/>
  <c r="CM53" i="87"/>
  <c r="B47" i="97" s="1"/>
  <c r="BS53" i="87"/>
  <c r="F46" i="95" s="1"/>
  <c r="BR53" i="87"/>
  <c r="E46" i="95" s="1"/>
  <c r="BP53" i="87"/>
  <c r="C46" i="95" s="1"/>
  <c r="BO53" i="87"/>
  <c r="B46" i="95" s="1"/>
  <c r="BG52" i="87"/>
  <c r="F46" i="94" s="1"/>
  <c r="BF52" i="87"/>
  <c r="E46" i="94" s="1"/>
  <c r="BD52" i="87"/>
  <c r="C46" i="94" s="1"/>
  <c r="BC52" i="87"/>
  <c r="B46" i="94" s="1"/>
  <c r="CQ52" i="87"/>
  <c r="F46" i="97" s="1"/>
  <c r="CP52" i="87"/>
  <c r="E46" i="97" s="1"/>
  <c r="CN52" i="87"/>
  <c r="C46" i="97" s="1"/>
  <c r="CM52" i="87"/>
  <c r="B46" i="97" s="1"/>
  <c r="BS52" i="87"/>
  <c r="F45" i="95" s="1"/>
  <c r="BR52" i="87"/>
  <c r="E45" i="95" s="1"/>
  <c r="BP52" i="87"/>
  <c r="C45" i="95" s="1"/>
  <c r="BO52" i="87"/>
  <c r="B45" i="95" s="1"/>
  <c r="BG51" i="87"/>
  <c r="F45" i="94" s="1"/>
  <c r="BF51" i="87"/>
  <c r="E45" i="94" s="1"/>
  <c r="BD51" i="87"/>
  <c r="C45" i="94" s="1"/>
  <c r="BC51" i="87"/>
  <c r="B45" i="94" s="1"/>
  <c r="CQ51" i="87"/>
  <c r="F45" i="97" s="1"/>
  <c r="CP51" i="87"/>
  <c r="E45" i="97" s="1"/>
  <c r="CN51" i="87"/>
  <c r="C45" i="97" s="1"/>
  <c r="CM51" i="87"/>
  <c r="B45" i="97" s="1"/>
  <c r="BS51" i="87"/>
  <c r="F44" i="95" s="1"/>
  <c r="BR51" i="87"/>
  <c r="E44" i="95" s="1"/>
  <c r="BP51" i="87"/>
  <c r="C44" i="95" s="1"/>
  <c r="BO51" i="87"/>
  <c r="B44" i="95" s="1"/>
  <c r="BG50" i="87"/>
  <c r="F44" i="94" s="1"/>
  <c r="BF50" i="87"/>
  <c r="E44" i="94" s="1"/>
  <c r="BD50" i="87"/>
  <c r="C44" i="94" s="1"/>
  <c r="BC50" i="87"/>
  <c r="B44" i="94" s="1"/>
  <c r="CQ50" i="87"/>
  <c r="F44" i="97" s="1"/>
  <c r="CP50" i="87"/>
  <c r="E44" i="97" s="1"/>
  <c r="CN50" i="87"/>
  <c r="C44" i="97" s="1"/>
  <c r="CM50" i="87"/>
  <c r="B44" i="97" s="1"/>
  <c r="BG49" i="87"/>
  <c r="F43" i="94" s="1"/>
  <c r="BF49" i="87"/>
  <c r="E43" i="94" s="1"/>
  <c r="BD49" i="87"/>
  <c r="C43" i="94" s="1"/>
  <c r="BC49" i="87"/>
  <c r="B43" i="94" s="1"/>
  <c r="BS49" i="87"/>
  <c r="F42" i="95" s="1"/>
  <c r="BR49" i="87"/>
  <c r="E42" i="95" s="1"/>
  <c r="BP49" i="87"/>
  <c r="C42" i="95" s="1"/>
  <c r="BO49" i="87"/>
  <c r="B42" i="95" s="1"/>
  <c r="BG48" i="87"/>
  <c r="F42" i="94" s="1"/>
  <c r="BF48" i="87"/>
  <c r="E42" i="94" s="1"/>
  <c r="BD48" i="87"/>
  <c r="C42" i="94" s="1"/>
  <c r="C41" i="94" s="1"/>
  <c r="BC48" i="87"/>
  <c r="B42" i="94" s="1"/>
  <c r="B41" i="94" s="1"/>
  <c r="BS48" i="87"/>
  <c r="F41" i="95" s="1"/>
  <c r="BR48" i="87"/>
  <c r="E41" i="95" s="1"/>
  <c r="BP48" i="87"/>
  <c r="C41" i="95" s="1"/>
  <c r="BO48" i="87"/>
  <c r="B41" i="95" s="1"/>
  <c r="BG47" i="87"/>
  <c r="BF47" i="87"/>
  <c r="BD47" i="87"/>
  <c r="BC47" i="87"/>
  <c r="BS47" i="87"/>
  <c r="F40" i="95" s="1"/>
  <c r="BR47" i="87"/>
  <c r="E40" i="95" s="1"/>
  <c r="BP47" i="87"/>
  <c r="C40" i="95" s="1"/>
  <c r="BO47" i="87"/>
  <c r="B40" i="95" s="1"/>
  <c r="CQ46" i="87"/>
  <c r="F40" i="97" s="1"/>
  <c r="CP46" i="87"/>
  <c r="E40" i="97" s="1"/>
  <c r="CN46" i="87"/>
  <c r="C40" i="97" s="1"/>
  <c r="CM46" i="87"/>
  <c r="B40" i="97" s="1"/>
  <c r="BS46" i="87"/>
  <c r="F39" i="95" s="1"/>
  <c r="BR46" i="87"/>
  <c r="E39" i="95" s="1"/>
  <c r="BP46" i="87"/>
  <c r="C39" i="95" s="1"/>
  <c r="BO46" i="87"/>
  <c r="B39" i="95" s="1"/>
  <c r="AV46" i="87"/>
  <c r="E39" i="93" s="1"/>
  <c r="AU46" i="87"/>
  <c r="D39" i="93" s="1"/>
  <c r="CQ45" i="87"/>
  <c r="F39" i="97" s="1"/>
  <c r="CP45" i="87"/>
  <c r="E39" i="97" s="1"/>
  <c r="CN45" i="87"/>
  <c r="C39" i="97" s="1"/>
  <c r="CM45" i="87"/>
  <c r="B39" i="97" s="1"/>
  <c r="BS45" i="87"/>
  <c r="F38" i="95" s="1"/>
  <c r="BR45" i="87"/>
  <c r="E38" i="95" s="1"/>
  <c r="BP45" i="87"/>
  <c r="C38" i="95" s="1"/>
  <c r="BO45" i="87"/>
  <c r="B38" i="95" s="1"/>
  <c r="CQ44" i="87"/>
  <c r="F38" i="97" s="1"/>
  <c r="CP44" i="87"/>
  <c r="E38" i="97" s="1"/>
  <c r="CN44" i="87"/>
  <c r="C38" i="97" s="1"/>
  <c r="CM44" i="87"/>
  <c r="B38" i="97" s="1"/>
  <c r="BS44" i="87"/>
  <c r="F37" i="95" s="1"/>
  <c r="BR44" i="87"/>
  <c r="E37" i="95" s="1"/>
  <c r="BP44" i="87"/>
  <c r="C37" i="95" s="1"/>
  <c r="BO44" i="87"/>
  <c r="B37" i="95" s="1"/>
  <c r="CQ43" i="87"/>
  <c r="F37" i="97" s="1"/>
  <c r="CP43" i="87"/>
  <c r="E37" i="97" s="1"/>
  <c r="CN43" i="87"/>
  <c r="C37" i="97" s="1"/>
  <c r="CM43" i="87"/>
  <c r="B37" i="97" s="1"/>
  <c r="BS43" i="87"/>
  <c r="F36" i="95" s="1"/>
  <c r="BR43" i="87"/>
  <c r="E36" i="95" s="1"/>
  <c r="BP43" i="87"/>
  <c r="C36" i="95" s="1"/>
  <c r="BO43" i="87"/>
  <c r="B36" i="95" s="1"/>
  <c r="BH42" i="87"/>
  <c r="BE42" i="87"/>
  <c r="D36" i="94" s="1"/>
  <c r="AV43" i="87"/>
  <c r="E36" i="93" s="1"/>
  <c r="AU43" i="87"/>
  <c r="D36" i="93" s="1"/>
  <c r="AT43" i="87"/>
  <c r="C36" i="93" s="1"/>
  <c r="BS42" i="87"/>
  <c r="F35" i="95" s="1"/>
  <c r="BR42" i="87"/>
  <c r="E35" i="95" s="1"/>
  <c r="BP42" i="87"/>
  <c r="C35" i="95" s="1"/>
  <c r="BO42" i="87"/>
  <c r="B35" i="95" s="1"/>
  <c r="BH41" i="87"/>
  <c r="BE41" i="87"/>
  <c r="D35" i="94" s="1"/>
  <c r="D34" i="94" s="1"/>
  <c r="BS41" i="87"/>
  <c r="F34" i="95" s="1"/>
  <c r="BR41" i="87"/>
  <c r="E34" i="95" s="1"/>
  <c r="BP41" i="87"/>
  <c r="C34" i="95" s="1"/>
  <c r="BO41" i="87"/>
  <c r="B34" i="95" s="1"/>
  <c r="BH40" i="87"/>
  <c r="BE40" i="87"/>
  <c r="CQ40" i="87"/>
  <c r="F34" i="97" s="1"/>
  <c r="CP40" i="87"/>
  <c r="E34" i="97" s="1"/>
  <c r="CN40" i="87"/>
  <c r="C34" i="97" s="1"/>
  <c r="CM40" i="87"/>
  <c r="B34" i="97" s="1"/>
  <c r="BG39" i="87"/>
  <c r="F33" i="94" s="1"/>
  <c r="BF39" i="87"/>
  <c r="E33" i="94" s="1"/>
  <c r="E32" i="94" s="1"/>
  <c r="BD39" i="87"/>
  <c r="C33" i="94" s="1"/>
  <c r="C32" i="94" s="1"/>
  <c r="BC39" i="87"/>
  <c r="B33" i="94" s="1"/>
  <c r="B32" i="94" s="1"/>
  <c r="CQ39" i="87"/>
  <c r="F33" i="97" s="1"/>
  <c r="CP39" i="87"/>
  <c r="E33" i="97" s="1"/>
  <c r="CN39" i="87"/>
  <c r="C33" i="97" s="1"/>
  <c r="CM39" i="87"/>
  <c r="B33" i="97" s="1"/>
  <c r="BS39" i="87"/>
  <c r="F32" i="95" s="1"/>
  <c r="BR39" i="87"/>
  <c r="E32" i="95" s="1"/>
  <c r="BP39" i="87"/>
  <c r="C32" i="95" s="1"/>
  <c r="BO39" i="87"/>
  <c r="B32" i="95" s="1"/>
  <c r="BG38" i="87"/>
  <c r="BF38" i="87"/>
  <c r="BD38" i="87"/>
  <c r="BC38" i="87"/>
  <c r="CQ38" i="87"/>
  <c r="F32" i="97" s="1"/>
  <c r="CP38" i="87"/>
  <c r="E32" i="97" s="1"/>
  <c r="CN38" i="87"/>
  <c r="C32" i="97" s="1"/>
  <c r="CM38" i="87"/>
  <c r="B32" i="97" s="1"/>
  <c r="BS38" i="87"/>
  <c r="F31" i="95" s="1"/>
  <c r="BR38" i="87"/>
  <c r="E31" i="95" s="1"/>
  <c r="BP38" i="87"/>
  <c r="C31" i="95" s="1"/>
  <c r="BO38" i="87"/>
  <c r="B31" i="95" s="1"/>
  <c r="BG37" i="87"/>
  <c r="F31" i="94" s="1"/>
  <c r="BF37" i="87"/>
  <c r="E31" i="94" s="1"/>
  <c r="BD37" i="87"/>
  <c r="C31" i="94" s="1"/>
  <c r="BC37" i="87"/>
  <c r="B31" i="94" s="1"/>
  <c r="CQ37" i="87"/>
  <c r="F31" i="97" s="1"/>
  <c r="CP37" i="87"/>
  <c r="E31" i="97" s="1"/>
  <c r="CN37" i="87"/>
  <c r="C31" i="97" s="1"/>
  <c r="CM37" i="87"/>
  <c r="B31" i="97" s="1"/>
  <c r="BS37" i="87"/>
  <c r="F30" i="95" s="1"/>
  <c r="BR37" i="87"/>
  <c r="E30" i="95" s="1"/>
  <c r="BP37" i="87"/>
  <c r="C30" i="95" s="1"/>
  <c r="BO37" i="87"/>
  <c r="B30" i="95" s="1"/>
  <c r="BG36" i="87"/>
  <c r="F30" i="94" s="1"/>
  <c r="BF36" i="87"/>
  <c r="E30" i="94" s="1"/>
  <c r="BD36" i="87"/>
  <c r="C30" i="94" s="1"/>
  <c r="BC36" i="87"/>
  <c r="B30" i="94" s="1"/>
  <c r="CQ36" i="87"/>
  <c r="F30" i="97" s="1"/>
  <c r="CP36" i="87"/>
  <c r="E30" i="97" s="1"/>
  <c r="CN36" i="87"/>
  <c r="C30" i="97" s="1"/>
  <c r="CM36" i="87"/>
  <c r="B30" i="97" s="1"/>
  <c r="BS36" i="87"/>
  <c r="F29" i="95" s="1"/>
  <c r="BR36" i="87"/>
  <c r="E29" i="95" s="1"/>
  <c r="BP36" i="87"/>
  <c r="C29" i="95" s="1"/>
  <c r="BO36" i="87"/>
  <c r="B29" i="95" s="1"/>
  <c r="BG35" i="87"/>
  <c r="F29" i="94" s="1"/>
  <c r="BF35" i="87"/>
  <c r="E29" i="94" s="1"/>
  <c r="BD35" i="87"/>
  <c r="C29" i="94" s="1"/>
  <c r="BC35" i="87"/>
  <c r="B29" i="94" s="1"/>
  <c r="CQ35" i="87"/>
  <c r="F29" i="97" s="1"/>
  <c r="CP35" i="87"/>
  <c r="E29" i="97" s="1"/>
  <c r="CN35" i="87"/>
  <c r="C29" i="97" s="1"/>
  <c r="CM35" i="87"/>
  <c r="B29" i="97" s="1"/>
  <c r="BS35" i="87"/>
  <c r="F28" i="95" s="1"/>
  <c r="BR35" i="87"/>
  <c r="E28" i="95" s="1"/>
  <c r="BP35" i="87"/>
  <c r="C28" i="95" s="1"/>
  <c r="BO35" i="87"/>
  <c r="B28" i="95" s="1"/>
  <c r="BG34" i="87"/>
  <c r="F28" i="94" s="1"/>
  <c r="BF34" i="87"/>
  <c r="E28" i="94" s="1"/>
  <c r="BD34" i="87"/>
  <c r="C28" i="94" s="1"/>
  <c r="BC34" i="87"/>
  <c r="B28" i="94" s="1"/>
  <c r="CQ34" i="87"/>
  <c r="F28" i="97" s="1"/>
  <c r="CP34" i="87"/>
  <c r="E28" i="97" s="1"/>
  <c r="CN34" i="87"/>
  <c r="C28" i="97" s="1"/>
  <c r="CM34" i="87"/>
  <c r="B28" i="97" s="1"/>
  <c r="BS34" i="87"/>
  <c r="F27" i="95" s="1"/>
  <c r="BR34" i="87"/>
  <c r="E27" i="95" s="1"/>
  <c r="BP34" i="87"/>
  <c r="C27" i="95" s="1"/>
  <c r="BO34" i="87"/>
  <c r="B27" i="95" s="1"/>
  <c r="BG33" i="87"/>
  <c r="F27" i="94" s="1"/>
  <c r="BF33" i="87"/>
  <c r="E27" i="94" s="1"/>
  <c r="BD33" i="87"/>
  <c r="C27" i="94" s="1"/>
  <c r="BC33" i="87"/>
  <c r="B27" i="94" s="1"/>
  <c r="DC33" i="87"/>
  <c r="F26" i="98" s="1"/>
  <c r="DB33" i="87"/>
  <c r="E26" i="98" s="1"/>
  <c r="CZ33" i="87"/>
  <c r="C26" i="98" s="1"/>
  <c r="CY33" i="87"/>
  <c r="B26" i="98" s="1"/>
  <c r="CQ33" i="87"/>
  <c r="F27" i="97" s="1"/>
  <c r="CP33" i="87"/>
  <c r="E27" i="97" s="1"/>
  <c r="CN33" i="87"/>
  <c r="C27" i="97" s="1"/>
  <c r="CM33" i="87"/>
  <c r="B27" i="97" s="1"/>
  <c r="BS33" i="87"/>
  <c r="F26" i="95" s="1"/>
  <c r="BR33" i="87"/>
  <c r="E26" i="95" s="1"/>
  <c r="BP33" i="87"/>
  <c r="C26" i="95" s="1"/>
  <c r="BO33" i="87"/>
  <c r="B26" i="95" s="1"/>
  <c r="BG32" i="87"/>
  <c r="F26" i="94" s="1"/>
  <c r="BF32" i="87"/>
  <c r="E26" i="94" s="1"/>
  <c r="BD32" i="87"/>
  <c r="C26" i="94" s="1"/>
  <c r="C25" i="94" s="1"/>
  <c r="BC32" i="87"/>
  <c r="B26" i="94" s="1"/>
  <c r="B25" i="94" s="1"/>
  <c r="AV33" i="87"/>
  <c r="E28" i="93" s="1"/>
  <c r="AU33" i="87"/>
  <c r="D28" i="93" s="1"/>
  <c r="AT33" i="87"/>
  <c r="C28" i="93" s="1"/>
  <c r="DC32" i="87"/>
  <c r="F25" i="98" s="1"/>
  <c r="DB32" i="87"/>
  <c r="E25" i="98" s="1"/>
  <c r="CZ32" i="87"/>
  <c r="C25" i="98" s="1"/>
  <c r="CY32" i="87"/>
  <c r="B25" i="98" s="1"/>
  <c r="CQ32" i="87"/>
  <c r="F26" i="97" s="1"/>
  <c r="CP32" i="87"/>
  <c r="E26" i="97" s="1"/>
  <c r="CN32" i="87"/>
  <c r="C26" i="97" s="1"/>
  <c r="CM32" i="87"/>
  <c r="B26" i="97" s="1"/>
  <c r="BS32" i="87"/>
  <c r="F25" i="95" s="1"/>
  <c r="BR32" i="87"/>
  <c r="E25" i="95" s="1"/>
  <c r="BP32" i="87"/>
  <c r="C25" i="95" s="1"/>
  <c r="BO32" i="87"/>
  <c r="B25" i="95" s="1"/>
  <c r="BG31" i="87"/>
  <c r="BF31" i="87"/>
  <c r="BD31" i="87"/>
  <c r="BC31" i="87"/>
  <c r="AU32" i="87"/>
  <c r="D27" i="93" s="1"/>
  <c r="DC31" i="87"/>
  <c r="F24" i="98" s="1"/>
  <c r="DB31" i="87"/>
  <c r="E24" i="98" s="1"/>
  <c r="CZ31" i="87"/>
  <c r="C24" i="98" s="1"/>
  <c r="CY31" i="87"/>
  <c r="B24" i="98" s="1"/>
  <c r="BS31" i="87"/>
  <c r="F24" i="95" s="1"/>
  <c r="BR31" i="87"/>
  <c r="E24" i="95" s="1"/>
  <c r="BP31" i="87"/>
  <c r="C24" i="95" s="1"/>
  <c r="BO31" i="87"/>
  <c r="B24" i="95" s="1"/>
  <c r="BG30" i="87"/>
  <c r="F24" i="94" s="1"/>
  <c r="BF30" i="87"/>
  <c r="E24" i="94" s="1"/>
  <c r="BD30" i="87"/>
  <c r="C24" i="94" s="1"/>
  <c r="BC30" i="87"/>
  <c r="B24" i="94" s="1"/>
  <c r="DC30" i="87"/>
  <c r="DB30" i="87"/>
  <c r="CZ30" i="87"/>
  <c r="CY30" i="87"/>
  <c r="BG29" i="87"/>
  <c r="F23" i="94" s="1"/>
  <c r="BF29" i="87"/>
  <c r="E23" i="94" s="1"/>
  <c r="BD29" i="87"/>
  <c r="C23" i="94" s="1"/>
  <c r="BC29" i="87"/>
  <c r="B23" i="94" s="1"/>
  <c r="DC29" i="87"/>
  <c r="F22" i="98" s="1"/>
  <c r="DB29" i="87"/>
  <c r="E22" i="98" s="1"/>
  <c r="CZ29" i="87"/>
  <c r="C22" i="98" s="1"/>
  <c r="CY29" i="87"/>
  <c r="B22" i="98" s="1"/>
  <c r="CQ29" i="87"/>
  <c r="F23" i="97" s="1"/>
  <c r="CP29" i="87"/>
  <c r="E23" i="97" s="1"/>
  <c r="CN29" i="87"/>
  <c r="C23" i="97" s="1"/>
  <c r="CM29" i="87"/>
  <c r="B23" i="97" s="1"/>
  <c r="CE29" i="87"/>
  <c r="F24" i="96" s="1"/>
  <c r="CD29" i="87"/>
  <c r="E24" i="96" s="1"/>
  <c r="CB29" i="87"/>
  <c r="C24" i="96" s="1"/>
  <c r="CA29" i="87"/>
  <c r="B24" i="96" s="1"/>
  <c r="BS29" i="87"/>
  <c r="F22" i="95" s="1"/>
  <c r="BR29" i="87"/>
  <c r="E22" i="95" s="1"/>
  <c r="BP29" i="87"/>
  <c r="C22" i="95" s="1"/>
  <c r="BO29" i="87"/>
  <c r="B22" i="95" s="1"/>
  <c r="BG28" i="87"/>
  <c r="F22" i="94" s="1"/>
  <c r="BF28" i="87"/>
  <c r="E22" i="94" s="1"/>
  <c r="BD28" i="87"/>
  <c r="C22" i="94" s="1"/>
  <c r="BC28" i="87"/>
  <c r="B22" i="94" s="1"/>
  <c r="DC28" i="87"/>
  <c r="F21" i="98" s="1"/>
  <c r="DB28" i="87"/>
  <c r="E21" i="98" s="1"/>
  <c r="CZ28" i="87"/>
  <c r="C21" i="98" s="1"/>
  <c r="CY28" i="87"/>
  <c r="B21" i="98" s="1"/>
  <c r="CQ28" i="87"/>
  <c r="F22" i="97" s="1"/>
  <c r="CP28" i="87"/>
  <c r="E22" i="97" s="1"/>
  <c r="CN28" i="87"/>
  <c r="C22" i="97" s="1"/>
  <c r="CM28" i="87"/>
  <c r="B22" i="97" s="1"/>
  <c r="CE28" i="87"/>
  <c r="F23" i="96" s="1"/>
  <c r="CD28" i="87"/>
  <c r="E23" i="96" s="1"/>
  <c r="CB28" i="87"/>
  <c r="C23" i="96" s="1"/>
  <c r="CA28" i="87"/>
  <c r="B23" i="96" s="1"/>
  <c r="BS28" i="87"/>
  <c r="F21" i="95" s="1"/>
  <c r="BR28" i="87"/>
  <c r="E21" i="95" s="1"/>
  <c r="BP28" i="87"/>
  <c r="C21" i="95" s="1"/>
  <c r="BO28" i="87"/>
  <c r="B21" i="95" s="1"/>
  <c r="BG27" i="87"/>
  <c r="F21" i="94" s="1"/>
  <c r="BF27" i="87"/>
  <c r="E21" i="94" s="1"/>
  <c r="BD27" i="87"/>
  <c r="C21" i="94" s="1"/>
  <c r="BC27" i="87"/>
  <c r="B21" i="94" s="1"/>
  <c r="DC27" i="87"/>
  <c r="F20" i="98" s="1"/>
  <c r="F19" i="98" s="1"/>
  <c r="DB27" i="87"/>
  <c r="E20" i="98" s="1"/>
  <c r="E19" i="98" s="1"/>
  <c r="CZ27" i="87"/>
  <c r="C20" i="98" s="1"/>
  <c r="CY27" i="87"/>
  <c r="B20" i="98" s="1"/>
  <c r="B19" i="98" s="1"/>
  <c r="CQ27" i="87"/>
  <c r="F21" i="97" s="1"/>
  <c r="CP27" i="87"/>
  <c r="E21" i="97" s="1"/>
  <c r="CN27" i="87"/>
  <c r="C21" i="97" s="1"/>
  <c r="CM27" i="87"/>
  <c r="B21" i="97" s="1"/>
  <c r="CE27" i="87"/>
  <c r="F22" i="96" s="1"/>
  <c r="CD27" i="87"/>
  <c r="E22" i="96" s="1"/>
  <c r="CB27" i="87"/>
  <c r="C22" i="96" s="1"/>
  <c r="CA27" i="87"/>
  <c r="B22" i="96" s="1"/>
  <c r="BS27" i="87"/>
  <c r="F20" i="95" s="1"/>
  <c r="BR27" i="87"/>
  <c r="E20" i="95" s="1"/>
  <c r="BP27" i="87"/>
  <c r="C20" i="95" s="1"/>
  <c r="BO27" i="87"/>
  <c r="B20" i="95" s="1"/>
  <c r="BG26" i="87"/>
  <c r="F20" i="94" s="1"/>
  <c r="BF26" i="87"/>
  <c r="E20" i="94" s="1"/>
  <c r="BD26" i="87"/>
  <c r="C20" i="94" s="1"/>
  <c r="BC26" i="87"/>
  <c r="B20" i="94" s="1"/>
  <c r="DC26" i="87"/>
  <c r="DB26" i="87"/>
  <c r="CZ26" i="87"/>
  <c r="CY26" i="87"/>
  <c r="CQ26" i="87"/>
  <c r="F20" i="97" s="1"/>
  <c r="CP26" i="87"/>
  <c r="E20" i="97" s="1"/>
  <c r="CN26" i="87"/>
  <c r="C20" i="97" s="1"/>
  <c r="CM26" i="87"/>
  <c r="B20" i="97" s="1"/>
  <c r="CE26" i="87"/>
  <c r="F21" i="96" s="1"/>
  <c r="CD26" i="87"/>
  <c r="E21" i="96" s="1"/>
  <c r="CB26" i="87"/>
  <c r="C21" i="96" s="1"/>
  <c r="CA26" i="87"/>
  <c r="B21" i="96" s="1"/>
  <c r="BS26" i="87"/>
  <c r="F19" i="95" s="1"/>
  <c r="BR26" i="87"/>
  <c r="E19" i="95" s="1"/>
  <c r="BP26" i="87"/>
  <c r="C19" i="95" s="1"/>
  <c r="BO26" i="87"/>
  <c r="B19" i="95" s="1"/>
  <c r="BG25" i="87"/>
  <c r="F19" i="94" s="1"/>
  <c r="BF25" i="87"/>
  <c r="E19" i="94" s="1"/>
  <c r="BD25" i="87"/>
  <c r="C19" i="94" s="1"/>
  <c r="BC25" i="87"/>
  <c r="B19" i="94" s="1"/>
  <c r="DC25" i="87"/>
  <c r="F18" i="98" s="1"/>
  <c r="DB25" i="87"/>
  <c r="E18" i="98" s="1"/>
  <c r="CZ25" i="87"/>
  <c r="C18" i="98" s="1"/>
  <c r="CY25" i="87"/>
  <c r="B18" i="98" s="1"/>
  <c r="CQ25" i="87"/>
  <c r="F19" i="97" s="1"/>
  <c r="CP25" i="87"/>
  <c r="E19" i="97" s="1"/>
  <c r="CN25" i="87"/>
  <c r="C19" i="97" s="1"/>
  <c r="CM25" i="87"/>
  <c r="B19" i="97" s="1"/>
  <c r="CE25" i="87"/>
  <c r="F20" i="96" s="1"/>
  <c r="CD25" i="87"/>
  <c r="E20" i="96" s="1"/>
  <c r="CB25" i="87"/>
  <c r="C20" i="96" s="1"/>
  <c r="CA25" i="87"/>
  <c r="B20" i="96" s="1"/>
  <c r="BS25" i="87"/>
  <c r="F18" i="95" s="1"/>
  <c r="BR25" i="87"/>
  <c r="E18" i="95" s="1"/>
  <c r="BP25" i="87"/>
  <c r="C18" i="95" s="1"/>
  <c r="BO25" i="87"/>
  <c r="B18" i="95" s="1"/>
  <c r="BG24" i="87"/>
  <c r="F18" i="94" s="1"/>
  <c r="BF24" i="87"/>
  <c r="E18" i="94" s="1"/>
  <c r="BD24" i="87"/>
  <c r="C18" i="94" s="1"/>
  <c r="BC24" i="87"/>
  <c r="B18" i="94" s="1"/>
  <c r="DC24" i="87"/>
  <c r="F17" i="98" s="1"/>
  <c r="DB24" i="87"/>
  <c r="E17" i="98" s="1"/>
  <c r="CZ24" i="87"/>
  <c r="C17" i="98" s="1"/>
  <c r="CY24" i="87"/>
  <c r="B17" i="98" s="1"/>
  <c r="CQ24" i="87"/>
  <c r="F18" i="97" s="1"/>
  <c r="CP24" i="87"/>
  <c r="E18" i="97" s="1"/>
  <c r="CN24" i="87"/>
  <c r="C18" i="97" s="1"/>
  <c r="CM24" i="87"/>
  <c r="B18" i="97" s="1"/>
  <c r="CE24" i="87"/>
  <c r="F19" i="96" s="1"/>
  <c r="CD24" i="87"/>
  <c r="E19" i="96" s="1"/>
  <c r="CB24" i="87"/>
  <c r="C19" i="96" s="1"/>
  <c r="CA24" i="87"/>
  <c r="B19" i="96" s="1"/>
  <c r="BS24" i="87"/>
  <c r="F17" i="95" s="1"/>
  <c r="BR24" i="87"/>
  <c r="E17" i="95" s="1"/>
  <c r="BP24" i="87"/>
  <c r="C17" i="95" s="1"/>
  <c r="BO24" i="87"/>
  <c r="B17" i="95" s="1"/>
  <c r="BG23" i="87"/>
  <c r="F17" i="94" s="1"/>
  <c r="BF23" i="87"/>
  <c r="E17" i="94" s="1"/>
  <c r="BD23" i="87"/>
  <c r="C17" i="94" s="1"/>
  <c r="BC23" i="87"/>
  <c r="B17" i="94" s="1"/>
  <c r="CQ23" i="87"/>
  <c r="F17" i="97" s="1"/>
  <c r="F16" i="97" s="1"/>
  <c r="CP23" i="87"/>
  <c r="E17" i="97" s="1"/>
  <c r="E16" i="97" s="1"/>
  <c r="CN23" i="87"/>
  <c r="C17" i="97" s="1"/>
  <c r="C16" i="97" s="1"/>
  <c r="CM23" i="87"/>
  <c r="B17" i="97" s="1"/>
  <c r="B16" i="97" s="1"/>
  <c r="CE23" i="87"/>
  <c r="F18" i="96" s="1"/>
  <c r="CD23" i="87"/>
  <c r="E18" i="96" s="1"/>
  <c r="CB23" i="87"/>
  <c r="C18" i="96" s="1"/>
  <c r="CA23" i="87"/>
  <c r="B18" i="96" s="1"/>
  <c r="BS23" i="87"/>
  <c r="F16" i="95" s="1"/>
  <c r="BR23" i="87"/>
  <c r="E16" i="95" s="1"/>
  <c r="BP23" i="87"/>
  <c r="C16" i="95" s="1"/>
  <c r="BO23" i="87"/>
  <c r="B16" i="95" s="1"/>
  <c r="BG22" i="87"/>
  <c r="F16" i="94" s="1"/>
  <c r="BF22" i="87"/>
  <c r="E16" i="94" s="1"/>
  <c r="BD22" i="87"/>
  <c r="C16" i="94" s="1"/>
  <c r="BC22" i="87"/>
  <c r="B16" i="94" s="1"/>
  <c r="CE22" i="87"/>
  <c r="F17" i="96" s="1"/>
  <c r="F16" i="96" s="1"/>
  <c r="CD22" i="87"/>
  <c r="E17" i="96" s="1"/>
  <c r="CB22" i="87"/>
  <c r="C17" i="96" s="1"/>
  <c r="C16" i="96" s="1"/>
  <c r="CA22" i="87"/>
  <c r="B17" i="96" s="1"/>
  <c r="B16" i="96" s="1"/>
  <c r="BS22" i="87"/>
  <c r="F15" i="95" s="1"/>
  <c r="BR22" i="87"/>
  <c r="E15" i="95" s="1"/>
  <c r="BP22" i="87"/>
  <c r="C15" i="95" s="1"/>
  <c r="BO22" i="87"/>
  <c r="B15" i="95" s="1"/>
  <c r="BG21" i="87"/>
  <c r="F15" i="94" s="1"/>
  <c r="BF21" i="87"/>
  <c r="E15" i="94" s="1"/>
  <c r="BD21" i="87"/>
  <c r="C15" i="94" s="1"/>
  <c r="BC21" i="87"/>
  <c r="B15" i="94" s="1"/>
  <c r="AV22" i="87"/>
  <c r="E18" i="93" s="1"/>
  <c r="AU22" i="87"/>
  <c r="D18" i="93" s="1"/>
  <c r="DC21" i="87"/>
  <c r="F14" i="98" s="1"/>
  <c r="DB21" i="87"/>
  <c r="E14" i="98" s="1"/>
  <c r="CZ21" i="87"/>
  <c r="C14" i="98" s="1"/>
  <c r="CY21" i="87"/>
  <c r="B14" i="98" s="1"/>
  <c r="BS21" i="87"/>
  <c r="F14" i="95" s="1"/>
  <c r="BR21" i="87"/>
  <c r="E14" i="95" s="1"/>
  <c r="BP21" i="87"/>
  <c r="C14" i="95" s="1"/>
  <c r="BO21" i="87"/>
  <c r="B14" i="95" s="1"/>
  <c r="BG20" i="87"/>
  <c r="F14" i="94" s="1"/>
  <c r="BF20" i="87"/>
  <c r="E14" i="94" s="1"/>
  <c r="BD20" i="87"/>
  <c r="C14" i="94" s="1"/>
  <c r="BC20" i="87"/>
  <c r="B14" i="94" s="1"/>
  <c r="DC20" i="87"/>
  <c r="F13" i="98" s="1"/>
  <c r="DB20" i="87"/>
  <c r="E13" i="98" s="1"/>
  <c r="CZ20" i="87"/>
  <c r="C13" i="98" s="1"/>
  <c r="CY20" i="87"/>
  <c r="B13" i="98" s="1"/>
  <c r="CQ20" i="87"/>
  <c r="F14" i="97" s="1"/>
  <c r="CP20" i="87"/>
  <c r="E14" i="97" s="1"/>
  <c r="CN20" i="87"/>
  <c r="C14" i="97" s="1"/>
  <c r="CM20" i="87"/>
  <c r="B14" i="97" s="1"/>
  <c r="BG19" i="87"/>
  <c r="BF19" i="87"/>
  <c r="BD19" i="87"/>
  <c r="BC19" i="87"/>
  <c r="DC19" i="87"/>
  <c r="F12" i="98" s="1"/>
  <c r="DB19" i="87"/>
  <c r="E12" i="98" s="1"/>
  <c r="E11" i="98" s="1"/>
  <c r="CZ19" i="87"/>
  <c r="C12" i="98" s="1"/>
  <c r="C11" i="98" s="1"/>
  <c r="CY19" i="87"/>
  <c r="B12" i="98" s="1"/>
  <c r="B11" i="98" s="1"/>
  <c r="CQ19" i="87"/>
  <c r="F13" i="97" s="1"/>
  <c r="CP19" i="87"/>
  <c r="E13" i="97" s="1"/>
  <c r="CN19" i="87"/>
  <c r="C13" i="97" s="1"/>
  <c r="CM19" i="87"/>
  <c r="B13" i="97" s="1"/>
  <c r="CE19" i="87"/>
  <c r="F13" i="96" s="1"/>
  <c r="CD19" i="87"/>
  <c r="E13" i="96" s="1"/>
  <c r="CB19" i="87"/>
  <c r="C13" i="96" s="1"/>
  <c r="CA19" i="87"/>
  <c r="B13" i="96" s="1"/>
  <c r="BS19" i="87"/>
  <c r="F12" i="95" s="1"/>
  <c r="BR19" i="87"/>
  <c r="E12" i="95" s="1"/>
  <c r="BP19" i="87"/>
  <c r="C12" i="95" s="1"/>
  <c r="BO19" i="87"/>
  <c r="B12" i="95" s="1"/>
  <c r="BG18" i="87"/>
  <c r="F12" i="94" s="1"/>
  <c r="BF18" i="87"/>
  <c r="E12" i="94" s="1"/>
  <c r="BD18" i="87"/>
  <c r="C12" i="94" s="1"/>
  <c r="BC18" i="87"/>
  <c r="B12" i="94" s="1"/>
  <c r="DC18" i="87"/>
  <c r="DB18" i="87"/>
  <c r="CZ18" i="87"/>
  <c r="CY18" i="87"/>
  <c r="CQ18" i="87"/>
  <c r="F12" i="97" s="1"/>
  <c r="CP18" i="87"/>
  <c r="E12" i="97" s="1"/>
  <c r="CN18" i="87"/>
  <c r="C12" i="97" s="1"/>
  <c r="CM18" i="87"/>
  <c r="B12" i="97" s="1"/>
  <c r="CE18" i="87"/>
  <c r="F12" i="96" s="1"/>
  <c r="CD18" i="87"/>
  <c r="E12" i="96" s="1"/>
  <c r="CB18" i="87"/>
  <c r="C12" i="96" s="1"/>
  <c r="CA18" i="87"/>
  <c r="B12" i="96" s="1"/>
  <c r="BS18" i="87"/>
  <c r="F11" i="95" s="1"/>
  <c r="BR18" i="87"/>
  <c r="E11" i="95" s="1"/>
  <c r="BP18" i="87"/>
  <c r="C11" i="95" s="1"/>
  <c r="BO18" i="87"/>
  <c r="B11" i="95" s="1"/>
  <c r="BG17" i="87"/>
  <c r="F11" i="94" s="1"/>
  <c r="BF17" i="87"/>
  <c r="E11" i="94" s="1"/>
  <c r="BD17" i="87"/>
  <c r="C11" i="94" s="1"/>
  <c r="BC17" i="87"/>
  <c r="B11" i="94" s="1"/>
  <c r="AG17" i="87"/>
  <c r="DC17" i="87"/>
  <c r="F10" i="98" s="1"/>
  <c r="DB17" i="87"/>
  <c r="E10" i="98" s="1"/>
  <c r="CZ17" i="87"/>
  <c r="C10" i="98" s="1"/>
  <c r="CY17" i="87"/>
  <c r="B10" i="98" s="1"/>
  <c r="CQ17" i="87"/>
  <c r="F11" i="97" s="1"/>
  <c r="CP17" i="87"/>
  <c r="E11" i="97" s="1"/>
  <c r="CN17" i="87"/>
  <c r="C11" i="97" s="1"/>
  <c r="CM17" i="87"/>
  <c r="B11" i="97" s="1"/>
  <c r="CE17" i="87"/>
  <c r="F11" i="96" s="1"/>
  <c r="CD17" i="87"/>
  <c r="E11" i="96" s="1"/>
  <c r="CB17" i="87"/>
  <c r="C11" i="96" s="1"/>
  <c r="CA17" i="87"/>
  <c r="B11" i="96" s="1"/>
  <c r="BS17" i="87"/>
  <c r="F10" i="95" s="1"/>
  <c r="BR17" i="87"/>
  <c r="E10" i="95" s="1"/>
  <c r="BP17" i="87"/>
  <c r="C10" i="95" s="1"/>
  <c r="BO17" i="87"/>
  <c r="B10" i="95" s="1"/>
  <c r="BG16" i="87"/>
  <c r="F10" i="94" s="1"/>
  <c r="BF16" i="87"/>
  <c r="E10" i="94" s="1"/>
  <c r="BD16" i="87"/>
  <c r="C10" i="94" s="1"/>
  <c r="BC16" i="87"/>
  <c r="B10" i="94" s="1"/>
  <c r="W16" i="87"/>
  <c r="V16" i="87"/>
  <c r="S16" i="87"/>
  <c r="DC16" i="87"/>
  <c r="F9" i="98" s="1"/>
  <c r="DB16" i="87"/>
  <c r="E9" i="98" s="1"/>
  <c r="CZ16" i="87"/>
  <c r="C9" i="98" s="1"/>
  <c r="CY16" i="87"/>
  <c r="B9" i="98" s="1"/>
  <c r="CQ16" i="87"/>
  <c r="F10" i="97" s="1"/>
  <c r="CP16" i="87"/>
  <c r="E10" i="97" s="1"/>
  <c r="CN16" i="87"/>
  <c r="C10" i="97" s="1"/>
  <c r="CM16" i="87"/>
  <c r="B10" i="97" s="1"/>
  <c r="CE16" i="87"/>
  <c r="F10" i="96" s="1"/>
  <c r="CD16" i="87"/>
  <c r="E10" i="96" s="1"/>
  <c r="CB16" i="87"/>
  <c r="C10" i="96" s="1"/>
  <c r="CA16" i="87"/>
  <c r="B10" i="96" s="1"/>
  <c r="BS16" i="87"/>
  <c r="F9" i="95" s="1"/>
  <c r="BR16" i="87"/>
  <c r="E9" i="95" s="1"/>
  <c r="BP16" i="87"/>
  <c r="C9" i="95" s="1"/>
  <c r="BO16" i="87"/>
  <c r="B9" i="95" s="1"/>
  <c r="BG15" i="87"/>
  <c r="F9" i="94" s="1"/>
  <c r="BF15" i="87"/>
  <c r="E9" i="94" s="1"/>
  <c r="BD15" i="87"/>
  <c r="C9" i="94" s="1"/>
  <c r="BC15" i="87"/>
  <c r="B9" i="94" s="1"/>
  <c r="DC15" i="87"/>
  <c r="F8" i="98" s="1"/>
  <c r="F7" i="98" s="1"/>
  <c r="DB15" i="87"/>
  <c r="E8" i="98" s="1"/>
  <c r="E7" i="98" s="1"/>
  <c r="CZ15" i="87"/>
  <c r="C8" i="98" s="1"/>
  <c r="C7" i="98" s="1"/>
  <c r="CY15" i="87"/>
  <c r="B8" i="98" s="1"/>
  <c r="B7" i="98" s="1"/>
  <c r="CQ15" i="87"/>
  <c r="F9" i="97" s="1"/>
  <c r="CP15" i="87"/>
  <c r="E9" i="97" s="1"/>
  <c r="CN15" i="87"/>
  <c r="C9" i="97" s="1"/>
  <c r="CM15" i="87"/>
  <c r="B9" i="97" s="1"/>
  <c r="CE15" i="87"/>
  <c r="F9" i="96" s="1"/>
  <c r="CD15" i="87"/>
  <c r="E9" i="96" s="1"/>
  <c r="CB15" i="87"/>
  <c r="C9" i="96" s="1"/>
  <c r="CA15" i="87"/>
  <c r="B9" i="96" s="1"/>
  <c r="BS15" i="87"/>
  <c r="F8" i="95" s="1"/>
  <c r="BR15" i="87"/>
  <c r="E8" i="95" s="1"/>
  <c r="BP15" i="87"/>
  <c r="C8" i="95" s="1"/>
  <c r="BO15" i="87"/>
  <c r="B8" i="95" s="1"/>
  <c r="BG14" i="87"/>
  <c r="F8" i="94" s="1"/>
  <c r="BF14" i="87"/>
  <c r="E8" i="94" s="1"/>
  <c r="BD14" i="87"/>
  <c r="C8" i="94" s="1"/>
  <c r="BC14" i="87"/>
  <c r="B8" i="94" s="1"/>
  <c r="DC14" i="87"/>
  <c r="DB14" i="87"/>
  <c r="CZ14" i="87"/>
  <c r="CY14" i="87"/>
  <c r="CQ14" i="87"/>
  <c r="F8" i="97" s="1"/>
  <c r="CP14" i="87"/>
  <c r="E8" i="97" s="1"/>
  <c r="CN14" i="87"/>
  <c r="C8" i="97" s="1"/>
  <c r="CM14" i="87"/>
  <c r="B8" i="97" s="1"/>
  <c r="CE14" i="87"/>
  <c r="F8" i="96" s="1"/>
  <c r="CD14" i="87"/>
  <c r="E8" i="96" s="1"/>
  <c r="CB14" i="87"/>
  <c r="C8" i="96" s="1"/>
  <c r="CA14" i="87"/>
  <c r="B8" i="96" s="1"/>
  <c r="BS14" i="87"/>
  <c r="F7" i="95" s="1"/>
  <c r="BR14" i="87"/>
  <c r="E7" i="95" s="1"/>
  <c r="BP14" i="87"/>
  <c r="C7" i="95" s="1"/>
  <c r="BO14" i="87"/>
  <c r="B7" i="95" s="1"/>
  <c r="BG13" i="87"/>
  <c r="F7" i="94" s="1"/>
  <c r="BF13" i="87"/>
  <c r="E7" i="94" s="1"/>
  <c r="BD13" i="87"/>
  <c r="C7" i="94" s="1"/>
  <c r="BC13" i="87"/>
  <c r="B7" i="94" s="1"/>
  <c r="DC13" i="87"/>
  <c r="F6" i="98" s="1"/>
  <c r="DB13" i="87"/>
  <c r="E6" i="98" s="1"/>
  <c r="CZ13" i="87"/>
  <c r="C6" i="98" s="1"/>
  <c r="CY13" i="87"/>
  <c r="B6" i="98" s="1"/>
  <c r="CQ13" i="87"/>
  <c r="F7" i="97" s="1"/>
  <c r="CP13" i="87"/>
  <c r="E7" i="97" s="1"/>
  <c r="CN13" i="87"/>
  <c r="C7" i="97" s="1"/>
  <c r="CM13" i="87"/>
  <c r="B7" i="97" s="1"/>
  <c r="CE13" i="87"/>
  <c r="F7" i="96" s="1"/>
  <c r="CD13" i="87"/>
  <c r="E7" i="96" s="1"/>
  <c r="CB13" i="87"/>
  <c r="C7" i="96" s="1"/>
  <c r="CA13" i="87"/>
  <c r="B7" i="96" s="1"/>
  <c r="BS13" i="87"/>
  <c r="F6" i="95" s="1"/>
  <c r="BR13" i="87"/>
  <c r="E6" i="95" s="1"/>
  <c r="BP13" i="87"/>
  <c r="C6" i="95" s="1"/>
  <c r="BO13" i="87"/>
  <c r="B6" i="95" s="1"/>
  <c r="BG12" i="87"/>
  <c r="F6" i="94" s="1"/>
  <c r="BF12" i="87"/>
  <c r="E6" i="94" s="1"/>
  <c r="BD12" i="87"/>
  <c r="C6" i="94" s="1"/>
  <c r="BC12" i="87"/>
  <c r="B6" i="94" s="1"/>
  <c r="R12" i="87"/>
  <c r="DC12" i="87"/>
  <c r="F5" i="98" s="1"/>
  <c r="DB12" i="87"/>
  <c r="E5" i="98" s="1"/>
  <c r="CZ12" i="87"/>
  <c r="C5" i="98" s="1"/>
  <c r="CY12" i="87"/>
  <c r="B5" i="98" s="1"/>
  <c r="CE12" i="87"/>
  <c r="F6" i="96" s="1"/>
  <c r="CD12" i="87"/>
  <c r="E6" i="96" s="1"/>
  <c r="CB12" i="87"/>
  <c r="C6" i="96" s="1"/>
  <c r="CA12" i="87"/>
  <c r="B6" i="96" s="1"/>
  <c r="AG11" i="87"/>
  <c r="E25" i="94" l="1"/>
  <c r="C53" i="97"/>
  <c r="C43" i="97"/>
  <c r="C43" i="95"/>
  <c r="BO60" i="87"/>
  <c r="E16" i="96"/>
  <c r="E43" i="97"/>
  <c r="C55" i="94"/>
  <c r="C60" i="94" s="1"/>
  <c r="B55" i="94"/>
  <c r="C50" i="94"/>
  <c r="E41" i="94"/>
  <c r="F11" i="98"/>
  <c r="F4" i="98" s="1"/>
  <c r="AV21" i="87"/>
  <c r="E17" i="93" s="1"/>
  <c r="E16" i="93" s="1"/>
  <c r="F66" i="95"/>
  <c r="F36" i="97"/>
  <c r="E53" i="97"/>
  <c r="B57" i="95"/>
  <c r="E43" i="95"/>
  <c r="F5" i="95"/>
  <c r="F6" i="97"/>
  <c r="AT32" i="87"/>
  <c r="C27" i="93" s="1"/>
  <c r="C26" i="93" s="1"/>
  <c r="F57" i="95"/>
  <c r="C13" i="94"/>
  <c r="C37" i="94" s="1"/>
  <c r="C73" i="84"/>
  <c r="H72" i="84"/>
  <c r="B5" i="95"/>
  <c r="B6" i="97"/>
  <c r="F13" i="95"/>
  <c r="F25" i="97"/>
  <c r="B36" i="97"/>
  <c r="E25" i="97"/>
  <c r="AT57" i="87"/>
  <c r="AT45" i="87" s="1"/>
  <c r="C38" i="93" s="1"/>
  <c r="C23" i="95"/>
  <c r="F62" i="97"/>
  <c r="E5" i="95"/>
  <c r="E6" i="97"/>
  <c r="C25" i="97"/>
  <c r="F43" i="97"/>
  <c r="F43" i="95"/>
  <c r="C62" i="97"/>
  <c r="E13" i="95"/>
  <c r="B23" i="98"/>
  <c r="B16" i="98" s="1"/>
  <c r="E36" i="97"/>
  <c r="B43" i="97"/>
  <c r="B43" i="95"/>
  <c r="B53" i="97"/>
  <c r="E57" i="95"/>
  <c r="C36" i="97"/>
  <c r="B23" i="95"/>
  <c r="C5" i="96"/>
  <c r="C26" i="96" s="1"/>
  <c r="C4" i="98"/>
  <c r="F5" i="96"/>
  <c r="F26" i="96" s="1"/>
  <c r="E4" i="98"/>
  <c r="C5" i="95"/>
  <c r="C6" i="97"/>
  <c r="E5" i="96"/>
  <c r="C33" i="95"/>
  <c r="A73" i="84"/>
  <c r="B62" i="97"/>
  <c r="BT70" i="87"/>
  <c r="D63" i="95"/>
  <c r="G63" i="95" s="1"/>
  <c r="E33" i="95"/>
  <c r="B13" i="95"/>
  <c r="E23" i="98"/>
  <c r="E16" i="98" s="1"/>
  <c r="C13" i="95"/>
  <c r="F23" i="95"/>
  <c r="F23" i="98"/>
  <c r="F16" i="98" s="1"/>
  <c r="B33" i="95"/>
  <c r="F53" i="97"/>
  <c r="C57" i="95"/>
  <c r="E62" i="97"/>
  <c r="E23" i="95"/>
  <c r="B25" i="97"/>
  <c r="C23" i="98"/>
  <c r="CN79" i="87"/>
  <c r="C74" i="97"/>
  <c r="C73" i="97" s="1"/>
  <c r="B5" i="96"/>
  <c r="B26" i="96" s="1"/>
  <c r="BR60" i="87"/>
  <c r="E54" i="95"/>
  <c r="E53" i="95" s="1"/>
  <c r="CP79" i="87"/>
  <c r="E74" i="97"/>
  <c r="E73" i="97" s="1"/>
  <c r="B4" i="98"/>
  <c r="C19" i="98"/>
  <c r="BS60" i="87"/>
  <c r="F54" i="95"/>
  <c r="F53" i="95" s="1"/>
  <c r="AV57" i="87"/>
  <c r="AV45" i="87" s="1"/>
  <c r="F71" i="95"/>
  <c r="AV32" i="87"/>
  <c r="E27" i="93" s="1"/>
  <c r="E26" i="93" s="1"/>
  <c r="F72" i="95"/>
  <c r="CQ79" i="87"/>
  <c r="F74" i="97"/>
  <c r="F73" i="97" s="1"/>
  <c r="F33" i="95"/>
  <c r="B13" i="94"/>
  <c r="B37" i="94" s="1"/>
  <c r="G10" i="94"/>
  <c r="G15" i="94"/>
  <c r="G16" i="94"/>
  <c r="G17" i="94"/>
  <c r="G18" i="94"/>
  <c r="G19" i="94"/>
  <c r="G20" i="94"/>
  <c r="G21" i="94"/>
  <c r="G22" i="94"/>
  <c r="G23" i="94"/>
  <c r="G24" i="94"/>
  <c r="G43" i="94"/>
  <c r="G44" i="94"/>
  <c r="G45" i="94"/>
  <c r="G46" i="94"/>
  <c r="G47" i="94"/>
  <c r="G48" i="94"/>
  <c r="G49" i="94"/>
  <c r="F13" i="94"/>
  <c r="G14" i="94"/>
  <c r="D26" i="93"/>
  <c r="AU45" i="87"/>
  <c r="D38" i="93" s="1"/>
  <c r="D37" i="93" s="1"/>
  <c r="D48" i="93"/>
  <c r="G51" i="94"/>
  <c r="G52" i="94"/>
  <c r="AV70" i="87"/>
  <c r="F53" i="94"/>
  <c r="F50" i="94" s="1"/>
  <c r="G54" i="94"/>
  <c r="G56" i="94"/>
  <c r="F55" i="94"/>
  <c r="G57" i="94"/>
  <c r="G58" i="94"/>
  <c r="AT71" i="87"/>
  <c r="C62" i="93"/>
  <c r="C60" i="93" s="1"/>
  <c r="AT70" i="87"/>
  <c r="B53" i="94"/>
  <c r="B50" i="94" s="1"/>
  <c r="AU71" i="87"/>
  <c r="D62" i="93"/>
  <c r="D60" i="93" s="1"/>
  <c r="F41" i="94"/>
  <c r="G42" i="94"/>
  <c r="G6" i="94"/>
  <c r="G7" i="94"/>
  <c r="G8" i="94"/>
  <c r="G9" i="94"/>
  <c r="G11" i="94"/>
  <c r="G12" i="94"/>
  <c r="E13" i="94"/>
  <c r="E37" i="94" s="1"/>
  <c r="F25" i="94"/>
  <c r="G25" i="94" s="1"/>
  <c r="G26" i="94"/>
  <c r="G27" i="94"/>
  <c r="G28" i="94"/>
  <c r="G29" i="94"/>
  <c r="G30" i="94"/>
  <c r="G31" i="94"/>
  <c r="G33" i="94"/>
  <c r="F32" i="94"/>
  <c r="G32" i="94" s="1"/>
  <c r="AU70" i="87"/>
  <c r="D59" i="93" s="1"/>
  <c r="E53" i="94"/>
  <c r="E50" i="94" s="1"/>
  <c r="E60" i="94" s="1"/>
  <c r="AU21" i="87"/>
  <c r="D17" i="93" s="1"/>
  <c r="D16" i="93" s="1"/>
  <c r="D52" i="93"/>
  <c r="BT95" i="87"/>
  <c r="AV42" i="87"/>
  <c r="E35" i="93" s="1"/>
  <c r="E34" i="93" s="1"/>
  <c r="E47" i="93"/>
  <c r="AG23" i="87"/>
  <c r="BP86" i="87"/>
  <c r="BO86" i="87"/>
  <c r="AU31" i="87"/>
  <c r="AV75" i="87"/>
  <c r="BQ87" i="87"/>
  <c r="BT135" i="87"/>
  <c r="BT139" i="87"/>
  <c r="BT148" i="87"/>
  <c r="BQ152" i="87"/>
  <c r="AT46" i="87"/>
  <c r="C39" i="93" s="1"/>
  <c r="BR86" i="87"/>
  <c r="BQ105" i="87"/>
  <c r="BQ139" i="87"/>
  <c r="DC23" i="87"/>
  <c r="DB23" i="87"/>
  <c r="CZ23" i="87"/>
  <c r="BS77" i="87"/>
  <c r="BT89" i="87"/>
  <c r="BT87" i="87" s="1"/>
  <c r="BQ135" i="87"/>
  <c r="AV71" i="87"/>
  <c r="BQ115" i="87"/>
  <c r="BH33" i="87"/>
  <c r="BE35" i="87"/>
  <c r="D29" i="94" s="1"/>
  <c r="BE36" i="87"/>
  <c r="D30" i="94" s="1"/>
  <c r="BE54" i="87"/>
  <c r="D48" i="94" s="1"/>
  <c r="CO80" i="87"/>
  <c r="BT115" i="87"/>
  <c r="BT125" i="87"/>
  <c r="BH17" i="87"/>
  <c r="AU75" i="87"/>
  <c r="BE18" i="87"/>
  <c r="D12" i="94" s="1"/>
  <c r="BE19" i="87"/>
  <c r="BH21" i="87"/>
  <c r="BE58" i="87"/>
  <c r="D52" i="94" s="1"/>
  <c r="BT105" i="87"/>
  <c r="BE14" i="87"/>
  <c r="D8" i="94" s="1"/>
  <c r="BH39" i="87"/>
  <c r="BH54" i="87"/>
  <c r="BF75" i="87"/>
  <c r="AT75" i="87"/>
  <c r="BP73" i="87"/>
  <c r="BQ80" i="87"/>
  <c r="BQ95" i="87"/>
  <c r="BQ125" i="87"/>
  <c r="BQ148" i="87"/>
  <c r="BT154" i="87"/>
  <c r="BT152" i="87" s="1"/>
  <c r="CM59" i="87"/>
  <c r="BR64" i="87"/>
  <c r="CC29" i="87"/>
  <c r="DA29" i="87"/>
  <c r="BQ38" i="87"/>
  <c r="CP59" i="87"/>
  <c r="BO77" i="87"/>
  <c r="BR77" i="87"/>
  <c r="CC19" i="87"/>
  <c r="DA19" i="87"/>
  <c r="CO20" i="87"/>
  <c r="DA20" i="87"/>
  <c r="BQ22" i="87"/>
  <c r="BQ42" i="87"/>
  <c r="CO46" i="87"/>
  <c r="D40" i="97" s="1"/>
  <c r="G40" i="97" s="1"/>
  <c r="CO70" i="87"/>
  <c r="BO73" i="87"/>
  <c r="BS73" i="87"/>
  <c r="CA11" i="87"/>
  <c r="CY11" i="87"/>
  <c r="BO40" i="87"/>
  <c r="BR50" i="87"/>
  <c r="CO76" i="87"/>
  <c r="CQ59" i="87"/>
  <c r="BQ21" i="87"/>
  <c r="BQ23" i="87"/>
  <c r="CO23" i="87"/>
  <c r="CQ42" i="87"/>
  <c r="CO50" i="87"/>
  <c r="BQ51" i="87"/>
  <c r="CO51" i="87"/>
  <c r="BQ52" i="87"/>
  <c r="BQ53" i="87"/>
  <c r="CO53" i="87"/>
  <c r="CE11" i="87"/>
  <c r="CQ12" i="87"/>
  <c r="CC14" i="87"/>
  <c r="DA14" i="87"/>
  <c r="DD14" i="87" s="1"/>
  <c r="BQ15" i="87"/>
  <c r="DA15" i="87"/>
  <c r="CC16" i="87"/>
  <c r="DA16" i="87"/>
  <c r="CM31" i="87"/>
  <c r="BQ34" i="87"/>
  <c r="CO35" i="87"/>
  <c r="CO43" i="87"/>
  <c r="CO44" i="87"/>
  <c r="CO55" i="87"/>
  <c r="BQ66" i="87"/>
  <c r="CO66" i="87"/>
  <c r="BP77" i="87"/>
  <c r="CN22" i="87"/>
  <c r="CQ22" i="87"/>
  <c r="CD21" i="87"/>
  <c r="CR46" i="87"/>
  <c r="BR73" i="87"/>
  <c r="BQ18" i="87"/>
  <c r="CC18" i="87"/>
  <c r="CO18" i="87"/>
  <c r="DA18" i="87"/>
  <c r="DD18" i="87" s="1"/>
  <c r="CC27" i="87"/>
  <c r="DA27" i="87"/>
  <c r="BQ28" i="87"/>
  <c r="CC28" i="87"/>
  <c r="CO28" i="87"/>
  <c r="DA28" i="87"/>
  <c r="CO36" i="87"/>
  <c r="BQ37" i="87"/>
  <c r="CO37" i="87"/>
  <c r="CO45" i="87"/>
  <c r="BQ48" i="87"/>
  <c r="BQ56" i="87"/>
  <c r="CO56" i="87"/>
  <c r="BQ61" i="87"/>
  <c r="CO61" i="87"/>
  <c r="BQ62" i="87"/>
  <c r="D55" i="95" s="1"/>
  <c r="G55" i="95" s="1"/>
  <c r="CO62" i="87"/>
  <c r="BQ63" i="87"/>
  <c r="CO63" i="87"/>
  <c r="CO69" i="87"/>
  <c r="BQ71" i="87"/>
  <c r="CO73" i="87"/>
  <c r="BQ74" i="87"/>
  <c r="CO74" i="87"/>
  <c r="CB11" i="87"/>
  <c r="CM12" i="87"/>
  <c r="BO20" i="87"/>
  <c r="BQ32" i="87"/>
  <c r="CN31" i="87"/>
  <c r="DA32" i="87"/>
  <c r="BS40" i="87"/>
  <c r="DC11" i="87"/>
  <c r="BP20" i="87"/>
  <c r="CP22" i="87"/>
  <c r="BS30" i="87"/>
  <c r="BR30" i="87"/>
  <c r="CP31" i="87"/>
  <c r="CP49" i="87"/>
  <c r="CO54" i="87"/>
  <c r="BS64" i="87"/>
  <c r="CP68" i="87"/>
  <c r="BQ72" i="87"/>
  <c r="CM22" i="87"/>
  <c r="BR12" i="87"/>
  <c r="CP12" i="87"/>
  <c r="BO12" i="87"/>
  <c r="BQ13" i="87"/>
  <c r="CO13" i="87"/>
  <c r="CO15" i="87"/>
  <c r="CC17" i="87"/>
  <c r="DA17" i="87"/>
  <c r="BS20" i="87"/>
  <c r="CE21" i="87"/>
  <c r="DA24" i="87"/>
  <c r="BQ25" i="87"/>
  <c r="CC25" i="87"/>
  <c r="CO25" i="87"/>
  <c r="DA25" i="87"/>
  <c r="BQ31" i="87"/>
  <c r="CO34" i="87"/>
  <c r="CQ31" i="87"/>
  <c r="BQ39" i="87"/>
  <c r="CO39" i="87"/>
  <c r="BP40" i="87"/>
  <c r="CP42" i="87"/>
  <c r="BS50" i="87"/>
  <c r="BQ57" i="87"/>
  <c r="CO57" i="87"/>
  <c r="BQ59" i="87"/>
  <c r="CO65" i="87"/>
  <c r="BQ68" i="87"/>
  <c r="CM68" i="87"/>
  <c r="CQ68" i="87"/>
  <c r="BQ75" i="87"/>
  <c r="CO77" i="87"/>
  <c r="CM79" i="87"/>
  <c r="BQ81" i="87"/>
  <c r="BQ82" i="87"/>
  <c r="BH60" i="87"/>
  <c r="BH62" i="87"/>
  <c r="BE23" i="87"/>
  <c r="D17" i="94" s="1"/>
  <c r="BE24" i="87"/>
  <c r="D18" i="94" s="1"/>
  <c r="BE30" i="87"/>
  <c r="D24" i="94" s="1"/>
  <c r="BH31" i="87"/>
  <c r="BE32" i="87"/>
  <c r="D26" i="94" s="1"/>
  <c r="BH34" i="87"/>
  <c r="BE39" i="87"/>
  <c r="D33" i="94" s="1"/>
  <c r="D32" i="94" s="1"/>
  <c r="BD66" i="87"/>
  <c r="BE48" i="87"/>
  <c r="D42" i="94" s="1"/>
  <c r="BH51" i="87"/>
  <c r="BH58" i="87"/>
  <c r="BH64" i="87"/>
  <c r="BH14" i="87"/>
  <c r="BH18" i="87"/>
  <c r="BH20" i="87"/>
  <c r="BE22" i="87"/>
  <c r="D16" i="94" s="1"/>
  <c r="BH26" i="87"/>
  <c r="BE31" i="87"/>
  <c r="BF66" i="87"/>
  <c r="BE50" i="87"/>
  <c r="D44" i="94" s="1"/>
  <c r="BH53" i="87"/>
  <c r="AU13" i="87"/>
  <c r="D9" i="93" s="1"/>
  <c r="BE64" i="87"/>
  <c r="D58" i="94" s="1"/>
  <c r="BH12" i="87"/>
  <c r="BE13" i="87"/>
  <c r="D7" i="94" s="1"/>
  <c r="BE15" i="87"/>
  <c r="D9" i="94" s="1"/>
  <c r="BH16" i="87"/>
  <c r="BE20" i="87"/>
  <c r="D14" i="94" s="1"/>
  <c r="BH27" i="87"/>
  <c r="BH29" i="87"/>
  <c r="BE34" i="87"/>
  <c r="D28" i="94" s="1"/>
  <c r="BE38" i="87"/>
  <c r="AT42" i="87"/>
  <c r="BG66" i="87"/>
  <c r="BE52" i="87"/>
  <c r="D46" i="94" s="1"/>
  <c r="AU56" i="87"/>
  <c r="D47" i="93" s="1"/>
  <c r="BH57" i="87"/>
  <c r="BH63" i="87"/>
  <c r="BH22" i="87"/>
  <c r="BH25" i="87"/>
  <c r="BE28" i="87"/>
  <c r="D22" i="94" s="1"/>
  <c r="BH35" i="87"/>
  <c r="BH37" i="87"/>
  <c r="BC66" i="87"/>
  <c r="BE56" i="87"/>
  <c r="BE57" i="87"/>
  <c r="D51" i="94" s="1"/>
  <c r="BE63" i="87"/>
  <c r="D57" i="94" s="1"/>
  <c r="BD75" i="87"/>
  <c r="CD11" i="87"/>
  <c r="BQ17" i="87"/>
  <c r="CO17" i="87"/>
  <c r="BE17" i="87"/>
  <c r="D11" i="94" s="1"/>
  <c r="BE21" i="87"/>
  <c r="D15" i="94" s="1"/>
  <c r="CO24" i="87"/>
  <c r="BQ27" i="87"/>
  <c r="CO27" i="87"/>
  <c r="BE27" i="87"/>
  <c r="D21" i="94" s="1"/>
  <c r="DA30" i="87"/>
  <c r="DD30" i="87" s="1"/>
  <c r="BH36" i="87"/>
  <c r="BH50" i="87"/>
  <c r="CO75" i="87"/>
  <c r="BQ78" i="87"/>
  <c r="CO81" i="87"/>
  <c r="CO82" i="87"/>
  <c r="BQ83" i="87"/>
  <c r="CO83" i="87"/>
  <c r="BQ84" i="87"/>
  <c r="DA12" i="87"/>
  <c r="BQ16" i="87"/>
  <c r="CO16" i="87"/>
  <c r="CC22" i="87"/>
  <c r="CA21" i="87"/>
  <c r="CY23" i="87"/>
  <c r="BH23" i="87"/>
  <c r="BQ29" i="87"/>
  <c r="CO29" i="87"/>
  <c r="BE29" i="87"/>
  <c r="D23" i="94" s="1"/>
  <c r="BP30" i="87"/>
  <c r="BH32" i="87"/>
  <c r="BQ35" i="87"/>
  <c r="BQ36" i="87"/>
  <c r="BR40" i="87"/>
  <c r="BQ46" i="87"/>
  <c r="BQ47" i="87"/>
  <c r="BH48" i="87"/>
  <c r="CN49" i="87"/>
  <c r="CO60" i="87"/>
  <c r="BE60" i="87"/>
  <c r="D54" i="94" s="1"/>
  <c r="BQ79" i="87"/>
  <c r="DB11" i="87"/>
  <c r="BD43" i="87"/>
  <c r="CC12" i="87"/>
  <c r="CC13" i="87"/>
  <c r="DA13" i="87"/>
  <c r="BH13" i="87"/>
  <c r="BS12" i="87"/>
  <c r="CC15" i="87"/>
  <c r="BE16" i="87"/>
  <c r="D10" i="94" s="1"/>
  <c r="BQ19" i="87"/>
  <c r="CO19" i="87"/>
  <c r="DA21" i="87"/>
  <c r="BR20" i="87"/>
  <c r="BQ24" i="87"/>
  <c r="CC24" i="87"/>
  <c r="BE25" i="87"/>
  <c r="D19" i="94" s="1"/>
  <c r="DA26" i="87"/>
  <c r="DD26" i="87" s="1"/>
  <c r="BE26" i="87"/>
  <c r="D20" i="94" s="1"/>
  <c r="DA31" i="87"/>
  <c r="CO32" i="87"/>
  <c r="BQ33" i="87"/>
  <c r="CO33" i="87"/>
  <c r="DA33" i="87"/>
  <c r="BE33" i="87"/>
  <c r="D27" i="94" s="1"/>
  <c r="BE37" i="87"/>
  <c r="D31" i="94" s="1"/>
  <c r="CM42" i="87"/>
  <c r="BQ43" i="87"/>
  <c r="CN42" i="87"/>
  <c r="BQ45" i="87"/>
  <c r="BQ49" i="87"/>
  <c r="BH49" i="87"/>
  <c r="BP50" i="87"/>
  <c r="BE51" i="87"/>
  <c r="D45" i="94" s="1"/>
  <c r="BE53" i="87"/>
  <c r="D47" i="94" s="1"/>
  <c r="BQ54" i="87"/>
  <c r="CN59" i="87"/>
  <c r="BP64" i="87"/>
  <c r="CN68" i="87"/>
  <c r="CO72" i="87"/>
  <c r="BH15" i="87"/>
  <c r="BH19" i="87"/>
  <c r="BH28" i="87"/>
  <c r="BH30" i="87"/>
  <c r="CO38" i="87"/>
  <c r="BH38" i="87"/>
  <c r="CO40" i="87"/>
  <c r="BQ44" i="87"/>
  <c r="BE49" i="87"/>
  <c r="D43" i="94" s="1"/>
  <c r="CQ49" i="87"/>
  <c r="CO52" i="87"/>
  <c r="BH52" i="87"/>
  <c r="BQ55" i="87"/>
  <c r="BE55" i="87"/>
  <c r="D49" i="94" s="1"/>
  <c r="BH55" i="87"/>
  <c r="BH56" i="87"/>
  <c r="BQ58" i="87"/>
  <c r="BH59" i="87"/>
  <c r="BE61" i="87"/>
  <c r="BH61" i="87"/>
  <c r="BE62" i="87"/>
  <c r="D56" i="94" s="1"/>
  <c r="CO64" i="87"/>
  <c r="BQ69" i="87"/>
  <c r="BQ76" i="87"/>
  <c r="CN12" i="87"/>
  <c r="BQ14" i="87"/>
  <c r="CO14" i="87"/>
  <c r="CB21" i="87"/>
  <c r="CC23" i="87"/>
  <c r="BP12" i="87"/>
  <c r="BF43" i="87"/>
  <c r="BC43" i="87"/>
  <c r="BG43" i="87"/>
  <c r="BH24" i="87"/>
  <c r="BQ26" i="87"/>
  <c r="CC26" i="87"/>
  <c r="CZ11" i="87"/>
  <c r="BE12" i="87"/>
  <c r="D6" i="94" s="1"/>
  <c r="CO26" i="87"/>
  <c r="BO30" i="87"/>
  <c r="BQ41" i="87"/>
  <c r="D34" i="95" s="1"/>
  <c r="BH47" i="87"/>
  <c r="BE59" i="87"/>
  <c r="D53" i="94" s="1"/>
  <c r="BE47" i="87"/>
  <c r="CM49" i="87"/>
  <c r="BO50" i="87"/>
  <c r="BQ65" i="87"/>
  <c r="D58" i="95" s="1"/>
  <c r="BO64" i="87"/>
  <c r="BQ67" i="87"/>
  <c r="CO71" i="87"/>
  <c r="BC75" i="87"/>
  <c r="B69" i="94" s="1"/>
  <c r="B70" i="94" s="1"/>
  <c r="BG75" i="87"/>
  <c r="F69" i="94" s="1"/>
  <c r="C42" i="97" l="1"/>
  <c r="AT55" i="87"/>
  <c r="E26" i="96"/>
  <c r="G55" i="94"/>
  <c r="B60" i="94"/>
  <c r="B65" i="94" s="1"/>
  <c r="AV20" i="87"/>
  <c r="D55" i="94"/>
  <c r="C48" i="93"/>
  <c r="C46" i="93" s="1"/>
  <c r="F5" i="97"/>
  <c r="AT31" i="87"/>
  <c r="E27" i="98"/>
  <c r="B5" i="97"/>
  <c r="C5" i="97"/>
  <c r="G13" i="94"/>
  <c r="C74" i="84"/>
  <c r="H73" i="84"/>
  <c r="B42" i="97"/>
  <c r="E5" i="97"/>
  <c r="DC35" i="87"/>
  <c r="AU20" i="87"/>
  <c r="AT44" i="87"/>
  <c r="AU44" i="87"/>
  <c r="E48" i="93"/>
  <c r="E46" i="93" s="1"/>
  <c r="AV55" i="87"/>
  <c r="C79" i="97"/>
  <c r="E42" i="97"/>
  <c r="E79" i="97" s="1"/>
  <c r="DB35" i="87"/>
  <c r="B4" i="95"/>
  <c r="B154" i="95" s="1"/>
  <c r="D46" i="93"/>
  <c r="C4" i="95"/>
  <c r="C154" i="95" s="1"/>
  <c r="F42" i="97"/>
  <c r="C16" i="98"/>
  <c r="C27" i="98" s="1"/>
  <c r="E4" i="95"/>
  <c r="E154" i="95" s="1"/>
  <c r="A74" i="84"/>
  <c r="C65" i="94"/>
  <c r="E38" i="93"/>
  <c r="E37" i="93" s="1"/>
  <c r="E41" i="93" s="1"/>
  <c r="AV44" i="87"/>
  <c r="BT14" i="87"/>
  <c r="D7" i="95"/>
  <c r="G7" i="95" s="1"/>
  <c r="BT45" i="87"/>
  <c r="D38" i="95"/>
  <c r="G38" i="95" s="1"/>
  <c r="DD13" i="87"/>
  <c r="D6" i="98"/>
  <c r="G6" i="98" s="1"/>
  <c r="BT67" i="87"/>
  <c r="D60" i="95"/>
  <c r="G60" i="95" s="1"/>
  <c r="G34" i="95"/>
  <c r="CF23" i="87"/>
  <c r="D18" i="96"/>
  <c r="G18" i="96" s="1"/>
  <c r="BT58" i="87"/>
  <c r="D51" i="95"/>
  <c r="G51" i="95" s="1"/>
  <c r="BT55" i="87"/>
  <c r="D48" i="95"/>
  <c r="G48" i="95" s="1"/>
  <c r="CR38" i="87"/>
  <c r="D32" i="97"/>
  <c r="G32" i="97" s="1"/>
  <c r="CR32" i="87"/>
  <c r="D26" i="97"/>
  <c r="DD21" i="87"/>
  <c r="D14" i="98"/>
  <c r="G14" i="98" s="1"/>
  <c r="CF15" i="87"/>
  <c r="D9" i="96"/>
  <c r="G9" i="96" s="1"/>
  <c r="CF13" i="87"/>
  <c r="D7" i="96"/>
  <c r="G7" i="96" s="1"/>
  <c r="BT79" i="87"/>
  <c r="D72" i="95"/>
  <c r="G72" i="95" s="1"/>
  <c r="BT36" i="87"/>
  <c r="D29" i="95"/>
  <c r="G29" i="95" s="1"/>
  <c r="BT16" i="87"/>
  <c r="D9" i="95"/>
  <c r="G9" i="95" s="1"/>
  <c r="BT83" i="87"/>
  <c r="D76" i="95"/>
  <c r="G76" i="95" s="1"/>
  <c r="CR75" i="87"/>
  <c r="D69" i="97"/>
  <c r="G69" i="97" s="1"/>
  <c r="BT81" i="87"/>
  <c r="D74" i="95"/>
  <c r="G74" i="95" s="1"/>
  <c r="BT59" i="87"/>
  <c r="D52" i="95"/>
  <c r="G52" i="95" s="1"/>
  <c r="CR25" i="87"/>
  <c r="D19" i="97"/>
  <c r="G19" i="97" s="1"/>
  <c r="CR15" i="87"/>
  <c r="D9" i="97"/>
  <c r="G9" i="97" s="1"/>
  <c r="DD32" i="87"/>
  <c r="D25" i="98"/>
  <c r="G25" i="98" s="1"/>
  <c r="CR73" i="87"/>
  <c r="D67" i="97"/>
  <c r="G67" i="97" s="1"/>
  <c r="BT63" i="87"/>
  <c r="D56" i="95"/>
  <c r="G56" i="95" s="1"/>
  <c r="BT61" i="87"/>
  <c r="D54" i="95"/>
  <c r="CR45" i="87"/>
  <c r="D39" i="97"/>
  <c r="G39" i="97" s="1"/>
  <c r="DD28" i="87"/>
  <c r="D21" i="98"/>
  <c r="G21" i="98" s="1"/>
  <c r="DD27" i="87"/>
  <c r="D20" i="98"/>
  <c r="CF18" i="87"/>
  <c r="D12" i="96"/>
  <c r="G12" i="96" s="1"/>
  <c r="CR66" i="87"/>
  <c r="D60" i="97"/>
  <c r="G60" i="97" s="1"/>
  <c r="CR43" i="87"/>
  <c r="D37" i="97"/>
  <c r="DD16" i="87"/>
  <c r="D9" i="98"/>
  <c r="G9" i="98" s="1"/>
  <c r="CR53" i="87"/>
  <c r="D47" i="97"/>
  <c r="G47" i="97" s="1"/>
  <c r="BT51" i="87"/>
  <c r="D44" i="95"/>
  <c r="BT23" i="87"/>
  <c r="D16" i="95"/>
  <c r="G16" i="95" s="1"/>
  <c r="BT42" i="87"/>
  <c r="D35" i="95"/>
  <c r="G35" i="95" s="1"/>
  <c r="DD19" i="87"/>
  <c r="D12" i="98"/>
  <c r="AV31" i="87"/>
  <c r="CR80" i="87"/>
  <c r="D74" i="97"/>
  <c r="F27" i="98"/>
  <c r="BT44" i="87"/>
  <c r="D37" i="95"/>
  <c r="G37" i="95" s="1"/>
  <c r="BT43" i="87"/>
  <c r="D36" i="95"/>
  <c r="G36" i="95" s="1"/>
  <c r="CF24" i="87"/>
  <c r="D19" i="96"/>
  <c r="G19" i="96" s="1"/>
  <c r="BT47" i="87"/>
  <c r="D40" i="95"/>
  <c r="G40" i="95" s="1"/>
  <c r="BT35" i="87"/>
  <c r="D28" i="95"/>
  <c r="G28" i="95" s="1"/>
  <c r="DD12" i="87"/>
  <c r="D5" i="98"/>
  <c r="G5" i="98" s="1"/>
  <c r="CR82" i="87"/>
  <c r="D76" i="97"/>
  <c r="G76" i="97" s="1"/>
  <c r="CR27" i="87"/>
  <c r="D21" i="97"/>
  <c r="G21" i="97" s="1"/>
  <c r="CR57" i="87"/>
  <c r="D51" i="97"/>
  <c r="G51" i="97" s="1"/>
  <c r="CR34" i="87"/>
  <c r="D28" i="97"/>
  <c r="G28" i="97" s="1"/>
  <c r="CF25" i="87"/>
  <c r="D20" i="96"/>
  <c r="G20" i="96" s="1"/>
  <c r="CR13" i="87"/>
  <c r="D7" i="97"/>
  <c r="BT71" i="87"/>
  <c r="D64" i="95"/>
  <c r="G64" i="95" s="1"/>
  <c r="CR62" i="87"/>
  <c r="D56" i="97"/>
  <c r="G56" i="97" s="1"/>
  <c r="CR56" i="87"/>
  <c r="D50" i="97"/>
  <c r="G50" i="97" s="1"/>
  <c r="CR37" i="87"/>
  <c r="D31" i="97"/>
  <c r="G31" i="97" s="1"/>
  <c r="CR28" i="87"/>
  <c r="D22" i="97"/>
  <c r="G22" i="97" s="1"/>
  <c r="CF27" i="87"/>
  <c r="D22" i="96"/>
  <c r="G22" i="96" s="1"/>
  <c r="BT18" i="87"/>
  <c r="D11" i="95"/>
  <c r="G11" i="95" s="1"/>
  <c r="BT66" i="87"/>
  <c r="D59" i="95"/>
  <c r="G59" i="95" s="1"/>
  <c r="CR35" i="87"/>
  <c r="D29" i="97"/>
  <c r="G29" i="97" s="1"/>
  <c r="CF16" i="87"/>
  <c r="D10" i="96"/>
  <c r="G10" i="96" s="1"/>
  <c r="CF14" i="87"/>
  <c r="D8" i="96"/>
  <c r="G8" i="96" s="1"/>
  <c r="BT53" i="87"/>
  <c r="D46" i="95"/>
  <c r="G46" i="95" s="1"/>
  <c r="CR50" i="87"/>
  <c r="D44" i="97"/>
  <c r="BT21" i="87"/>
  <c r="D14" i="95"/>
  <c r="BT22" i="87"/>
  <c r="D15" i="95"/>
  <c r="G15" i="95" s="1"/>
  <c r="CF19" i="87"/>
  <c r="D13" i="96"/>
  <c r="G13" i="96" s="1"/>
  <c r="BT38" i="87"/>
  <c r="D31" i="95"/>
  <c r="G31" i="95" s="1"/>
  <c r="CF26" i="87"/>
  <c r="D21" i="96"/>
  <c r="G21" i="96" s="1"/>
  <c r="BT76" i="87"/>
  <c r="D69" i="95"/>
  <c r="G69" i="95" s="1"/>
  <c r="CR72" i="87"/>
  <c r="D66" i="97"/>
  <c r="G66" i="97" s="1"/>
  <c r="BT54" i="87"/>
  <c r="D47" i="95"/>
  <c r="G47" i="95" s="1"/>
  <c r="DD33" i="87"/>
  <c r="D26" i="98"/>
  <c r="G26" i="98" s="1"/>
  <c r="DD31" i="87"/>
  <c r="D24" i="98"/>
  <c r="CR19" i="87"/>
  <c r="D13" i="97"/>
  <c r="G13" i="97" s="1"/>
  <c r="CF12" i="87"/>
  <c r="D6" i="96"/>
  <c r="CR29" i="87"/>
  <c r="D23" i="97"/>
  <c r="G23" i="97" s="1"/>
  <c r="G58" i="95"/>
  <c r="CR26" i="87"/>
  <c r="D20" i="97"/>
  <c r="G20" i="97" s="1"/>
  <c r="BT26" i="87"/>
  <c r="D19" i="95"/>
  <c r="G19" i="95" s="1"/>
  <c r="CR14" i="87"/>
  <c r="D8" i="97"/>
  <c r="G8" i="97" s="1"/>
  <c r="BT69" i="87"/>
  <c r="D62" i="95"/>
  <c r="G62" i="95" s="1"/>
  <c r="CR52" i="87"/>
  <c r="D46" i="97"/>
  <c r="G46" i="97" s="1"/>
  <c r="CR40" i="87"/>
  <c r="D34" i="97"/>
  <c r="G34" i="97" s="1"/>
  <c r="BT49" i="87"/>
  <c r="D42" i="95"/>
  <c r="G42" i="95" s="1"/>
  <c r="CR33" i="87"/>
  <c r="D27" i="97"/>
  <c r="G27" i="97" s="1"/>
  <c r="BT24" i="87"/>
  <c r="D17" i="95"/>
  <c r="G17" i="95" s="1"/>
  <c r="BT19" i="87"/>
  <c r="D12" i="95"/>
  <c r="G12" i="95" s="1"/>
  <c r="CR60" i="87"/>
  <c r="D54" i="97"/>
  <c r="BT46" i="87"/>
  <c r="D39" i="95"/>
  <c r="G39" i="95" s="1"/>
  <c r="BT29" i="87"/>
  <c r="D22" i="95"/>
  <c r="G22" i="95" s="1"/>
  <c r="CF22" i="87"/>
  <c r="D17" i="96"/>
  <c r="BT84" i="87"/>
  <c r="D77" i="95"/>
  <c r="G77" i="95" s="1"/>
  <c r="CR81" i="87"/>
  <c r="D75" i="97"/>
  <c r="G75" i="97" s="1"/>
  <c r="BT27" i="87"/>
  <c r="D20" i="95"/>
  <c r="G20" i="95" s="1"/>
  <c r="CR17" i="87"/>
  <c r="D11" i="97"/>
  <c r="G11" i="97" s="1"/>
  <c r="CR77" i="87"/>
  <c r="D71" i="97"/>
  <c r="G71" i="97" s="1"/>
  <c r="BT68" i="87"/>
  <c r="D61" i="95"/>
  <c r="G61" i="95" s="1"/>
  <c r="BT57" i="87"/>
  <c r="D50" i="95"/>
  <c r="G50" i="95" s="1"/>
  <c r="CR39" i="87"/>
  <c r="D33" i="97"/>
  <c r="G33" i="97" s="1"/>
  <c r="BT31" i="87"/>
  <c r="D24" i="95"/>
  <c r="BT25" i="87"/>
  <c r="D18" i="95"/>
  <c r="G18" i="95" s="1"/>
  <c r="DD17" i="87"/>
  <c r="D10" i="98"/>
  <c r="G10" i="98" s="1"/>
  <c r="BT13" i="87"/>
  <c r="D6" i="95"/>
  <c r="BT32" i="87"/>
  <c r="D25" i="95"/>
  <c r="G25" i="95" s="1"/>
  <c r="CR74" i="87"/>
  <c r="D68" i="97"/>
  <c r="G68" i="97" s="1"/>
  <c r="CR69" i="87"/>
  <c r="D63" i="97"/>
  <c r="BT56" i="87"/>
  <c r="D49" i="95"/>
  <c r="G49" i="95" s="1"/>
  <c r="BT37" i="87"/>
  <c r="D30" i="95"/>
  <c r="G30" i="95" s="1"/>
  <c r="CF28" i="87"/>
  <c r="D23" i="96"/>
  <c r="G23" i="96" s="1"/>
  <c r="CR55" i="87"/>
  <c r="D49" i="97"/>
  <c r="G49" i="97" s="1"/>
  <c r="BT34" i="87"/>
  <c r="D27" i="95"/>
  <c r="G27" i="95" s="1"/>
  <c r="DD15" i="87"/>
  <c r="D8" i="98"/>
  <c r="BT52" i="87"/>
  <c r="D45" i="95"/>
  <c r="G45" i="95" s="1"/>
  <c r="CR70" i="87"/>
  <c r="D64" i="97"/>
  <c r="G64" i="97" s="1"/>
  <c r="DD20" i="87"/>
  <c r="D13" i="98"/>
  <c r="G13" i="98" s="1"/>
  <c r="DD29" i="87"/>
  <c r="D22" i="98"/>
  <c r="G22" i="98" s="1"/>
  <c r="BT80" i="87"/>
  <c r="D73" i="95"/>
  <c r="G73" i="95" s="1"/>
  <c r="F70" i="95"/>
  <c r="F4" i="95" s="1"/>
  <c r="F154" i="95" s="1"/>
  <c r="B27" i="98"/>
  <c r="CR71" i="87"/>
  <c r="D65" i="97"/>
  <c r="G65" i="97" s="1"/>
  <c r="CR64" i="87"/>
  <c r="D58" i="97"/>
  <c r="G58" i="97" s="1"/>
  <c r="BT33" i="87"/>
  <c r="D26" i="95"/>
  <c r="G26" i="95" s="1"/>
  <c r="CR16" i="87"/>
  <c r="D10" i="97"/>
  <c r="G10" i="97" s="1"/>
  <c r="CR83" i="87"/>
  <c r="D77" i="97"/>
  <c r="G77" i="97" s="1"/>
  <c r="BT78" i="87"/>
  <c r="D71" i="95"/>
  <c r="CR24" i="87"/>
  <c r="D18" i="97"/>
  <c r="G18" i="97" s="1"/>
  <c r="BT17" i="87"/>
  <c r="D10" i="95"/>
  <c r="G10" i="95" s="1"/>
  <c r="BT82" i="87"/>
  <c r="D75" i="95"/>
  <c r="G75" i="95" s="1"/>
  <c r="BT75" i="87"/>
  <c r="D68" i="95"/>
  <c r="G68" i="95" s="1"/>
  <c r="CR65" i="87"/>
  <c r="D59" i="97"/>
  <c r="G59" i="97" s="1"/>
  <c r="BT39" i="87"/>
  <c r="D32" i="95"/>
  <c r="G32" i="95" s="1"/>
  <c r="DD25" i="87"/>
  <c r="D18" i="98"/>
  <c r="G18" i="98" s="1"/>
  <c r="DD24" i="87"/>
  <c r="D17" i="98"/>
  <c r="G17" i="98" s="1"/>
  <c r="CF17" i="87"/>
  <c r="D11" i="96"/>
  <c r="G11" i="96" s="1"/>
  <c r="BT72" i="87"/>
  <c r="D65" i="95"/>
  <c r="G65" i="95" s="1"/>
  <c r="CR54" i="87"/>
  <c r="D48" i="97"/>
  <c r="G48" i="97" s="1"/>
  <c r="BT74" i="87"/>
  <c r="D67" i="95"/>
  <c r="CR63" i="87"/>
  <c r="D57" i="97"/>
  <c r="G57" i="97" s="1"/>
  <c r="CR61" i="87"/>
  <c r="D55" i="97"/>
  <c r="G55" i="97" s="1"/>
  <c r="BT48" i="87"/>
  <c r="D41" i="95"/>
  <c r="G41" i="95" s="1"/>
  <c r="CR36" i="87"/>
  <c r="D30" i="97"/>
  <c r="G30" i="97" s="1"/>
  <c r="BT28" i="87"/>
  <c r="D21" i="95"/>
  <c r="G21" i="95" s="1"/>
  <c r="CR18" i="87"/>
  <c r="D12" i="97"/>
  <c r="G12" i="97" s="1"/>
  <c r="CR44" i="87"/>
  <c r="D38" i="97"/>
  <c r="G38" i="97" s="1"/>
  <c r="BT15" i="87"/>
  <c r="D8" i="95"/>
  <c r="G8" i="95" s="1"/>
  <c r="CR51" i="87"/>
  <c r="D45" i="97"/>
  <c r="G45" i="97" s="1"/>
  <c r="CR23" i="87"/>
  <c r="D17" i="97"/>
  <c r="CR76" i="87"/>
  <c r="D70" i="97"/>
  <c r="G70" i="97" s="1"/>
  <c r="CR20" i="87"/>
  <c r="D14" i="97"/>
  <c r="G14" i="97" s="1"/>
  <c r="CF29" i="87"/>
  <c r="D24" i="96"/>
  <c r="G24" i="96" s="1"/>
  <c r="F70" i="94"/>
  <c r="G70" i="94" s="1"/>
  <c r="G69" i="94"/>
  <c r="BD76" i="87"/>
  <c r="C69" i="94"/>
  <c r="C70" i="94" s="1"/>
  <c r="BF76" i="87"/>
  <c r="E69" i="94"/>
  <c r="E70" i="94" s="1"/>
  <c r="E65" i="94"/>
  <c r="AV18" i="87"/>
  <c r="E14" i="93" s="1"/>
  <c r="E64" i="93"/>
  <c r="C37" i="93"/>
  <c r="G50" i="94"/>
  <c r="AU18" i="87"/>
  <c r="D14" i="93" s="1"/>
  <c r="D64" i="93"/>
  <c r="G41" i="94"/>
  <c r="F60" i="94"/>
  <c r="G60" i="94" s="1"/>
  <c r="G53" i="94"/>
  <c r="D13" i="94"/>
  <c r="D41" i="94"/>
  <c r="D25" i="94"/>
  <c r="AT18" i="87"/>
  <c r="C14" i="93" s="1"/>
  <c r="C64" i="93"/>
  <c r="F37" i="94"/>
  <c r="C59" i="93"/>
  <c r="C68" i="93" s="1"/>
  <c r="C69" i="93" s="1"/>
  <c r="AT13" i="87"/>
  <c r="C9" i="93" s="1"/>
  <c r="AV13" i="87"/>
  <c r="E9" i="93" s="1"/>
  <c r="E59" i="93"/>
  <c r="E68" i="93" s="1"/>
  <c r="E69" i="93" s="1"/>
  <c r="D50" i="94"/>
  <c r="D68" i="93"/>
  <c r="D69" i="93" s="1"/>
  <c r="AT41" i="87"/>
  <c r="C35" i="93"/>
  <c r="C34" i="93" s="1"/>
  <c r="AV41" i="87"/>
  <c r="BQ86" i="87"/>
  <c r="BD71" i="87"/>
  <c r="BE66" i="87"/>
  <c r="AV79" i="87"/>
  <c r="AV80" i="87" s="1"/>
  <c r="AU79" i="87"/>
  <c r="AU80" i="87" s="1"/>
  <c r="BT86" i="87"/>
  <c r="CZ35" i="87"/>
  <c r="CA31" i="87"/>
  <c r="AT79" i="87"/>
  <c r="AT80" i="87" s="1"/>
  <c r="CE31" i="87"/>
  <c r="CD31" i="87"/>
  <c r="BQ60" i="87"/>
  <c r="CQ48" i="87"/>
  <c r="CY35" i="87"/>
  <c r="BT62" i="87"/>
  <c r="CO59" i="87"/>
  <c r="BR11" i="87"/>
  <c r="AU59" i="87" s="1"/>
  <c r="CO79" i="87"/>
  <c r="CM48" i="87"/>
  <c r="CQ11" i="87"/>
  <c r="CO42" i="87"/>
  <c r="BQ73" i="87"/>
  <c r="BQ50" i="87"/>
  <c r="BO11" i="87"/>
  <c r="BO161" i="87" s="1"/>
  <c r="BP11" i="87"/>
  <c r="BP161" i="87" s="1"/>
  <c r="CN11" i="87"/>
  <c r="DA11" i="87"/>
  <c r="BQ77" i="87"/>
  <c r="CO49" i="87"/>
  <c r="CB31" i="87"/>
  <c r="CM11" i="87"/>
  <c r="BS11" i="87"/>
  <c r="BS161" i="87" s="1"/>
  <c r="CC11" i="87"/>
  <c r="CP11" i="87"/>
  <c r="CP48" i="87"/>
  <c r="BH66" i="87"/>
  <c r="AU42" i="87"/>
  <c r="AU55" i="87"/>
  <c r="BE75" i="87"/>
  <c r="D69" i="94" s="1"/>
  <c r="D70" i="94" s="1"/>
  <c r="BH75" i="87"/>
  <c r="BQ30" i="87"/>
  <c r="DA23" i="87"/>
  <c r="CO31" i="87"/>
  <c r="CN48" i="87"/>
  <c r="BT65" i="87"/>
  <c r="BQ64" i="87"/>
  <c r="BG76" i="87"/>
  <c r="BC71" i="87"/>
  <c r="AT54" i="87"/>
  <c r="C45" i="93" s="1"/>
  <c r="BE43" i="87"/>
  <c r="BQ12" i="87"/>
  <c r="CO22" i="87"/>
  <c r="BC76" i="87"/>
  <c r="BF71" i="87"/>
  <c r="AU54" i="87"/>
  <c r="D45" i="93" s="1"/>
  <c r="CO12" i="87"/>
  <c r="BQ20" i="87"/>
  <c r="CC21" i="87"/>
  <c r="CO68" i="87"/>
  <c r="BT41" i="87"/>
  <c r="BQ40" i="87"/>
  <c r="BG71" i="87"/>
  <c r="BH43" i="87"/>
  <c r="BH44" i="87" s="1"/>
  <c r="AV54" i="87"/>
  <c r="E45" i="93" s="1"/>
  <c r="BE76" i="87" l="1"/>
  <c r="F79" i="97"/>
  <c r="B79" i="97"/>
  <c r="C41" i="93"/>
  <c r="AV48" i="87"/>
  <c r="AV14" i="87" s="1"/>
  <c r="E10" i="93" s="1"/>
  <c r="D37" i="94"/>
  <c r="BE71" i="87"/>
  <c r="C75" i="84"/>
  <c r="H74" i="84"/>
  <c r="DD11" i="87"/>
  <c r="CR59" i="87"/>
  <c r="BT20" i="87"/>
  <c r="AT48" i="87"/>
  <c r="AT14" i="87" s="1"/>
  <c r="C10" i="93" s="1"/>
  <c r="CR79" i="87"/>
  <c r="CR42" i="87"/>
  <c r="CF21" i="87"/>
  <c r="BT60" i="87"/>
  <c r="BT12" i="87"/>
  <c r="CR31" i="87"/>
  <c r="BT30" i="87"/>
  <c r="BT77" i="87"/>
  <c r="CN85" i="87"/>
  <c r="CF11" i="87"/>
  <c r="BT50" i="87"/>
  <c r="BT40" i="87"/>
  <c r="BT64" i="87"/>
  <c r="BT73" i="87"/>
  <c r="CR22" i="87"/>
  <c r="DD23" i="87"/>
  <c r="AT59" i="87"/>
  <c r="C50" i="93" s="1"/>
  <c r="C54" i="93" s="1"/>
  <c r="C55" i="93" s="1"/>
  <c r="CR12" i="87"/>
  <c r="A75" i="84"/>
  <c r="G38" i="94"/>
  <c r="CR68" i="87"/>
  <c r="CR49" i="87"/>
  <c r="G17" i="97"/>
  <c r="D16" i="97"/>
  <c r="G16" i="97" s="1"/>
  <c r="G67" i="95"/>
  <c r="D66" i="95"/>
  <c r="G66" i="95" s="1"/>
  <c r="G14" i="95"/>
  <c r="D13" i="95"/>
  <c r="G13" i="95" s="1"/>
  <c r="D6" i="97"/>
  <c r="G7" i="97"/>
  <c r="G6" i="97" s="1"/>
  <c r="D43" i="95"/>
  <c r="G43" i="95" s="1"/>
  <c r="G44" i="95"/>
  <c r="D19" i="98"/>
  <c r="G20" i="98"/>
  <c r="D5" i="95"/>
  <c r="G6" i="95"/>
  <c r="G5" i="95" s="1"/>
  <c r="D16" i="96"/>
  <c r="G17" i="96"/>
  <c r="G16" i="96" s="1"/>
  <c r="D57" i="95"/>
  <c r="G57" i="95" s="1"/>
  <c r="G6" i="96"/>
  <c r="G5" i="96" s="1"/>
  <c r="D5" i="96"/>
  <c r="D23" i="98"/>
  <c r="G23" i="98" s="1"/>
  <c r="G24" i="98"/>
  <c r="D33" i="95"/>
  <c r="G33" i="95" s="1"/>
  <c r="G44" i="97"/>
  <c r="G43" i="97" s="1"/>
  <c r="D43" i="97"/>
  <c r="D11" i="98"/>
  <c r="G11" i="98" s="1"/>
  <c r="G12" i="98"/>
  <c r="G37" i="97"/>
  <c r="D36" i="97"/>
  <c r="G36" i="97" s="1"/>
  <c r="D53" i="95"/>
  <c r="G53" i="95" s="1"/>
  <c r="G54" i="95"/>
  <c r="G26" i="97"/>
  <c r="D25" i="97"/>
  <c r="G25" i="97" s="1"/>
  <c r="D70" i="95"/>
  <c r="G70" i="95" s="1"/>
  <c r="G71" i="95"/>
  <c r="D7" i="98"/>
  <c r="G8" i="98"/>
  <c r="G7" i="98" s="1"/>
  <c r="D62" i="97"/>
  <c r="G62" i="97" s="1"/>
  <c r="G63" i="97"/>
  <c r="G24" i="95"/>
  <c r="D23" i="95"/>
  <c r="G23" i="95" s="1"/>
  <c r="D53" i="97"/>
  <c r="G53" i="97" s="1"/>
  <c r="G54" i="97"/>
  <c r="D73" i="97"/>
  <c r="G73" i="97" s="1"/>
  <c r="G74" i="97"/>
  <c r="D60" i="94"/>
  <c r="AT17" i="87"/>
  <c r="G37" i="94"/>
  <c r="F65" i="94"/>
  <c r="G65" i="94" s="1"/>
  <c r="AU17" i="87"/>
  <c r="D50" i="93"/>
  <c r="D54" i="93" s="1"/>
  <c r="D55" i="93" s="1"/>
  <c r="AU41" i="87"/>
  <c r="AU48" i="87" s="1"/>
  <c r="AU14" i="87" s="1"/>
  <c r="D10" i="93" s="1"/>
  <c r="D35" i="93"/>
  <c r="D34" i="93" s="1"/>
  <c r="D41" i="93" s="1"/>
  <c r="CQ85" i="87"/>
  <c r="BH71" i="87"/>
  <c r="BR161" i="87"/>
  <c r="CO11" i="87"/>
  <c r="CC31" i="87"/>
  <c r="CO48" i="87"/>
  <c r="CM85" i="87"/>
  <c r="CP85" i="87"/>
  <c r="AV59" i="87"/>
  <c r="DA35" i="87"/>
  <c r="AV12" i="87"/>
  <c r="AU63" i="87"/>
  <c r="AU64" i="87" s="1"/>
  <c r="AU12" i="87"/>
  <c r="BH76" i="87"/>
  <c r="AT63" i="87"/>
  <c r="AT64" i="87" s="1"/>
  <c r="AT12" i="87"/>
  <c r="BQ11" i="87"/>
  <c r="BQ161" i="87" s="1"/>
  <c r="DD35" i="87" l="1"/>
  <c r="D65" i="94"/>
  <c r="D4" i="98"/>
  <c r="D26" i="96"/>
  <c r="C76" i="84"/>
  <c r="H75" i="84"/>
  <c r="CR48" i="87"/>
  <c r="BT11" i="87"/>
  <c r="BT161" i="87" s="1"/>
  <c r="CF31" i="87"/>
  <c r="G4" i="98"/>
  <c r="CR11" i="87"/>
  <c r="A76" i="84"/>
  <c r="G26" i="96"/>
  <c r="G42" i="97"/>
  <c r="D16" i="98"/>
  <c r="D27" i="98" s="1"/>
  <c r="G19" i="98"/>
  <c r="G16" i="98" s="1"/>
  <c r="G5" i="97"/>
  <c r="G4" i="95"/>
  <c r="G154" i="95" s="1"/>
  <c r="D5" i="97"/>
  <c r="D4" i="95"/>
  <c r="D154" i="95" s="1"/>
  <c r="D42" i="97"/>
  <c r="AT16" i="87"/>
  <c r="C13" i="93"/>
  <c r="C12" i="93" s="1"/>
  <c r="AV11" i="87"/>
  <c r="E8" i="93"/>
  <c r="E7" i="93" s="1"/>
  <c r="AT11" i="87"/>
  <c r="AT24" i="87" s="1"/>
  <c r="AT25" i="87" s="1"/>
  <c r="AT26" i="87" s="1"/>
  <c r="AT35" i="87" s="1"/>
  <c r="C8" i="93"/>
  <c r="C7" i="93" s="1"/>
  <c r="AU11" i="87"/>
  <c r="D8" i="93"/>
  <c r="D7" i="93" s="1"/>
  <c r="AV17" i="87"/>
  <c r="E50" i="93"/>
  <c r="E54" i="93" s="1"/>
  <c r="E55" i="93" s="1"/>
  <c r="AU16" i="87"/>
  <c r="D13" i="93"/>
  <c r="D12" i="93" s="1"/>
  <c r="CO85" i="87"/>
  <c r="AV63" i="87"/>
  <c r="AV64" i="87" s="1"/>
  <c r="C20" i="93" l="1"/>
  <c r="C21" i="93" s="1"/>
  <c r="C22" i="93" s="1"/>
  <c r="C30" i="93" s="1"/>
  <c r="CR85" i="87"/>
  <c r="C77" i="84"/>
  <c r="H76" i="84"/>
  <c r="G27" i="98"/>
  <c r="A77" i="84"/>
  <c r="D79" i="97"/>
  <c r="D20" i="93"/>
  <c r="D21" i="93" s="1"/>
  <c r="D22" i="93" s="1"/>
  <c r="D30" i="93" s="1"/>
  <c r="G79" i="97"/>
  <c r="AU24" i="87"/>
  <c r="AU25" i="87" s="1"/>
  <c r="AU26" i="87" s="1"/>
  <c r="AU35" i="87" s="1"/>
  <c r="AV16" i="87"/>
  <c r="AV24" i="87" s="1"/>
  <c r="AV25" i="87" s="1"/>
  <c r="AV26" i="87" s="1"/>
  <c r="AV35" i="87" s="1"/>
  <c r="E13" i="93"/>
  <c r="E12" i="93" s="1"/>
  <c r="E20" i="93" s="1"/>
  <c r="E21" i="93" s="1"/>
  <c r="E22" i="93" s="1"/>
  <c r="E30" i="93" s="1"/>
  <c r="B181" i="45"/>
  <c r="B182" i="45"/>
  <c r="B183" i="45"/>
  <c r="B184" i="45"/>
  <c r="B185" i="45"/>
  <c r="B186" i="45"/>
  <c r="C78" i="84" l="1"/>
  <c r="H77" i="84"/>
  <c r="A78" i="84"/>
  <c r="B179" i="45"/>
  <c r="B180" i="45"/>
  <c r="C79" i="84" l="1"/>
  <c r="H78" i="84"/>
  <c r="A79" i="84"/>
  <c r="G201" i="75"/>
  <c r="F201" i="75"/>
  <c r="D201" i="75"/>
  <c r="C201" i="75"/>
  <c r="B201" i="75"/>
  <c r="G200" i="75"/>
  <c r="F200" i="75"/>
  <c r="D200" i="75"/>
  <c r="C200" i="75"/>
  <c r="B200" i="75"/>
  <c r="G199" i="75"/>
  <c r="F199" i="75"/>
  <c r="D199" i="75"/>
  <c r="C199" i="75"/>
  <c r="B199" i="75"/>
  <c r="G198" i="75"/>
  <c r="F198" i="75"/>
  <c r="D198" i="75"/>
  <c r="C198" i="75"/>
  <c r="B198" i="75"/>
  <c r="G197" i="75"/>
  <c r="F197" i="75"/>
  <c r="D197" i="75"/>
  <c r="C197" i="75"/>
  <c r="B197" i="75"/>
  <c r="G196" i="75"/>
  <c r="F196" i="75"/>
  <c r="D196" i="75"/>
  <c r="C196" i="75"/>
  <c r="B196" i="75"/>
  <c r="G195" i="75"/>
  <c r="F195" i="75"/>
  <c r="D195" i="75"/>
  <c r="C195" i="75"/>
  <c r="B195" i="75"/>
  <c r="G194" i="75"/>
  <c r="F194" i="75"/>
  <c r="D194" i="75"/>
  <c r="C194" i="75"/>
  <c r="B194" i="75"/>
  <c r="G193" i="75"/>
  <c r="F193" i="75"/>
  <c r="D193" i="75"/>
  <c r="C193" i="75"/>
  <c r="B193" i="75"/>
  <c r="G192" i="75"/>
  <c r="F192" i="75"/>
  <c r="D192" i="75"/>
  <c r="C192" i="75"/>
  <c r="B192" i="75"/>
  <c r="G191" i="75"/>
  <c r="F191" i="75"/>
  <c r="D191" i="75"/>
  <c r="C191" i="75"/>
  <c r="B191" i="75"/>
  <c r="G190" i="75"/>
  <c r="F190" i="75"/>
  <c r="D190" i="75"/>
  <c r="C190" i="75"/>
  <c r="B190" i="75"/>
  <c r="G189" i="75"/>
  <c r="F189" i="75"/>
  <c r="D189" i="75"/>
  <c r="C189" i="75"/>
  <c r="B189" i="75"/>
  <c r="G188" i="75"/>
  <c r="F188" i="75"/>
  <c r="D188" i="75"/>
  <c r="C188" i="75"/>
  <c r="B188" i="75"/>
  <c r="G187" i="75"/>
  <c r="F187" i="75"/>
  <c r="D187" i="75"/>
  <c r="C187" i="75"/>
  <c r="B187" i="75"/>
  <c r="G186" i="75"/>
  <c r="F186" i="75"/>
  <c r="D186" i="75"/>
  <c r="C186" i="75"/>
  <c r="B186" i="75"/>
  <c r="G185" i="75"/>
  <c r="F185" i="75"/>
  <c r="D185" i="75"/>
  <c r="C185" i="75"/>
  <c r="B185" i="75"/>
  <c r="G184" i="75"/>
  <c r="F184" i="75"/>
  <c r="D184" i="75"/>
  <c r="C184" i="75"/>
  <c r="B184" i="75"/>
  <c r="G183" i="75"/>
  <c r="F183" i="75"/>
  <c r="D183" i="75"/>
  <c r="C183" i="75"/>
  <c r="B183" i="75"/>
  <c r="G182" i="75"/>
  <c r="F182" i="75"/>
  <c r="D182" i="75"/>
  <c r="C182" i="75"/>
  <c r="B182" i="75"/>
  <c r="G181" i="75"/>
  <c r="F181" i="75"/>
  <c r="D181" i="75"/>
  <c r="C181" i="75"/>
  <c r="B181" i="75"/>
  <c r="G180" i="75"/>
  <c r="F180" i="75"/>
  <c r="D180" i="75"/>
  <c r="C180" i="75"/>
  <c r="B180" i="75"/>
  <c r="G179" i="75"/>
  <c r="F179" i="75"/>
  <c r="D179" i="75"/>
  <c r="C179" i="75"/>
  <c r="B179" i="75"/>
  <c r="G178" i="75"/>
  <c r="F178" i="75"/>
  <c r="D178" i="75"/>
  <c r="C178" i="75"/>
  <c r="B178" i="75"/>
  <c r="G177" i="75"/>
  <c r="F177" i="75"/>
  <c r="D177" i="75"/>
  <c r="C177" i="75"/>
  <c r="B177" i="75"/>
  <c r="G176" i="75"/>
  <c r="F176" i="75"/>
  <c r="D176" i="75"/>
  <c r="C176" i="75"/>
  <c r="B176" i="75"/>
  <c r="G175" i="75"/>
  <c r="F175" i="75"/>
  <c r="D175" i="75"/>
  <c r="C175" i="75"/>
  <c r="B175" i="75"/>
  <c r="G174" i="75"/>
  <c r="F174" i="75"/>
  <c r="D174" i="75"/>
  <c r="C174" i="75"/>
  <c r="B174" i="75"/>
  <c r="G173" i="75"/>
  <c r="F173" i="75"/>
  <c r="D173" i="75"/>
  <c r="C173" i="75"/>
  <c r="B173" i="75"/>
  <c r="G172" i="75"/>
  <c r="F172" i="75"/>
  <c r="D172" i="75"/>
  <c r="C172" i="75"/>
  <c r="B172" i="75"/>
  <c r="G171" i="75"/>
  <c r="F171" i="75"/>
  <c r="D171" i="75"/>
  <c r="C171" i="75"/>
  <c r="B171" i="75"/>
  <c r="G170" i="75"/>
  <c r="F170" i="75"/>
  <c r="D170" i="75"/>
  <c r="C170" i="75"/>
  <c r="B170" i="75"/>
  <c r="G169" i="75"/>
  <c r="F169" i="75"/>
  <c r="D169" i="75"/>
  <c r="C169" i="75"/>
  <c r="B169" i="75"/>
  <c r="G168" i="75"/>
  <c r="F168" i="75"/>
  <c r="D168" i="75"/>
  <c r="C168" i="75"/>
  <c r="B168" i="75"/>
  <c r="G167" i="75"/>
  <c r="F167" i="75"/>
  <c r="D167" i="75"/>
  <c r="C167" i="75"/>
  <c r="B167" i="75"/>
  <c r="G166" i="75"/>
  <c r="F166" i="75"/>
  <c r="D166" i="75"/>
  <c r="C166" i="75"/>
  <c r="B166" i="75"/>
  <c r="G165" i="75"/>
  <c r="F165" i="75"/>
  <c r="D165" i="75"/>
  <c r="C165" i="75"/>
  <c r="B165" i="75"/>
  <c r="G164" i="75"/>
  <c r="F164" i="75"/>
  <c r="D164" i="75"/>
  <c r="C164" i="75"/>
  <c r="B164" i="75"/>
  <c r="G163" i="75"/>
  <c r="F163" i="75"/>
  <c r="D163" i="75"/>
  <c r="C163" i="75"/>
  <c r="B163" i="75"/>
  <c r="G162" i="75"/>
  <c r="F162" i="75"/>
  <c r="D162" i="75"/>
  <c r="C162" i="75"/>
  <c r="B162" i="75"/>
  <c r="G161" i="75"/>
  <c r="F161" i="75"/>
  <c r="D161" i="75"/>
  <c r="C161" i="75"/>
  <c r="B161" i="75"/>
  <c r="G160" i="75"/>
  <c r="F160" i="75"/>
  <c r="D160" i="75"/>
  <c r="C160" i="75"/>
  <c r="B160" i="75"/>
  <c r="G159" i="75"/>
  <c r="F159" i="75"/>
  <c r="D159" i="75"/>
  <c r="C159" i="75"/>
  <c r="B159" i="75"/>
  <c r="G158" i="75"/>
  <c r="F158" i="75"/>
  <c r="D158" i="75"/>
  <c r="C158" i="75"/>
  <c r="B158" i="75"/>
  <c r="G157" i="75"/>
  <c r="F157" i="75"/>
  <c r="D157" i="75"/>
  <c r="C157" i="75"/>
  <c r="B157" i="75"/>
  <c r="G156" i="75"/>
  <c r="F156" i="75"/>
  <c r="D156" i="75"/>
  <c r="C156" i="75"/>
  <c r="B156" i="75"/>
  <c r="G155" i="75"/>
  <c r="F155" i="75"/>
  <c r="D155" i="75"/>
  <c r="C155" i="75"/>
  <c r="B155" i="75"/>
  <c r="G154" i="75"/>
  <c r="F154" i="75"/>
  <c r="D154" i="75"/>
  <c r="C154" i="75"/>
  <c r="B154" i="75"/>
  <c r="G153" i="75"/>
  <c r="F153" i="75"/>
  <c r="D153" i="75"/>
  <c r="C153" i="75"/>
  <c r="B153" i="75"/>
  <c r="G152" i="75"/>
  <c r="F152" i="75"/>
  <c r="D152" i="75"/>
  <c r="C152" i="75"/>
  <c r="B152" i="75"/>
  <c r="G151" i="75"/>
  <c r="F151" i="75"/>
  <c r="D151" i="75"/>
  <c r="C151" i="75"/>
  <c r="B151" i="75"/>
  <c r="G150" i="75"/>
  <c r="F150" i="75"/>
  <c r="D150" i="75"/>
  <c r="C150" i="75"/>
  <c r="B150" i="75"/>
  <c r="G149" i="75"/>
  <c r="F149" i="75"/>
  <c r="D149" i="75"/>
  <c r="C149" i="75"/>
  <c r="B149" i="75"/>
  <c r="G148" i="75"/>
  <c r="F148" i="75"/>
  <c r="D148" i="75"/>
  <c r="C148" i="75"/>
  <c r="B148" i="75"/>
  <c r="G147" i="75"/>
  <c r="F147" i="75"/>
  <c r="D147" i="75"/>
  <c r="C147" i="75"/>
  <c r="B147" i="75"/>
  <c r="G146" i="75"/>
  <c r="F146" i="75"/>
  <c r="D146" i="75"/>
  <c r="C146" i="75"/>
  <c r="B146" i="75"/>
  <c r="G145" i="75"/>
  <c r="F145" i="75"/>
  <c r="D145" i="75"/>
  <c r="C145" i="75"/>
  <c r="B145" i="75"/>
  <c r="G144" i="75"/>
  <c r="F144" i="75"/>
  <c r="D144" i="75"/>
  <c r="C144" i="75"/>
  <c r="B144" i="75"/>
  <c r="G143" i="75"/>
  <c r="F143" i="75"/>
  <c r="D143" i="75"/>
  <c r="C143" i="75"/>
  <c r="B143" i="75"/>
  <c r="G142" i="75"/>
  <c r="F142" i="75"/>
  <c r="D142" i="75"/>
  <c r="C142" i="75"/>
  <c r="B142" i="75"/>
  <c r="G141" i="75"/>
  <c r="F141" i="75"/>
  <c r="D141" i="75"/>
  <c r="C141" i="75"/>
  <c r="B141" i="75"/>
  <c r="G140" i="75"/>
  <c r="F140" i="75"/>
  <c r="D140" i="75"/>
  <c r="C140" i="75"/>
  <c r="B140" i="75"/>
  <c r="G139" i="75"/>
  <c r="F139" i="75"/>
  <c r="D139" i="75"/>
  <c r="C139" i="75"/>
  <c r="B139" i="75"/>
  <c r="G138" i="75"/>
  <c r="F138" i="75"/>
  <c r="D138" i="75"/>
  <c r="C138" i="75"/>
  <c r="B138" i="75"/>
  <c r="G137" i="75"/>
  <c r="F137" i="75"/>
  <c r="D137" i="75"/>
  <c r="C137" i="75"/>
  <c r="B137" i="75"/>
  <c r="G136" i="75"/>
  <c r="F136" i="75"/>
  <c r="D136" i="75"/>
  <c r="C136" i="75"/>
  <c r="B136" i="75"/>
  <c r="G135" i="75"/>
  <c r="F135" i="75"/>
  <c r="D135" i="75"/>
  <c r="C135" i="75"/>
  <c r="B135" i="75"/>
  <c r="G134" i="75"/>
  <c r="F134" i="75"/>
  <c r="D134" i="75"/>
  <c r="C134" i="75"/>
  <c r="B134" i="75"/>
  <c r="G133" i="75"/>
  <c r="F133" i="75"/>
  <c r="D133" i="75"/>
  <c r="C133" i="75"/>
  <c r="B133" i="75"/>
  <c r="G132" i="75"/>
  <c r="F132" i="75"/>
  <c r="D132" i="75"/>
  <c r="C132" i="75"/>
  <c r="B132" i="75"/>
  <c r="G131" i="75"/>
  <c r="F131" i="75"/>
  <c r="D131" i="75"/>
  <c r="C131" i="75"/>
  <c r="B131" i="75"/>
  <c r="G130" i="75"/>
  <c r="F130" i="75"/>
  <c r="D130" i="75"/>
  <c r="C130" i="75"/>
  <c r="B130" i="75"/>
  <c r="G129" i="75"/>
  <c r="F129" i="75"/>
  <c r="D129" i="75"/>
  <c r="C129" i="75"/>
  <c r="B129" i="75"/>
  <c r="G128" i="75"/>
  <c r="F128" i="75"/>
  <c r="D128" i="75"/>
  <c r="C128" i="75"/>
  <c r="B128" i="75"/>
  <c r="G127" i="75"/>
  <c r="F127" i="75"/>
  <c r="D127" i="75"/>
  <c r="C127" i="75"/>
  <c r="B127" i="75"/>
  <c r="G126" i="75"/>
  <c r="F126" i="75"/>
  <c r="D126" i="75"/>
  <c r="C126" i="75"/>
  <c r="B126" i="75"/>
  <c r="G125" i="75"/>
  <c r="F125" i="75"/>
  <c r="D125" i="75"/>
  <c r="C125" i="75"/>
  <c r="B125" i="75"/>
  <c r="G124" i="75"/>
  <c r="F124" i="75"/>
  <c r="D124" i="75"/>
  <c r="C124" i="75"/>
  <c r="B124" i="75"/>
  <c r="G123" i="75"/>
  <c r="F123" i="75"/>
  <c r="D123" i="75"/>
  <c r="C123" i="75"/>
  <c r="B123" i="75"/>
  <c r="G122" i="75"/>
  <c r="F122" i="75"/>
  <c r="D122" i="75"/>
  <c r="C122" i="75"/>
  <c r="B122" i="75"/>
  <c r="G121" i="75"/>
  <c r="F121" i="75"/>
  <c r="D121" i="75"/>
  <c r="C121" i="75"/>
  <c r="B121" i="75"/>
  <c r="G120" i="75"/>
  <c r="F120" i="75"/>
  <c r="D120" i="75"/>
  <c r="C120" i="75"/>
  <c r="B120" i="75"/>
  <c r="G119" i="75"/>
  <c r="F119" i="75"/>
  <c r="D119" i="75"/>
  <c r="C119" i="75"/>
  <c r="B119" i="75"/>
  <c r="G118" i="75"/>
  <c r="F118" i="75"/>
  <c r="D118" i="75"/>
  <c r="C118" i="75"/>
  <c r="B118" i="75"/>
  <c r="G117" i="75"/>
  <c r="F117" i="75"/>
  <c r="D117" i="75"/>
  <c r="C117" i="75"/>
  <c r="B117" i="75"/>
  <c r="G116" i="75"/>
  <c r="F116" i="75"/>
  <c r="D116" i="75"/>
  <c r="C116" i="75"/>
  <c r="B116" i="75"/>
  <c r="G115" i="75"/>
  <c r="F115" i="75"/>
  <c r="D115" i="75"/>
  <c r="C115" i="75"/>
  <c r="B115" i="75"/>
  <c r="G114" i="75"/>
  <c r="F114" i="75"/>
  <c r="D114" i="75"/>
  <c r="C114" i="75"/>
  <c r="B114" i="75"/>
  <c r="G113" i="75"/>
  <c r="F113" i="75"/>
  <c r="D113" i="75"/>
  <c r="C113" i="75"/>
  <c r="B113" i="75"/>
  <c r="G112" i="75"/>
  <c r="F112" i="75"/>
  <c r="D112" i="75"/>
  <c r="C112" i="75"/>
  <c r="B112" i="75"/>
  <c r="G111" i="75"/>
  <c r="F111" i="75"/>
  <c r="D111" i="75"/>
  <c r="C111" i="75"/>
  <c r="B111" i="75"/>
  <c r="G110" i="75"/>
  <c r="F110" i="75"/>
  <c r="D110" i="75"/>
  <c r="C110" i="75"/>
  <c r="B110" i="75"/>
  <c r="G109" i="75"/>
  <c r="F109" i="75"/>
  <c r="D109" i="75"/>
  <c r="C109" i="75"/>
  <c r="B109" i="75"/>
  <c r="G108" i="75"/>
  <c r="F108" i="75"/>
  <c r="D108" i="75"/>
  <c r="C108" i="75"/>
  <c r="B108" i="75"/>
  <c r="G107" i="75"/>
  <c r="F107" i="75"/>
  <c r="D107" i="75"/>
  <c r="C107" i="75"/>
  <c r="B107" i="75"/>
  <c r="G106" i="75"/>
  <c r="F106" i="75"/>
  <c r="D106" i="75"/>
  <c r="C106" i="75"/>
  <c r="B106" i="75"/>
  <c r="G105" i="75"/>
  <c r="F105" i="75"/>
  <c r="D105" i="75"/>
  <c r="C105" i="75"/>
  <c r="B105" i="75"/>
  <c r="G104" i="75"/>
  <c r="F104" i="75"/>
  <c r="D104" i="75"/>
  <c r="C104" i="75"/>
  <c r="B104" i="75"/>
  <c r="G103" i="75"/>
  <c r="F103" i="75"/>
  <c r="D103" i="75"/>
  <c r="C103" i="75"/>
  <c r="B103" i="75"/>
  <c r="G102" i="75"/>
  <c r="F102" i="75"/>
  <c r="D102" i="75"/>
  <c r="C102" i="75"/>
  <c r="B102" i="75"/>
  <c r="G101" i="75"/>
  <c r="F101" i="75"/>
  <c r="D101" i="75"/>
  <c r="C101" i="75"/>
  <c r="B101" i="75"/>
  <c r="G100" i="75"/>
  <c r="F100" i="75"/>
  <c r="D100" i="75"/>
  <c r="C100" i="75"/>
  <c r="B100" i="75"/>
  <c r="G99" i="75"/>
  <c r="F99" i="75"/>
  <c r="D99" i="75"/>
  <c r="C99" i="75"/>
  <c r="B99" i="75"/>
  <c r="G98" i="75"/>
  <c r="F98" i="75"/>
  <c r="D98" i="75"/>
  <c r="C98" i="75"/>
  <c r="B98" i="75"/>
  <c r="G97" i="75"/>
  <c r="F97" i="75"/>
  <c r="D97" i="75"/>
  <c r="C97" i="75"/>
  <c r="B97" i="75"/>
  <c r="G96" i="75"/>
  <c r="F96" i="75"/>
  <c r="D96" i="75"/>
  <c r="C96" i="75"/>
  <c r="B96" i="75"/>
  <c r="G95" i="75"/>
  <c r="F95" i="75"/>
  <c r="D95" i="75"/>
  <c r="C95" i="75"/>
  <c r="B95" i="75"/>
  <c r="G94" i="75"/>
  <c r="F94" i="75"/>
  <c r="D94" i="75"/>
  <c r="C94" i="75"/>
  <c r="B94" i="75"/>
  <c r="G93" i="75"/>
  <c r="F93" i="75"/>
  <c r="D93" i="75"/>
  <c r="C93" i="75"/>
  <c r="B93" i="75"/>
  <c r="G92" i="75"/>
  <c r="F92" i="75"/>
  <c r="D92" i="75"/>
  <c r="C92" i="75"/>
  <c r="B92" i="75"/>
  <c r="G91" i="75"/>
  <c r="F91" i="75"/>
  <c r="D91" i="75"/>
  <c r="C91" i="75"/>
  <c r="B91" i="75"/>
  <c r="G90" i="75"/>
  <c r="F90" i="75"/>
  <c r="D90" i="75"/>
  <c r="C90" i="75"/>
  <c r="B90" i="75"/>
  <c r="G89" i="75"/>
  <c r="F89" i="75"/>
  <c r="D89" i="75"/>
  <c r="C89" i="75"/>
  <c r="B89" i="75"/>
  <c r="G88" i="75"/>
  <c r="F88" i="75"/>
  <c r="D88" i="75"/>
  <c r="C88" i="75"/>
  <c r="B88" i="75"/>
  <c r="G87" i="75"/>
  <c r="F87" i="75"/>
  <c r="D87" i="75"/>
  <c r="C87" i="75"/>
  <c r="B87" i="75"/>
  <c r="G86" i="75"/>
  <c r="F86" i="75"/>
  <c r="D86" i="75"/>
  <c r="C86" i="75"/>
  <c r="B86" i="75"/>
  <c r="G85" i="75"/>
  <c r="F85" i="75"/>
  <c r="D85" i="75"/>
  <c r="C85" i="75"/>
  <c r="B85" i="75"/>
  <c r="G84" i="75"/>
  <c r="F84" i="75"/>
  <c r="D84" i="75"/>
  <c r="C84" i="75"/>
  <c r="B84" i="75"/>
  <c r="G83" i="75"/>
  <c r="F83" i="75"/>
  <c r="D83" i="75"/>
  <c r="C83" i="75"/>
  <c r="B83" i="75"/>
  <c r="G82" i="75"/>
  <c r="F82" i="75"/>
  <c r="D82" i="75"/>
  <c r="C82" i="75"/>
  <c r="B82" i="75"/>
  <c r="G81" i="75"/>
  <c r="F81" i="75"/>
  <c r="D81" i="75"/>
  <c r="C81" i="75"/>
  <c r="B81" i="75"/>
  <c r="G80" i="75"/>
  <c r="F80" i="75"/>
  <c r="D80" i="75"/>
  <c r="C80" i="75"/>
  <c r="B80" i="75"/>
  <c r="G79" i="75"/>
  <c r="F79" i="75"/>
  <c r="D79" i="75"/>
  <c r="C79" i="75"/>
  <c r="B79" i="75"/>
  <c r="G78" i="75"/>
  <c r="F78" i="75"/>
  <c r="D78" i="75"/>
  <c r="C78" i="75"/>
  <c r="B78" i="75"/>
  <c r="G77" i="75"/>
  <c r="F77" i="75"/>
  <c r="D77" i="75"/>
  <c r="C77" i="75"/>
  <c r="B77" i="75"/>
  <c r="G76" i="75"/>
  <c r="F76" i="75"/>
  <c r="D76" i="75"/>
  <c r="C76" i="75"/>
  <c r="B76" i="75"/>
  <c r="G75" i="75"/>
  <c r="F75" i="75"/>
  <c r="D75" i="75"/>
  <c r="C75" i="75"/>
  <c r="B75" i="75"/>
  <c r="G74" i="75"/>
  <c r="F74" i="75"/>
  <c r="D74" i="75"/>
  <c r="C74" i="75"/>
  <c r="B74" i="75"/>
  <c r="G73" i="75"/>
  <c r="F73" i="75"/>
  <c r="D73" i="75"/>
  <c r="C73" i="75"/>
  <c r="B73" i="75"/>
  <c r="G72" i="75"/>
  <c r="F72" i="75"/>
  <c r="D72" i="75"/>
  <c r="C72" i="75"/>
  <c r="B72" i="75"/>
  <c r="G71" i="75"/>
  <c r="F71" i="75"/>
  <c r="D71" i="75"/>
  <c r="C71" i="75"/>
  <c r="B71" i="75"/>
  <c r="G70" i="75"/>
  <c r="F70" i="75"/>
  <c r="D70" i="75"/>
  <c r="C70" i="75"/>
  <c r="B70" i="75"/>
  <c r="G69" i="75"/>
  <c r="F69" i="75"/>
  <c r="D69" i="75"/>
  <c r="C69" i="75"/>
  <c r="B69" i="75"/>
  <c r="G68" i="75"/>
  <c r="F68" i="75"/>
  <c r="D68" i="75"/>
  <c r="C68" i="75"/>
  <c r="B68" i="75"/>
  <c r="G67" i="75"/>
  <c r="F67" i="75"/>
  <c r="D67" i="75"/>
  <c r="C67" i="75"/>
  <c r="B67" i="75"/>
  <c r="G66" i="75"/>
  <c r="F66" i="75"/>
  <c r="D66" i="75"/>
  <c r="C66" i="75"/>
  <c r="B66" i="75"/>
  <c r="G65" i="75"/>
  <c r="F65" i="75"/>
  <c r="D65" i="75"/>
  <c r="C65" i="75"/>
  <c r="B65" i="75"/>
  <c r="G64" i="75"/>
  <c r="F64" i="75"/>
  <c r="D64" i="75"/>
  <c r="C64" i="75"/>
  <c r="B64" i="75"/>
  <c r="G63" i="75"/>
  <c r="F63" i="75"/>
  <c r="D63" i="75"/>
  <c r="C63" i="75"/>
  <c r="B63" i="75"/>
  <c r="G62" i="75"/>
  <c r="F62" i="75"/>
  <c r="D62" i="75"/>
  <c r="C62" i="75"/>
  <c r="B62" i="75"/>
  <c r="G61" i="75"/>
  <c r="F61" i="75"/>
  <c r="D61" i="75"/>
  <c r="C61" i="75"/>
  <c r="B61" i="75"/>
  <c r="G60" i="75"/>
  <c r="F60" i="75"/>
  <c r="D60" i="75"/>
  <c r="C60" i="75"/>
  <c r="B60" i="75"/>
  <c r="G59" i="75"/>
  <c r="F59" i="75"/>
  <c r="D59" i="75"/>
  <c r="C59" i="75"/>
  <c r="B59" i="75"/>
  <c r="G58" i="75"/>
  <c r="F58" i="75"/>
  <c r="D58" i="75"/>
  <c r="C58" i="75"/>
  <c r="B58" i="75"/>
  <c r="G57" i="75"/>
  <c r="F57" i="75"/>
  <c r="D57" i="75"/>
  <c r="C57" i="75"/>
  <c r="B57" i="75"/>
  <c r="G56" i="75"/>
  <c r="F56" i="75"/>
  <c r="D56" i="75"/>
  <c r="C56" i="75"/>
  <c r="B56" i="75"/>
  <c r="G55" i="75"/>
  <c r="F55" i="75"/>
  <c r="D55" i="75"/>
  <c r="C55" i="75"/>
  <c r="B55" i="75"/>
  <c r="G54" i="75"/>
  <c r="F54" i="75"/>
  <c r="D54" i="75"/>
  <c r="C54" i="75"/>
  <c r="B54" i="75"/>
  <c r="G53" i="75"/>
  <c r="F53" i="75"/>
  <c r="D53" i="75"/>
  <c r="C53" i="75"/>
  <c r="B53" i="75"/>
  <c r="G52" i="75"/>
  <c r="F52" i="75"/>
  <c r="D52" i="75"/>
  <c r="C52" i="75"/>
  <c r="B52" i="75"/>
  <c r="G51" i="75"/>
  <c r="F51" i="75"/>
  <c r="D51" i="75"/>
  <c r="C51" i="75"/>
  <c r="B51" i="75"/>
  <c r="G50" i="75"/>
  <c r="F50" i="75"/>
  <c r="D50" i="75"/>
  <c r="C50" i="75"/>
  <c r="B50" i="75"/>
  <c r="G49" i="75"/>
  <c r="F49" i="75"/>
  <c r="D49" i="75"/>
  <c r="C49" i="75"/>
  <c r="B49" i="75"/>
  <c r="G48" i="75"/>
  <c r="F48" i="75"/>
  <c r="D48" i="75"/>
  <c r="C48" i="75"/>
  <c r="B48" i="75"/>
  <c r="G47" i="75"/>
  <c r="F47" i="75"/>
  <c r="D47" i="75"/>
  <c r="C47" i="75"/>
  <c r="B47" i="75"/>
  <c r="G46" i="75"/>
  <c r="F46" i="75"/>
  <c r="D46" i="75"/>
  <c r="C46" i="75"/>
  <c r="B46" i="75"/>
  <c r="G45" i="75"/>
  <c r="F45" i="75"/>
  <c r="D45" i="75"/>
  <c r="C45" i="75"/>
  <c r="B45" i="75"/>
  <c r="G44" i="75"/>
  <c r="F44" i="75"/>
  <c r="D44" i="75"/>
  <c r="C44" i="75"/>
  <c r="B44" i="75"/>
  <c r="G43" i="75"/>
  <c r="F43" i="75"/>
  <c r="D43" i="75"/>
  <c r="C43" i="75"/>
  <c r="B43" i="75"/>
  <c r="G42" i="75"/>
  <c r="F42" i="75"/>
  <c r="D42" i="75"/>
  <c r="C42" i="75"/>
  <c r="B42" i="75"/>
  <c r="G41" i="75"/>
  <c r="F41" i="75"/>
  <c r="D41" i="75"/>
  <c r="C41" i="75"/>
  <c r="B41" i="75"/>
  <c r="G40" i="75"/>
  <c r="F40" i="75"/>
  <c r="D40" i="75"/>
  <c r="C40" i="75"/>
  <c r="B40" i="75"/>
  <c r="G39" i="75"/>
  <c r="F39" i="75"/>
  <c r="D39" i="75"/>
  <c r="C39" i="75"/>
  <c r="B39" i="75"/>
  <c r="G38" i="75"/>
  <c r="F38" i="75"/>
  <c r="D38" i="75"/>
  <c r="C38" i="75"/>
  <c r="B38" i="75"/>
  <c r="G37" i="75"/>
  <c r="F37" i="75"/>
  <c r="D37" i="75"/>
  <c r="C37" i="75"/>
  <c r="B37" i="75"/>
  <c r="G36" i="75"/>
  <c r="F36" i="75"/>
  <c r="D36" i="75"/>
  <c r="C36" i="75"/>
  <c r="B36" i="75"/>
  <c r="G35" i="75"/>
  <c r="F35" i="75"/>
  <c r="D35" i="75"/>
  <c r="C35" i="75"/>
  <c r="B35" i="75"/>
  <c r="G34" i="75"/>
  <c r="F34" i="75"/>
  <c r="D34" i="75"/>
  <c r="C34" i="75"/>
  <c r="B34" i="75"/>
  <c r="G33" i="75"/>
  <c r="F33" i="75"/>
  <c r="D33" i="75"/>
  <c r="C33" i="75"/>
  <c r="B33" i="75"/>
  <c r="G32" i="75"/>
  <c r="F32" i="75"/>
  <c r="D32" i="75"/>
  <c r="C32" i="75"/>
  <c r="B32" i="75"/>
  <c r="G31" i="75"/>
  <c r="F31" i="75"/>
  <c r="D31" i="75"/>
  <c r="C31" i="75"/>
  <c r="B31" i="75"/>
  <c r="G30" i="75"/>
  <c r="F30" i="75"/>
  <c r="D30" i="75"/>
  <c r="C30" i="75"/>
  <c r="B30" i="75"/>
  <c r="G29" i="75"/>
  <c r="F29" i="75"/>
  <c r="D29" i="75"/>
  <c r="C29" i="75"/>
  <c r="B29" i="75"/>
  <c r="G28" i="75"/>
  <c r="F28" i="75"/>
  <c r="D28" i="75"/>
  <c r="C28" i="75"/>
  <c r="B28" i="75"/>
  <c r="G27" i="75"/>
  <c r="F27" i="75"/>
  <c r="D27" i="75"/>
  <c r="C27" i="75"/>
  <c r="B27" i="75"/>
  <c r="G26" i="75"/>
  <c r="F26" i="75"/>
  <c r="D26" i="75"/>
  <c r="C26" i="75"/>
  <c r="B26" i="75"/>
  <c r="G25" i="75"/>
  <c r="F25" i="75"/>
  <c r="D25" i="75"/>
  <c r="C25" i="75"/>
  <c r="B25" i="75"/>
  <c r="G24" i="75"/>
  <c r="F24" i="75"/>
  <c r="D24" i="75"/>
  <c r="C24" i="75"/>
  <c r="B24" i="75"/>
  <c r="G23" i="75"/>
  <c r="F23" i="75"/>
  <c r="D23" i="75"/>
  <c r="C23" i="75"/>
  <c r="B23" i="75"/>
  <c r="G22" i="75"/>
  <c r="F22" i="75"/>
  <c r="D22" i="75"/>
  <c r="C22" i="75"/>
  <c r="B22" i="75"/>
  <c r="G21" i="75"/>
  <c r="F21" i="75"/>
  <c r="D21" i="75"/>
  <c r="C21" i="75"/>
  <c r="B21" i="75"/>
  <c r="G20" i="75"/>
  <c r="F20" i="75"/>
  <c r="D20" i="75"/>
  <c r="C20" i="75"/>
  <c r="B20" i="75"/>
  <c r="G19" i="75"/>
  <c r="F19" i="75"/>
  <c r="D19" i="75"/>
  <c r="C19" i="75"/>
  <c r="B19" i="75"/>
  <c r="G18" i="75"/>
  <c r="F18" i="75"/>
  <c r="D18" i="75"/>
  <c r="C18" i="75"/>
  <c r="B18" i="75"/>
  <c r="G17" i="75"/>
  <c r="F17" i="75"/>
  <c r="D17" i="75"/>
  <c r="C17" i="75"/>
  <c r="B17" i="75"/>
  <c r="G16" i="75"/>
  <c r="F16" i="75"/>
  <c r="D16" i="75"/>
  <c r="C16" i="75"/>
  <c r="B16" i="75"/>
  <c r="G15" i="75"/>
  <c r="F15" i="75"/>
  <c r="D15" i="75"/>
  <c r="C15" i="75"/>
  <c r="B15" i="75"/>
  <c r="G14" i="75"/>
  <c r="F14" i="75"/>
  <c r="D14" i="75"/>
  <c r="C14" i="75"/>
  <c r="B14" i="75"/>
  <c r="G13" i="75"/>
  <c r="F13" i="75"/>
  <c r="D13" i="75"/>
  <c r="C13" i="75"/>
  <c r="B13" i="75"/>
  <c r="G12" i="75"/>
  <c r="F12" i="75"/>
  <c r="D12" i="75"/>
  <c r="C12" i="75"/>
  <c r="B12" i="75"/>
  <c r="G11" i="75"/>
  <c r="F11" i="75"/>
  <c r="D11" i="75"/>
  <c r="C11" i="75"/>
  <c r="B11" i="75"/>
  <c r="G10" i="75"/>
  <c r="F10" i="75"/>
  <c r="D10" i="75"/>
  <c r="C10" i="75"/>
  <c r="B10" i="75"/>
  <c r="G9" i="75"/>
  <c r="F9" i="75"/>
  <c r="D9" i="75"/>
  <c r="C9" i="75"/>
  <c r="B9" i="75"/>
  <c r="G8" i="75"/>
  <c r="F8" i="75"/>
  <c r="D8" i="75"/>
  <c r="C8" i="75"/>
  <c r="B8" i="75"/>
  <c r="G7" i="75"/>
  <c r="F7" i="75"/>
  <c r="D7" i="75"/>
  <c r="C7" i="75"/>
  <c r="B7" i="75"/>
  <c r="G6" i="75"/>
  <c r="F6" i="75"/>
  <c r="D6" i="75"/>
  <c r="C6" i="75"/>
  <c r="B6" i="75"/>
  <c r="G5" i="75"/>
  <c r="F5" i="75"/>
  <c r="D5" i="75"/>
  <c r="C5" i="75"/>
  <c r="B5" i="75"/>
  <c r="G4" i="75"/>
  <c r="F4" i="75"/>
  <c r="D4" i="75"/>
  <c r="C4" i="75"/>
  <c r="B4" i="75"/>
  <c r="G3" i="75"/>
  <c r="F3" i="75"/>
  <c r="D3" i="75"/>
  <c r="C3" i="75"/>
  <c r="B3" i="75"/>
  <c r="A214" i="86"/>
  <c r="A214" i="75" s="1"/>
  <c r="A213" i="86"/>
  <c r="A213" i="75" s="1"/>
  <c r="A212" i="86"/>
  <c r="A212" i="75" s="1"/>
  <c r="A211" i="86"/>
  <c r="A211" i="75" s="1"/>
  <c r="A210" i="86"/>
  <c r="A210" i="75" s="1"/>
  <c r="A209" i="86"/>
  <c r="A209" i="75" s="1"/>
  <c r="A208" i="86"/>
  <c r="A208" i="75" s="1"/>
  <c r="A207" i="86"/>
  <c r="A207" i="75" s="1"/>
  <c r="A206" i="86"/>
  <c r="A206" i="75" s="1"/>
  <c r="A205" i="86"/>
  <c r="A205" i="75" s="1"/>
  <c r="A204" i="86"/>
  <c r="A204" i="75" s="1"/>
  <c r="A203" i="86"/>
  <c r="A203" i="75" s="1"/>
  <c r="A202" i="86"/>
  <c r="A202" i="75" s="1"/>
  <c r="A201" i="86"/>
  <c r="A200" i="86"/>
  <c r="A199" i="86"/>
  <c r="A198" i="86"/>
  <c r="A197" i="86"/>
  <c r="A196" i="86"/>
  <c r="A195" i="86"/>
  <c r="A195" i="75" s="1"/>
  <c r="A194" i="86"/>
  <c r="A194" i="75" s="1"/>
  <c r="A193" i="86"/>
  <c r="A192" i="86"/>
  <c r="A191" i="86"/>
  <c r="A190" i="86"/>
  <c r="A189" i="86"/>
  <c r="A188" i="86"/>
  <c r="A187" i="86"/>
  <c r="A187" i="75" s="1"/>
  <c r="A186" i="86"/>
  <c r="A186" i="75" s="1"/>
  <c r="A185" i="86"/>
  <c r="A184" i="86"/>
  <c r="A183" i="86"/>
  <c r="A182" i="86"/>
  <c r="A181" i="86"/>
  <c r="A180" i="86"/>
  <c r="A179" i="86"/>
  <c r="A179" i="75" s="1"/>
  <c r="A178" i="86"/>
  <c r="A178" i="75" s="1"/>
  <c r="A177" i="86"/>
  <c r="A176" i="86"/>
  <c r="A175" i="86"/>
  <c r="A174" i="86"/>
  <c r="A173" i="86"/>
  <c r="A172" i="86"/>
  <c r="A171" i="86"/>
  <c r="A171" i="75" s="1"/>
  <c r="A170" i="86"/>
  <c r="A169" i="86"/>
  <c r="A168" i="86"/>
  <c r="A167" i="86"/>
  <c r="A166" i="86"/>
  <c r="A165" i="86"/>
  <c r="A164" i="86"/>
  <c r="A163" i="86"/>
  <c r="A163" i="75" s="1"/>
  <c r="A162" i="86"/>
  <c r="A161" i="86"/>
  <c r="A160" i="86"/>
  <c r="A159" i="86"/>
  <c r="A158" i="86"/>
  <c r="A157" i="86"/>
  <c r="A156" i="86"/>
  <c r="A155" i="86"/>
  <c r="A155" i="75" s="1"/>
  <c r="A154" i="86"/>
  <c r="A153" i="86"/>
  <c r="A152" i="86"/>
  <c r="A151" i="86"/>
  <c r="A150" i="86"/>
  <c r="A149" i="86"/>
  <c r="A148" i="86"/>
  <c r="A147" i="86"/>
  <c r="A147" i="75" s="1"/>
  <c r="A146" i="86"/>
  <c r="A145" i="86"/>
  <c r="A144" i="86"/>
  <c r="A143" i="86"/>
  <c r="A142" i="86"/>
  <c r="A141" i="86"/>
  <c r="A140" i="86"/>
  <c r="A139" i="86"/>
  <c r="A139" i="75" s="1"/>
  <c r="A138" i="86"/>
  <c r="A137" i="86"/>
  <c r="A136" i="86"/>
  <c r="A135" i="86"/>
  <c r="A134" i="86"/>
  <c r="A133" i="86"/>
  <c r="A132" i="86"/>
  <c r="A131" i="86"/>
  <c r="A131" i="75" s="1"/>
  <c r="A130" i="86"/>
  <c r="A129" i="86"/>
  <c r="A128" i="86"/>
  <c r="A127" i="86"/>
  <c r="A126" i="86"/>
  <c r="A125" i="86"/>
  <c r="A124" i="86"/>
  <c r="A123" i="86"/>
  <c r="A123" i="75" s="1"/>
  <c r="A122" i="86"/>
  <c r="A121" i="86"/>
  <c r="A120" i="86"/>
  <c r="A119" i="86"/>
  <c r="A118" i="86"/>
  <c r="A117" i="86"/>
  <c r="A116" i="86"/>
  <c r="A115" i="86"/>
  <c r="A115" i="75" s="1"/>
  <c r="A114" i="86"/>
  <c r="A114" i="75" s="1"/>
  <c r="A113" i="86"/>
  <c r="A112" i="86"/>
  <c r="A111" i="86"/>
  <c r="A110" i="86"/>
  <c r="A109" i="86"/>
  <c r="A108" i="86"/>
  <c r="A107" i="86"/>
  <c r="A106" i="86"/>
  <c r="A105" i="86"/>
  <c r="A104" i="86"/>
  <c r="A103" i="86"/>
  <c r="A102" i="86"/>
  <c r="A101" i="86"/>
  <c r="A100" i="86"/>
  <c r="A99" i="86"/>
  <c r="A99" i="75" s="1"/>
  <c r="A98" i="86"/>
  <c r="A97" i="86"/>
  <c r="A96" i="86"/>
  <c r="A95" i="86"/>
  <c r="A94" i="86"/>
  <c r="A93" i="86"/>
  <c r="A92" i="86"/>
  <c r="A91" i="86"/>
  <c r="A90" i="86"/>
  <c r="A89" i="86"/>
  <c r="A88" i="86"/>
  <c r="A88" i="75" s="1"/>
  <c r="A87" i="86"/>
  <c r="A86" i="86"/>
  <c r="A85" i="86"/>
  <c r="A84" i="86"/>
  <c r="A84" i="75" s="1"/>
  <c r="A83" i="86"/>
  <c r="A82" i="86"/>
  <c r="A81" i="86"/>
  <c r="A80" i="86"/>
  <c r="A79" i="86"/>
  <c r="A78" i="86"/>
  <c r="A77" i="86"/>
  <c r="A76" i="86"/>
  <c r="A75" i="86"/>
  <c r="A74" i="86"/>
  <c r="A73" i="86"/>
  <c r="A73" i="75" s="1"/>
  <c r="A72" i="86"/>
  <c r="A71" i="86"/>
  <c r="A70" i="86"/>
  <c r="A69" i="86"/>
  <c r="A69" i="75" s="1"/>
  <c r="A68" i="86"/>
  <c r="A67" i="86"/>
  <c r="A66" i="86"/>
  <c r="A65" i="86"/>
  <c r="A65" i="75" s="1"/>
  <c r="A64" i="86"/>
  <c r="A63" i="86"/>
  <c r="A62" i="86"/>
  <c r="A61" i="86"/>
  <c r="A61" i="75" s="1"/>
  <c r="A60" i="86"/>
  <c r="A59" i="86"/>
  <c r="A58" i="86"/>
  <c r="A57" i="86"/>
  <c r="A57" i="75" s="1"/>
  <c r="A56" i="86"/>
  <c r="A55" i="86"/>
  <c r="A54" i="86"/>
  <c r="A53" i="86"/>
  <c r="A53" i="75" s="1"/>
  <c r="A52" i="86"/>
  <c r="A51" i="86"/>
  <c r="A50" i="86"/>
  <c r="A49" i="86"/>
  <c r="A49" i="75" s="1"/>
  <c r="A48" i="86"/>
  <c r="A47" i="86"/>
  <c r="A46" i="86"/>
  <c r="A45" i="86"/>
  <c r="A45" i="75" s="1"/>
  <c r="A44" i="86"/>
  <c r="A43" i="86"/>
  <c r="A42" i="86"/>
  <c r="A41" i="86"/>
  <c r="A41" i="75" s="1"/>
  <c r="A40" i="86"/>
  <c r="A39" i="86"/>
  <c r="A38" i="86"/>
  <c r="A37" i="86"/>
  <c r="A37" i="75" s="1"/>
  <c r="A36" i="86"/>
  <c r="A35" i="86"/>
  <c r="A34" i="86"/>
  <c r="A33" i="86"/>
  <c r="A33" i="75" s="1"/>
  <c r="A32" i="86"/>
  <c r="A31" i="86"/>
  <c r="A30" i="86"/>
  <c r="A29" i="86"/>
  <c r="A29" i="75" s="1"/>
  <c r="A28" i="86"/>
  <c r="A27" i="86"/>
  <c r="A26" i="86"/>
  <c r="A25" i="86"/>
  <c r="A25" i="75" s="1"/>
  <c r="A24" i="86"/>
  <c r="A23" i="86"/>
  <c r="A22" i="86"/>
  <c r="A21" i="86"/>
  <c r="A21" i="75" s="1"/>
  <c r="A20" i="86"/>
  <c r="A19" i="86"/>
  <c r="A18" i="86"/>
  <c r="A17" i="86"/>
  <c r="A17" i="75" s="1"/>
  <c r="A16" i="86"/>
  <c r="A15" i="86"/>
  <c r="A14" i="86"/>
  <c r="A13" i="86"/>
  <c r="A13" i="75" s="1"/>
  <c r="A12" i="86"/>
  <c r="A11" i="86"/>
  <c r="A10" i="86"/>
  <c r="A9" i="86"/>
  <c r="A9" i="75" s="1"/>
  <c r="A8" i="86"/>
  <c r="A7" i="86"/>
  <c r="A6" i="86"/>
  <c r="A5" i="86"/>
  <c r="A5" i="75" s="1"/>
  <c r="A4" i="86"/>
  <c r="A3" i="86"/>
  <c r="C80" i="84" l="1"/>
  <c r="H79" i="84"/>
  <c r="A80" i="84"/>
  <c r="A91" i="75"/>
  <c r="A107" i="75"/>
  <c r="A6" i="75"/>
  <c r="A10" i="75"/>
  <c r="A14" i="75"/>
  <c r="A18" i="75"/>
  <c r="A22" i="75"/>
  <c r="A26" i="75"/>
  <c r="A30" i="75"/>
  <c r="A34" i="75"/>
  <c r="A38" i="75"/>
  <c r="A42" i="75"/>
  <c r="A46" i="75"/>
  <c r="A50" i="75"/>
  <c r="A54" i="75"/>
  <c r="A58" i="75"/>
  <c r="A62" i="75"/>
  <c r="A66" i="75"/>
  <c r="A70" i="75"/>
  <c r="A74" i="75"/>
  <c r="A78" i="75"/>
  <c r="A82" i="75"/>
  <c r="A86" i="75"/>
  <c r="A90" i="75"/>
  <c r="A94" i="75"/>
  <c r="A98" i="75"/>
  <c r="A102" i="75"/>
  <c r="A106" i="75"/>
  <c r="A146" i="75"/>
  <c r="A154" i="75"/>
  <c r="A162" i="75"/>
  <c r="A170" i="75"/>
  <c r="A77" i="75"/>
  <c r="A87" i="75"/>
  <c r="A122" i="75"/>
  <c r="A130" i="75"/>
  <c r="A138" i="75"/>
  <c r="A92" i="75"/>
  <c r="A96" i="75"/>
  <c r="A100" i="75"/>
  <c r="A104" i="75"/>
  <c r="A108" i="75"/>
  <c r="A112" i="75"/>
  <c r="A116" i="75"/>
  <c r="A120" i="75"/>
  <c r="A124" i="75"/>
  <c r="A128" i="75"/>
  <c r="A132" i="75"/>
  <c r="A136" i="75"/>
  <c r="A140" i="75"/>
  <c r="A144" i="75"/>
  <c r="A148" i="75"/>
  <c r="A152" i="75"/>
  <c r="A156" i="75"/>
  <c r="A160" i="75"/>
  <c r="A164" i="75"/>
  <c r="A168" i="75"/>
  <c r="A172" i="75"/>
  <c r="A176" i="75"/>
  <c r="A180" i="75"/>
  <c r="A184" i="75"/>
  <c r="A188" i="75"/>
  <c r="A192" i="75"/>
  <c r="A196" i="75"/>
  <c r="A200" i="75"/>
  <c r="A4" i="75"/>
  <c r="A8" i="75"/>
  <c r="A12" i="75"/>
  <c r="A16" i="75"/>
  <c r="A20" i="75"/>
  <c r="A24" i="75"/>
  <c r="A28" i="75"/>
  <c r="A32" i="75"/>
  <c r="A36" i="75"/>
  <c r="A40" i="75"/>
  <c r="A44" i="75"/>
  <c r="A48" i="75"/>
  <c r="A52" i="75"/>
  <c r="A56" i="75"/>
  <c r="A60" i="75"/>
  <c r="A64" i="75"/>
  <c r="A68" i="75"/>
  <c r="A72" i="75"/>
  <c r="A76" i="75"/>
  <c r="A80" i="75"/>
  <c r="A83" i="75"/>
  <c r="A95" i="75"/>
  <c r="A103" i="75"/>
  <c r="A111" i="75"/>
  <c r="A119" i="75"/>
  <c r="A127" i="75"/>
  <c r="A135" i="75"/>
  <c r="A143" i="75"/>
  <c r="A151" i="75"/>
  <c r="A159" i="75"/>
  <c r="A167" i="75"/>
  <c r="A175" i="75"/>
  <c r="A183" i="75"/>
  <c r="A191" i="75"/>
  <c r="A199" i="75"/>
  <c r="A81" i="75"/>
  <c r="A85" i="75"/>
  <c r="A89" i="75"/>
  <c r="A93" i="75"/>
  <c r="A97" i="75"/>
  <c r="A101" i="75"/>
  <c r="A105" i="75"/>
  <c r="A109" i="75"/>
  <c r="A113" i="75"/>
  <c r="A117" i="75"/>
  <c r="A121" i="75"/>
  <c r="A125" i="75"/>
  <c r="A129" i="75"/>
  <c r="A133" i="75"/>
  <c r="A137" i="75"/>
  <c r="A141" i="75"/>
  <c r="A145" i="75"/>
  <c r="A149" i="75"/>
  <c r="A153" i="75"/>
  <c r="A157" i="75"/>
  <c r="A161" i="75"/>
  <c r="A165" i="75"/>
  <c r="A169" i="75"/>
  <c r="A173" i="75"/>
  <c r="A177" i="75"/>
  <c r="A181" i="75"/>
  <c r="A185" i="75"/>
  <c r="A189" i="75"/>
  <c r="A193" i="75"/>
  <c r="A197" i="75"/>
  <c r="A201" i="75"/>
  <c r="A3" i="75"/>
  <c r="A7" i="75"/>
  <c r="A11" i="75"/>
  <c r="A15" i="75"/>
  <c r="A19" i="75"/>
  <c r="A23" i="75"/>
  <c r="A27" i="75"/>
  <c r="A31" i="75"/>
  <c r="A35" i="75"/>
  <c r="A39" i="75"/>
  <c r="A43" i="75"/>
  <c r="A47" i="75"/>
  <c r="A51" i="75"/>
  <c r="A55" i="75"/>
  <c r="A59" i="75"/>
  <c r="A63" i="75"/>
  <c r="A67" i="75"/>
  <c r="A71" i="75"/>
  <c r="A75" i="75"/>
  <c r="A79" i="75"/>
  <c r="A110" i="75"/>
  <c r="A118" i="75"/>
  <c r="A126" i="75"/>
  <c r="A134" i="75"/>
  <c r="A142" i="75"/>
  <c r="A150" i="75"/>
  <c r="A158" i="75"/>
  <c r="A166" i="75"/>
  <c r="A174" i="75"/>
  <c r="A182" i="75"/>
  <c r="A190" i="75"/>
  <c r="A198" i="75"/>
  <c r="G9" i="64"/>
  <c r="G8" i="64" s="1"/>
  <c r="G7" i="64" s="1"/>
  <c r="G6" i="64" s="1"/>
  <c r="G5" i="64" s="1"/>
  <c r="G4" i="64" s="1"/>
  <c r="F9" i="64"/>
  <c r="F8" i="64" s="1"/>
  <c r="F7" i="64" s="1"/>
  <c r="F6" i="64" s="1"/>
  <c r="F5" i="64" s="1"/>
  <c r="F4" i="64" s="1"/>
  <c r="D9" i="64"/>
  <c r="D8" i="64" s="1"/>
  <c r="D7" i="64" s="1"/>
  <c r="D6" i="64" s="1"/>
  <c r="D5" i="64" s="1"/>
  <c r="D4" i="64" s="1"/>
  <c r="C9" i="64"/>
  <c r="C81" i="84" l="1"/>
  <c r="H80" i="84"/>
  <c r="A81" i="84"/>
  <c r="E9" i="64"/>
  <c r="H9" i="64" s="1"/>
  <c r="H8" i="64" s="1"/>
  <c r="H7" i="64" s="1"/>
  <c r="H6" i="64" s="1"/>
  <c r="H5" i="64" s="1"/>
  <c r="H4" i="64" s="1"/>
  <c r="C8" i="64"/>
  <c r="C7" i="64" s="1"/>
  <c r="C6" i="64" s="1"/>
  <c r="C5" i="64" s="1"/>
  <c r="C4" i="64" s="1"/>
  <c r="C82" i="84" l="1"/>
  <c r="H81" i="84"/>
  <c r="A82" i="84"/>
  <c r="E8" i="64"/>
  <c r="E7" i="64" s="1"/>
  <c r="E6" i="64" s="1"/>
  <c r="E5" i="64" s="1"/>
  <c r="E4" i="64" s="1"/>
  <c r="CI12" i="82"/>
  <c r="CH12" i="82"/>
  <c r="CF12" i="82"/>
  <c r="CE12" i="82"/>
  <c r="CI11" i="82"/>
  <c r="CH11" i="82"/>
  <c r="CF11" i="82"/>
  <c r="CE11" i="82"/>
  <c r="C83" i="84" l="1"/>
  <c r="H82" i="84"/>
  <c r="A83" i="84"/>
  <c r="CG12" i="82"/>
  <c r="CJ11" i="82"/>
  <c r="CK11" i="82" s="1"/>
  <c r="CJ12" i="82"/>
  <c r="CK12" i="82" s="1"/>
  <c r="CG11" i="82"/>
  <c r="C84" i="84" l="1"/>
  <c r="H83" i="84"/>
  <c r="A84" i="84"/>
  <c r="D3" i="64"/>
  <c r="C85" i="84" l="1"/>
  <c r="H84" i="84"/>
  <c r="A85" i="84"/>
  <c r="G3" i="64"/>
  <c r="F3" i="64"/>
  <c r="C3" i="64"/>
  <c r="C86" i="84" l="1"/>
  <c r="H85" i="84"/>
  <c r="A86" i="84"/>
  <c r="H3" i="64"/>
  <c r="E3" i="64"/>
  <c r="N4" i="60"/>
  <c r="N3" i="60" s="1"/>
  <c r="M4" i="60"/>
  <c r="M3" i="60" s="1"/>
  <c r="L4" i="60"/>
  <c r="L3" i="60" s="1"/>
  <c r="K4" i="60"/>
  <c r="K3" i="60" s="1"/>
  <c r="J4" i="60"/>
  <c r="J3" i="60" s="1"/>
  <c r="I4" i="60"/>
  <c r="I3" i="60" s="1"/>
  <c r="H4" i="60"/>
  <c r="H3" i="60" s="1"/>
  <c r="G4" i="60"/>
  <c r="F4" i="60"/>
  <c r="E4" i="60"/>
  <c r="D4" i="60"/>
  <c r="C4" i="60"/>
  <c r="B4" i="60"/>
  <c r="A4" i="60"/>
  <c r="I4" i="57"/>
  <c r="I3" i="57" s="1"/>
  <c r="H4" i="57"/>
  <c r="H3" i="57" s="1"/>
  <c r="G4" i="57"/>
  <c r="G3" i="57" s="1"/>
  <c r="F4" i="57"/>
  <c r="F3" i="57" s="1"/>
  <c r="E4" i="57"/>
  <c r="E3" i="57" s="1"/>
  <c r="D4" i="57"/>
  <c r="C4" i="57"/>
  <c r="B4" i="57"/>
  <c r="A4" i="57"/>
  <c r="K1" i="83"/>
  <c r="J1" i="83"/>
  <c r="I1" i="83"/>
  <c r="CT10" i="82"/>
  <c r="CS10" i="82"/>
  <c r="CQ10" i="82"/>
  <c r="CQ9" i="82" s="1"/>
  <c r="CP10" i="82"/>
  <c r="CP9" i="82" s="1"/>
  <c r="BR2" i="82"/>
  <c r="C87" i="84" l="1"/>
  <c r="H86" i="84"/>
  <c r="A87" i="84"/>
  <c r="CS9" i="82"/>
  <c r="CT9" i="82"/>
  <c r="C88" i="84" l="1"/>
  <c r="H87" i="84"/>
  <c r="A88" i="84"/>
  <c r="C1" i="83"/>
  <c r="C89" i="84" l="1"/>
  <c r="H88" i="84"/>
  <c r="A89" i="84"/>
  <c r="DX36" i="82"/>
  <c r="DW36" i="82"/>
  <c r="DU36" i="82"/>
  <c r="DT36" i="82"/>
  <c r="DX35" i="82"/>
  <c r="DW35" i="82"/>
  <c r="DU35" i="82"/>
  <c r="DT35" i="82"/>
  <c r="DX34" i="82"/>
  <c r="DW34" i="82"/>
  <c r="DU34" i="82"/>
  <c r="DT34" i="82"/>
  <c r="DX33" i="82"/>
  <c r="DW33" i="82"/>
  <c r="DU33" i="82"/>
  <c r="DU32" i="82" s="1"/>
  <c r="DT33" i="82"/>
  <c r="DX31" i="82"/>
  <c r="DW31" i="82"/>
  <c r="DU31" i="82"/>
  <c r="DT31" i="82"/>
  <c r="DX30" i="82"/>
  <c r="DW30" i="82"/>
  <c r="DU30" i="82"/>
  <c r="DT30" i="82"/>
  <c r="DX29" i="82"/>
  <c r="DW29" i="82"/>
  <c r="DU29" i="82"/>
  <c r="DT29" i="82"/>
  <c r="DX28" i="82"/>
  <c r="DW28" i="82"/>
  <c r="DU28" i="82"/>
  <c r="DT28" i="82"/>
  <c r="DX27" i="82"/>
  <c r="DW27" i="82"/>
  <c r="DU27" i="82"/>
  <c r="DT27" i="82"/>
  <c r="DX26" i="82"/>
  <c r="DW26" i="82"/>
  <c r="DU26" i="82"/>
  <c r="DT26" i="82"/>
  <c r="DX25" i="82"/>
  <c r="DW25" i="82"/>
  <c r="DU25" i="82"/>
  <c r="DT25" i="82"/>
  <c r="DX24" i="82"/>
  <c r="DW24" i="82"/>
  <c r="DU24" i="82"/>
  <c r="DT24" i="82"/>
  <c r="DX23" i="82"/>
  <c r="DW23" i="82"/>
  <c r="DU23" i="82"/>
  <c r="DT23" i="82"/>
  <c r="DX21" i="82"/>
  <c r="DW21" i="82"/>
  <c r="DU21" i="82"/>
  <c r="DT21" i="82"/>
  <c r="DX20" i="82"/>
  <c r="DW20" i="82"/>
  <c r="DU20" i="82"/>
  <c r="DT20" i="82"/>
  <c r="DX19" i="82"/>
  <c r="DW19" i="82"/>
  <c r="DU19" i="82"/>
  <c r="DT19" i="82"/>
  <c r="DX18" i="82"/>
  <c r="DW18" i="82"/>
  <c r="DU18" i="82"/>
  <c r="DT18" i="82"/>
  <c r="DX17" i="82"/>
  <c r="DW17" i="82"/>
  <c r="DU17" i="82"/>
  <c r="DT17" i="82"/>
  <c r="DX16" i="82"/>
  <c r="DW16" i="82"/>
  <c r="DU16" i="82"/>
  <c r="DT16" i="82"/>
  <c r="DX15" i="82"/>
  <c r="DW15" i="82"/>
  <c r="DU15" i="82"/>
  <c r="DT15" i="82"/>
  <c r="DX13" i="82"/>
  <c r="DW13" i="82"/>
  <c r="DU13" i="82"/>
  <c r="DT13" i="82"/>
  <c r="DX12" i="82"/>
  <c r="DW12" i="82"/>
  <c r="DU12" i="82"/>
  <c r="DT12" i="82"/>
  <c r="DX11" i="82"/>
  <c r="DW11" i="82"/>
  <c r="DU11" i="82"/>
  <c r="DT11" i="82"/>
  <c r="DX10" i="82"/>
  <c r="DW10" i="82"/>
  <c r="DU10" i="82"/>
  <c r="DT10" i="82"/>
  <c r="DX9" i="82"/>
  <c r="DW9" i="82"/>
  <c r="DU9" i="82"/>
  <c r="DT9" i="82"/>
  <c r="DX8" i="82"/>
  <c r="DW8" i="82"/>
  <c r="DU8" i="82"/>
  <c r="DT8" i="82"/>
  <c r="DX7" i="82"/>
  <c r="DW7" i="82"/>
  <c r="DU7" i="82"/>
  <c r="DT7" i="82"/>
  <c r="DX6" i="82"/>
  <c r="DW6" i="82"/>
  <c r="DU6" i="82"/>
  <c r="DT6" i="82"/>
  <c r="DR2" i="82"/>
  <c r="DD9" i="82"/>
  <c r="DC9" i="82"/>
  <c r="DA9" i="82"/>
  <c r="CZ9" i="82"/>
  <c r="DD8" i="82"/>
  <c r="DC8" i="82"/>
  <c r="DA8" i="82"/>
  <c r="CZ8" i="82"/>
  <c r="DD7" i="82"/>
  <c r="DC7" i="82"/>
  <c r="DA7" i="82"/>
  <c r="CZ7" i="82"/>
  <c r="DD6" i="82"/>
  <c r="DC6" i="82"/>
  <c r="DA6" i="82"/>
  <c r="CZ6" i="82"/>
  <c r="DD5" i="82"/>
  <c r="DC5" i="82"/>
  <c r="DA5" i="82"/>
  <c r="CZ5" i="82"/>
  <c r="CX2" i="82"/>
  <c r="DC4" i="82" l="1"/>
  <c r="C90" i="84"/>
  <c r="H90" i="84" s="1"/>
  <c r="H89" i="84"/>
  <c r="A90" i="84"/>
  <c r="A91" i="84" s="1"/>
  <c r="DW14" i="82"/>
  <c r="DV36" i="82"/>
  <c r="DY36" i="82" s="1"/>
  <c r="DV34" i="82"/>
  <c r="DY34" i="82" s="1"/>
  <c r="DU5" i="82"/>
  <c r="DV6" i="82"/>
  <c r="DY6" i="82" s="1"/>
  <c r="DV7" i="82"/>
  <c r="DY7" i="82" s="1"/>
  <c r="DV8" i="82"/>
  <c r="DY8" i="82" s="1"/>
  <c r="DV10" i="82"/>
  <c r="DY10" i="82" s="1"/>
  <c r="DV30" i="82"/>
  <c r="DY30" i="82" s="1"/>
  <c r="DA4" i="82"/>
  <c r="DV31" i="82"/>
  <c r="DY31" i="82" s="1"/>
  <c r="DV11" i="82"/>
  <c r="DY11" i="82" s="1"/>
  <c r="DV12" i="82"/>
  <c r="DY12" i="82" s="1"/>
  <c r="DV15" i="82"/>
  <c r="DY15" i="82" s="1"/>
  <c r="DV16" i="82"/>
  <c r="DY16" i="82" s="1"/>
  <c r="DV18" i="82"/>
  <c r="DY18" i="82" s="1"/>
  <c r="DV19" i="82"/>
  <c r="DY19" i="82" s="1"/>
  <c r="DV20" i="82"/>
  <c r="DY20" i="82" s="1"/>
  <c r="DV26" i="82"/>
  <c r="DY26" i="82" s="1"/>
  <c r="DV28" i="82"/>
  <c r="DY28" i="82" s="1"/>
  <c r="DW5" i="82"/>
  <c r="DV23" i="82"/>
  <c r="DY23" i="82" s="1"/>
  <c r="DV24" i="82"/>
  <c r="DY24" i="82" s="1"/>
  <c r="DV27" i="82"/>
  <c r="DY27" i="82" s="1"/>
  <c r="DW32" i="82"/>
  <c r="DB5" i="82"/>
  <c r="DE5" i="82" s="1"/>
  <c r="DB7" i="82"/>
  <c r="DE7" i="82" s="1"/>
  <c r="DW22" i="82"/>
  <c r="DV33" i="82"/>
  <c r="DY33" i="82" s="1"/>
  <c r="DV9" i="82"/>
  <c r="DY9" i="82" s="1"/>
  <c r="DU14" i="82"/>
  <c r="DV17" i="82"/>
  <c r="DY17" i="82" s="1"/>
  <c r="DU22" i="82"/>
  <c r="DV25" i="82"/>
  <c r="DY25" i="82" s="1"/>
  <c r="DX32" i="82"/>
  <c r="DX5" i="82"/>
  <c r="DV13" i="82"/>
  <c r="DY13" i="82" s="1"/>
  <c r="DX14" i="82"/>
  <c r="DV21" i="82"/>
  <c r="DY21" i="82" s="1"/>
  <c r="DX22" i="82"/>
  <c r="DV29" i="82"/>
  <c r="DY29" i="82" s="1"/>
  <c r="DV35" i="82"/>
  <c r="DY35" i="82" s="1"/>
  <c r="DT5" i="82"/>
  <c r="DT14" i="82"/>
  <c r="DT22" i="82"/>
  <c r="DT32" i="82"/>
  <c r="DB9" i="82"/>
  <c r="DE9" i="82" s="1"/>
  <c r="DD4" i="82"/>
  <c r="DB6" i="82"/>
  <c r="DE6" i="82" s="1"/>
  <c r="DB8" i="82"/>
  <c r="DE8" i="82" s="1"/>
  <c r="CZ4" i="82"/>
  <c r="I30" i="78"/>
  <c r="A1" i="70"/>
  <c r="A1" i="69"/>
  <c r="G33" i="68"/>
  <c r="F33" i="68"/>
  <c r="D33" i="68"/>
  <c r="C33" i="68"/>
  <c r="G32" i="68"/>
  <c r="F32" i="68"/>
  <c r="D32" i="68"/>
  <c r="C32" i="68"/>
  <c r="G31" i="68"/>
  <c r="F31" i="68"/>
  <c r="D31" i="68"/>
  <c r="C31" i="68"/>
  <c r="G30" i="68"/>
  <c r="F30" i="68"/>
  <c r="F29" i="68" s="1"/>
  <c r="D30" i="68"/>
  <c r="D29" i="68" s="1"/>
  <c r="C30" i="68"/>
  <c r="C29" i="68" s="1"/>
  <c r="G29" i="68"/>
  <c r="G28" i="68"/>
  <c r="F28" i="68"/>
  <c r="D28" i="68"/>
  <c r="C28" i="68"/>
  <c r="G27" i="68"/>
  <c r="F27" i="68"/>
  <c r="D27" i="68"/>
  <c r="C27" i="68"/>
  <c r="G26" i="68"/>
  <c r="F26" i="68"/>
  <c r="D26" i="68"/>
  <c r="C26" i="68"/>
  <c r="G25" i="68"/>
  <c r="F25" i="68"/>
  <c r="F24" i="68" s="1"/>
  <c r="D25" i="68"/>
  <c r="D24" i="68" s="1"/>
  <c r="C25" i="68"/>
  <c r="C24" i="68" s="1"/>
  <c r="G23" i="68"/>
  <c r="F23" i="68"/>
  <c r="D23" i="68"/>
  <c r="C23" i="68"/>
  <c r="G22" i="68"/>
  <c r="G21" i="68" s="1"/>
  <c r="F22" i="68"/>
  <c r="F21" i="68" s="1"/>
  <c r="D22" i="68"/>
  <c r="D21" i="68" s="1"/>
  <c r="C22" i="68"/>
  <c r="G20" i="68"/>
  <c r="F20" i="68"/>
  <c r="D20" i="68"/>
  <c r="C20" i="68"/>
  <c r="G19" i="68"/>
  <c r="F19" i="68"/>
  <c r="D19" i="68"/>
  <c r="C19" i="68"/>
  <c r="G18" i="68"/>
  <c r="G17" i="68" s="1"/>
  <c r="F18" i="68"/>
  <c r="F17" i="68" s="1"/>
  <c r="D18" i="68"/>
  <c r="D17" i="68" s="1"/>
  <c r="C18" i="68"/>
  <c r="G16" i="68"/>
  <c r="F16" i="68"/>
  <c r="D16" i="68"/>
  <c r="C16" i="68"/>
  <c r="G15" i="68"/>
  <c r="F15" i="68"/>
  <c r="D15" i="68"/>
  <c r="C15" i="68"/>
  <c r="G14" i="68"/>
  <c r="F14" i="68"/>
  <c r="D14" i="68"/>
  <c r="C14" i="68"/>
  <c r="G13" i="68"/>
  <c r="F13" i="68"/>
  <c r="D13" i="68"/>
  <c r="C13" i="68"/>
  <c r="G12" i="68"/>
  <c r="F12" i="68"/>
  <c r="D12" i="68"/>
  <c r="C12" i="68"/>
  <c r="G11" i="68"/>
  <c r="F11" i="68"/>
  <c r="D11" i="68"/>
  <c r="C11" i="68"/>
  <c r="G10" i="68"/>
  <c r="F10" i="68"/>
  <c r="D10" i="68"/>
  <c r="C10" i="68"/>
  <c r="G9" i="68"/>
  <c r="F9" i="68"/>
  <c r="D9" i="68"/>
  <c r="D8" i="68" s="1"/>
  <c r="C9" i="68"/>
  <c r="C8" i="68" s="1"/>
  <c r="G8" i="68"/>
  <c r="F8" i="68"/>
  <c r="G7" i="68"/>
  <c r="F7" i="68"/>
  <c r="D7" i="68"/>
  <c r="C7" i="68"/>
  <c r="G6" i="68"/>
  <c r="G5" i="68" s="1"/>
  <c r="F6" i="68"/>
  <c r="F5" i="68" s="1"/>
  <c r="D6" i="68"/>
  <c r="D5" i="68" s="1"/>
  <c r="C6" i="68"/>
  <c r="A1" i="68"/>
  <c r="E13" i="67"/>
  <c r="D13" i="67"/>
  <c r="C13" i="67"/>
  <c r="E12" i="67"/>
  <c r="D12" i="67"/>
  <c r="C12" i="67"/>
  <c r="E10" i="67"/>
  <c r="D10" i="67"/>
  <c r="C10" i="67"/>
  <c r="E8" i="67"/>
  <c r="D8" i="67"/>
  <c r="C8" i="67"/>
  <c r="E5" i="67"/>
  <c r="D5" i="67"/>
  <c r="C5" i="67"/>
  <c r="A1" i="67"/>
  <c r="A1" i="66"/>
  <c r="A1" i="65"/>
  <c r="A1" i="64"/>
  <c r="G35" i="63"/>
  <c r="F35" i="63"/>
  <c r="D35" i="63"/>
  <c r="C35" i="63"/>
  <c r="G34" i="63"/>
  <c r="F34" i="63"/>
  <c r="D34" i="63"/>
  <c r="C34" i="63"/>
  <c r="G33" i="63"/>
  <c r="F33" i="63"/>
  <c r="D33" i="63"/>
  <c r="C33" i="63"/>
  <c r="G32" i="63"/>
  <c r="G31" i="63" s="1"/>
  <c r="F32" i="63"/>
  <c r="F31" i="63" s="1"/>
  <c r="D32" i="63"/>
  <c r="C32" i="63"/>
  <c r="G30" i="63"/>
  <c r="F30" i="63"/>
  <c r="D30" i="63"/>
  <c r="C30" i="63"/>
  <c r="G29" i="63"/>
  <c r="F29" i="63"/>
  <c r="D29" i="63"/>
  <c r="C29" i="63"/>
  <c r="G28" i="63"/>
  <c r="F28" i="63"/>
  <c r="D28" i="63"/>
  <c r="C28" i="63"/>
  <c r="G27" i="63"/>
  <c r="F27" i="63"/>
  <c r="D27" i="63"/>
  <c r="C27" i="63"/>
  <c r="G26" i="63"/>
  <c r="F26" i="63"/>
  <c r="D26" i="63"/>
  <c r="C26" i="63"/>
  <c r="G25" i="63"/>
  <c r="F25" i="63"/>
  <c r="D25" i="63"/>
  <c r="C25" i="63"/>
  <c r="G24" i="63"/>
  <c r="F24" i="63"/>
  <c r="D24" i="63"/>
  <c r="C24" i="63"/>
  <c r="G23" i="63"/>
  <c r="F23" i="63"/>
  <c r="D23" i="63"/>
  <c r="C23" i="63"/>
  <c r="G22" i="63"/>
  <c r="G21" i="63" s="1"/>
  <c r="F22" i="63"/>
  <c r="F21" i="63" s="1"/>
  <c r="D22" i="63"/>
  <c r="C22" i="63"/>
  <c r="G20" i="63"/>
  <c r="F20" i="63"/>
  <c r="D20" i="63"/>
  <c r="C20" i="63"/>
  <c r="G19" i="63"/>
  <c r="F19" i="63"/>
  <c r="D19" i="63"/>
  <c r="C19" i="63"/>
  <c r="G18" i="63"/>
  <c r="F18" i="63"/>
  <c r="D18" i="63"/>
  <c r="C18" i="63"/>
  <c r="G17" i="63"/>
  <c r="F17" i="63"/>
  <c r="D17" i="63"/>
  <c r="C17" i="63"/>
  <c r="G16" i="63"/>
  <c r="F16" i="63"/>
  <c r="D16" i="63"/>
  <c r="C16" i="63"/>
  <c r="G15" i="63"/>
  <c r="F15" i="63"/>
  <c r="D15" i="63"/>
  <c r="C15" i="63"/>
  <c r="G14" i="63"/>
  <c r="G13" i="63" s="1"/>
  <c r="F14" i="63"/>
  <c r="F13" i="63" s="1"/>
  <c r="D14" i="63"/>
  <c r="C14" i="63"/>
  <c r="G12" i="63"/>
  <c r="F12" i="63"/>
  <c r="D12" i="63"/>
  <c r="C12" i="63"/>
  <c r="G11" i="63"/>
  <c r="F11" i="63"/>
  <c r="D11" i="63"/>
  <c r="C11" i="63"/>
  <c r="G10" i="63"/>
  <c r="F10" i="63"/>
  <c r="D10" i="63"/>
  <c r="C10" i="63"/>
  <c r="G9" i="63"/>
  <c r="F9" i="63"/>
  <c r="D9" i="63"/>
  <c r="C9" i="63"/>
  <c r="G8" i="63"/>
  <c r="F8" i="63"/>
  <c r="D8" i="63"/>
  <c r="C8" i="63"/>
  <c r="G7" i="63"/>
  <c r="F7" i="63"/>
  <c r="D7" i="63"/>
  <c r="C7" i="63"/>
  <c r="G6" i="63"/>
  <c r="F6" i="63"/>
  <c r="D6" i="63"/>
  <c r="C6" i="63"/>
  <c r="G5" i="63"/>
  <c r="G4" i="63" s="1"/>
  <c r="F5" i="63"/>
  <c r="D5" i="63"/>
  <c r="D4" i="63" s="1"/>
  <c r="C5" i="63"/>
  <c r="A1" i="63"/>
  <c r="G8" i="62"/>
  <c r="F8" i="62"/>
  <c r="D8" i="62"/>
  <c r="C8" i="62"/>
  <c r="G7" i="62"/>
  <c r="F7" i="62"/>
  <c r="D7" i="62"/>
  <c r="C7" i="62"/>
  <c r="G6" i="62"/>
  <c r="F6" i="62"/>
  <c r="D6" i="62"/>
  <c r="C6" i="62"/>
  <c r="G5" i="62"/>
  <c r="F5" i="62"/>
  <c r="G4" i="69" s="1"/>
  <c r="D5" i="62"/>
  <c r="C5" i="62"/>
  <c r="G4" i="62"/>
  <c r="G3" i="62" s="1"/>
  <c r="F4" i="62"/>
  <c r="F3" i="62" s="1"/>
  <c r="AA3" i="70" s="1"/>
  <c r="D4" i="62"/>
  <c r="D3" i="62" s="1"/>
  <c r="C4" i="62"/>
  <c r="C3" i="62" s="1"/>
  <c r="Y3" i="70" s="1"/>
  <c r="A1" i="62"/>
  <c r="G75" i="61"/>
  <c r="F75" i="61"/>
  <c r="D75" i="61"/>
  <c r="C75" i="61"/>
  <c r="G74" i="61"/>
  <c r="F74" i="61"/>
  <c r="D74" i="61"/>
  <c r="C74" i="61"/>
  <c r="G73" i="61"/>
  <c r="F73" i="61"/>
  <c r="D73" i="61"/>
  <c r="C73" i="61"/>
  <c r="G72" i="61"/>
  <c r="F72" i="61"/>
  <c r="D72" i="61"/>
  <c r="C72" i="61"/>
  <c r="G71" i="61"/>
  <c r="F71" i="61"/>
  <c r="D71" i="61"/>
  <c r="C71" i="61"/>
  <c r="G70" i="61"/>
  <c r="F70" i="61"/>
  <c r="D70" i="61"/>
  <c r="C70" i="61"/>
  <c r="G69" i="61"/>
  <c r="G68" i="61" s="1"/>
  <c r="F69" i="61"/>
  <c r="D69" i="61"/>
  <c r="D68" i="61" s="1"/>
  <c r="C69" i="61"/>
  <c r="G67" i="61"/>
  <c r="F67" i="61"/>
  <c r="D67" i="61"/>
  <c r="C67" i="61"/>
  <c r="G66" i="61"/>
  <c r="F66" i="61"/>
  <c r="D66" i="61"/>
  <c r="C66" i="61"/>
  <c r="G65" i="61"/>
  <c r="F65" i="61"/>
  <c r="F64" i="61" s="1"/>
  <c r="D65" i="61"/>
  <c r="C65" i="61"/>
  <c r="C64" i="61" s="1"/>
  <c r="G63" i="61"/>
  <c r="F63" i="61"/>
  <c r="D63" i="61"/>
  <c r="C63" i="61"/>
  <c r="G62" i="61"/>
  <c r="F62" i="61"/>
  <c r="D62" i="61"/>
  <c r="C62" i="61"/>
  <c r="G61" i="61"/>
  <c r="F61" i="61"/>
  <c r="D61" i="61"/>
  <c r="C61" i="61"/>
  <c r="G60" i="61"/>
  <c r="F60" i="61"/>
  <c r="D60" i="61"/>
  <c r="C60" i="61"/>
  <c r="G59" i="61"/>
  <c r="F59" i="61"/>
  <c r="D59" i="61"/>
  <c r="C59" i="61"/>
  <c r="G58" i="61"/>
  <c r="F58" i="61"/>
  <c r="D58" i="61"/>
  <c r="C58" i="61"/>
  <c r="G57" i="61"/>
  <c r="G56" i="61" s="1"/>
  <c r="F57" i="61"/>
  <c r="D57" i="61"/>
  <c r="D56" i="61" s="1"/>
  <c r="C57" i="61"/>
  <c r="G55" i="61"/>
  <c r="F55" i="61"/>
  <c r="D55" i="61"/>
  <c r="C55" i="61"/>
  <c r="G54" i="61"/>
  <c r="F54" i="61"/>
  <c r="D54" i="61"/>
  <c r="C54" i="61"/>
  <c r="G53" i="61"/>
  <c r="F53" i="61"/>
  <c r="F52" i="61" s="1"/>
  <c r="D53" i="61"/>
  <c r="D52" i="61" s="1"/>
  <c r="C53" i="61"/>
  <c r="G51" i="61"/>
  <c r="F51" i="61"/>
  <c r="D51" i="61"/>
  <c r="C51" i="61"/>
  <c r="G50" i="61"/>
  <c r="F50" i="61"/>
  <c r="D50" i="61"/>
  <c r="C50" i="61"/>
  <c r="G49" i="61"/>
  <c r="F49" i="61"/>
  <c r="D49" i="61"/>
  <c r="C49" i="61"/>
  <c r="G48" i="61"/>
  <c r="F48" i="61"/>
  <c r="D48" i="61"/>
  <c r="C48" i="61"/>
  <c r="G47" i="61"/>
  <c r="F47" i="61"/>
  <c r="D47" i="61"/>
  <c r="C47" i="61"/>
  <c r="G46" i="61"/>
  <c r="F46" i="61"/>
  <c r="D46" i="61"/>
  <c r="C46" i="61"/>
  <c r="G45" i="61"/>
  <c r="F45" i="61"/>
  <c r="D45" i="61"/>
  <c r="C45" i="61"/>
  <c r="G44" i="61"/>
  <c r="F44" i="61"/>
  <c r="D44" i="61"/>
  <c r="C44" i="61"/>
  <c r="G43" i="61"/>
  <c r="F43" i="61"/>
  <c r="D43" i="61"/>
  <c r="D42" i="61" s="1"/>
  <c r="C43" i="61"/>
  <c r="G41" i="61"/>
  <c r="F41" i="61"/>
  <c r="D41" i="61"/>
  <c r="C41" i="61"/>
  <c r="G40" i="61"/>
  <c r="F40" i="61"/>
  <c r="D40" i="61"/>
  <c r="C40" i="61"/>
  <c r="G39" i="61"/>
  <c r="F39" i="61"/>
  <c r="D39" i="61"/>
  <c r="C39" i="61"/>
  <c r="G38" i="61"/>
  <c r="F38" i="61"/>
  <c r="D38" i="61"/>
  <c r="C38" i="61"/>
  <c r="G37" i="61"/>
  <c r="F37" i="61"/>
  <c r="D37" i="61"/>
  <c r="C37" i="61"/>
  <c r="G36" i="61"/>
  <c r="F36" i="61"/>
  <c r="D36" i="61"/>
  <c r="C36" i="61"/>
  <c r="G35" i="61"/>
  <c r="F35" i="61"/>
  <c r="D35" i="61"/>
  <c r="C35" i="61"/>
  <c r="G34" i="61"/>
  <c r="F34" i="61"/>
  <c r="D34" i="61"/>
  <c r="C34" i="61"/>
  <c r="G33" i="61"/>
  <c r="F33" i="61"/>
  <c r="F32" i="61" s="1"/>
  <c r="D33" i="61"/>
  <c r="C33" i="61"/>
  <c r="G31" i="61"/>
  <c r="F31" i="61"/>
  <c r="D31" i="61"/>
  <c r="C31" i="61"/>
  <c r="G30" i="61"/>
  <c r="F30" i="61"/>
  <c r="D30" i="61"/>
  <c r="C30" i="61"/>
  <c r="G29" i="61"/>
  <c r="F29" i="61"/>
  <c r="D29" i="61"/>
  <c r="C29" i="61"/>
  <c r="G28" i="61"/>
  <c r="F28" i="61"/>
  <c r="D28" i="61"/>
  <c r="C28" i="61"/>
  <c r="G27" i="61"/>
  <c r="F27" i="61"/>
  <c r="D27" i="61"/>
  <c r="C27" i="61"/>
  <c r="G26" i="61"/>
  <c r="F26" i="61"/>
  <c r="D26" i="61"/>
  <c r="C26" i="61"/>
  <c r="G25" i="61"/>
  <c r="F25" i="61"/>
  <c r="D25" i="61"/>
  <c r="C25" i="61"/>
  <c r="G24" i="61"/>
  <c r="F24" i="61"/>
  <c r="D24" i="61"/>
  <c r="C24" i="61"/>
  <c r="G23" i="61"/>
  <c r="F23" i="61"/>
  <c r="F22" i="61" s="1"/>
  <c r="D23" i="61"/>
  <c r="C23" i="61"/>
  <c r="G21" i="61"/>
  <c r="F21" i="61"/>
  <c r="D21" i="61"/>
  <c r="C21" i="61"/>
  <c r="G20" i="61"/>
  <c r="F20" i="61"/>
  <c r="D20" i="61"/>
  <c r="C20" i="61"/>
  <c r="G19" i="61"/>
  <c r="F19" i="61"/>
  <c r="D19" i="61"/>
  <c r="C19" i="61"/>
  <c r="G18" i="61"/>
  <c r="F18" i="61"/>
  <c r="D18" i="61"/>
  <c r="C18" i="61"/>
  <c r="G17" i="61"/>
  <c r="F17" i="61"/>
  <c r="D17" i="61"/>
  <c r="C17" i="61"/>
  <c r="G16" i="61"/>
  <c r="F16" i="61"/>
  <c r="D16" i="61"/>
  <c r="C16" i="61"/>
  <c r="G15" i="61"/>
  <c r="F15" i="61"/>
  <c r="D15" i="61"/>
  <c r="C15" i="61"/>
  <c r="G14" i="61"/>
  <c r="F14" i="61"/>
  <c r="D14" i="61"/>
  <c r="C14" i="61"/>
  <c r="G13" i="61"/>
  <c r="F13" i="61"/>
  <c r="D13" i="61"/>
  <c r="C13" i="61"/>
  <c r="G11" i="61"/>
  <c r="F11" i="61"/>
  <c r="D11" i="61"/>
  <c r="C11" i="61"/>
  <c r="G10" i="61"/>
  <c r="F10" i="61"/>
  <c r="D10" i="61"/>
  <c r="C10" i="61"/>
  <c r="G9" i="61"/>
  <c r="F9" i="61"/>
  <c r="D9" i="61"/>
  <c r="C9" i="61"/>
  <c r="G8" i="61"/>
  <c r="F8" i="61"/>
  <c r="D8" i="61"/>
  <c r="C8" i="61"/>
  <c r="G7" i="61"/>
  <c r="F7" i="61"/>
  <c r="D7" i="61"/>
  <c r="C7" i="61"/>
  <c r="G6" i="61"/>
  <c r="F6" i="61"/>
  <c r="D6" i="61"/>
  <c r="C6" i="61"/>
  <c r="G5" i="61"/>
  <c r="F5" i="61"/>
  <c r="D5" i="61"/>
  <c r="C5" i="61"/>
  <c r="A1" i="61"/>
  <c r="O4" i="60"/>
  <c r="O3" i="60" s="1"/>
  <c r="A1" i="60"/>
  <c r="G21" i="59"/>
  <c r="G20" i="59" s="1"/>
  <c r="F21" i="59"/>
  <c r="F20" i="59" s="1"/>
  <c r="D21" i="59"/>
  <c r="D20" i="59" s="1"/>
  <c r="C21" i="59"/>
  <c r="G19" i="59"/>
  <c r="F19" i="59"/>
  <c r="D19" i="59"/>
  <c r="C19" i="59"/>
  <c r="G18" i="59"/>
  <c r="F18" i="59"/>
  <c r="D18" i="59"/>
  <c r="C18" i="59"/>
  <c r="G17" i="59"/>
  <c r="F17" i="59"/>
  <c r="D17" i="59"/>
  <c r="C17" i="59"/>
  <c r="H15" i="59"/>
  <c r="I15" i="59" s="1"/>
  <c r="E15" i="59"/>
  <c r="G14" i="59"/>
  <c r="F14" i="59"/>
  <c r="D14" i="59"/>
  <c r="C14" i="59"/>
  <c r="G13" i="59"/>
  <c r="F13" i="59"/>
  <c r="D13" i="59"/>
  <c r="C13" i="59"/>
  <c r="G12" i="59"/>
  <c r="F12" i="59"/>
  <c r="D12" i="59"/>
  <c r="C12" i="59"/>
  <c r="G11" i="59"/>
  <c r="F11" i="59"/>
  <c r="D11" i="59"/>
  <c r="C11" i="59"/>
  <c r="G10" i="59"/>
  <c r="F10" i="59"/>
  <c r="D10" i="59"/>
  <c r="C10" i="59"/>
  <c r="G9" i="59"/>
  <c r="F9" i="59"/>
  <c r="D9" i="59"/>
  <c r="C9" i="59"/>
  <c r="G8" i="59"/>
  <c r="F8" i="59"/>
  <c r="D8" i="59"/>
  <c r="C8" i="59"/>
  <c r="G7" i="59"/>
  <c r="F7" i="59"/>
  <c r="D7" i="59"/>
  <c r="C7" i="59"/>
  <c r="G6" i="59"/>
  <c r="F6" i="59"/>
  <c r="D6" i="59"/>
  <c r="C6" i="59"/>
  <c r="G5" i="59"/>
  <c r="F5" i="59"/>
  <c r="D5" i="59"/>
  <c r="C5" i="59"/>
  <c r="A1" i="59"/>
  <c r="G18" i="58"/>
  <c r="F18" i="58"/>
  <c r="D18" i="58"/>
  <c r="C18" i="58"/>
  <c r="G17" i="58"/>
  <c r="F17" i="58"/>
  <c r="D17" i="58"/>
  <c r="C17" i="58"/>
  <c r="G16" i="58"/>
  <c r="F16" i="58"/>
  <c r="D16" i="58"/>
  <c r="C16" i="58"/>
  <c r="G15" i="58"/>
  <c r="F15" i="58"/>
  <c r="D15" i="58"/>
  <c r="C15" i="58"/>
  <c r="G14" i="58"/>
  <c r="F14" i="58"/>
  <c r="D14" i="58"/>
  <c r="C14" i="58"/>
  <c r="G12" i="58"/>
  <c r="F12" i="58"/>
  <c r="D12" i="58"/>
  <c r="C12" i="58"/>
  <c r="G11" i="58"/>
  <c r="F11" i="58"/>
  <c r="D11" i="58"/>
  <c r="C11" i="58"/>
  <c r="G10" i="58"/>
  <c r="F10" i="58"/>
  <c r="D10" i="58"/>
  <c r="C10" i="58"/>
  <c r="G9" i="58"/>
  <c r="F9" i="58"/>
  <c r="D9" i="58"/>
  <c r="C9" i="58"/>
  <c r="G8" i="58"/>
  <c r="F8" i="58"/>
  <c r="D8" i="58"/>
  <c r="C8" i="58"/>
  <c r="G7" i="58"/>
  <c r="F7" i="58"/>
  <c r="D7" i="58"/>
  <c r="C7" i="58"/>
  <c r="G6" i="58"/>
  <c r="F6" i="58"/>
  <c r="D6" i="58"/>
  <c r="C6" i="58"/>
  <c r="G5" i="58"/>
  <c r="F5" i="58"/>
  <c r="D5" i="58"/>
  <c r="C5" i="58"/>
  <c r="G4" i="58"/>
  <c r="F4" i="58"/>
  <c r="D4" i="58"/>
  <c r="C4" i="58"/>
  <c r="A1" i="58"/>
  <c r="J4" i="57"/>
  <c r="J3" i="57" s="1"/>
  <c r="A1" i="57"/>
  <c r="A1" i="56"/>
  <c r="F20" i="55"/>
  <c r="E20" i="55"/>
  <c r="F9" i="55"/>
  <c r="E9" i="55"/>
  <c r="A1" i="55"/>
  <c r="A1" i="54"/>
  <c r="D53" i="53"/>
  <c r="C53" i="53"/>
  <c r="D52" i="53"/>
  <c r="C52" i="53"/>
  <c r="D51" i="53"/>
  <c r="D48" i="53"/>
  <c r="C48" i="53"/>
  <c r="D47" i="53"/>
  <c r="C47" i="53"/>
  <c r="D46" i="53"/>
  <c r="D42" i="53"/>
  <c r="C42" i="53"/>
  <c r="D37" i="53"/>
  <c r="C37" i="53"/>
  <c r="D36" i="53"/>
  <c r="C36" i="53"/>
  <c r="A1" i="53"/>
  <c r="A1" i="52"/>
  <c r="F23" i="51"/>
  <c r="F18" i="51"/>
  <c r="F14" i="51"/>
  <c r="F13" i="51"/>
  <c r="F8" i="51"/>
  <c r="F4" i="51"/>
  <c r="A1" i="51"/>
  <c r="A1" i="50"/>
  <c r="A1" i="49"/>
  <c r="DN77" i="82"/>
  <c r="DM77" i="82"/>
  <c r="DK77" i="82"/>
  <c r="DJ77" i="82"/>
  <c r="DN76" i="82"/>
  <c r="DM76" i="82"/>
  <c r="DK76" i="82"/>
  <c r="DJ76" i="82"/>
  <c r="DN75" i="82"/>
  <c r="DM75" i="82"/>
  <c r="DK75" i="82"/>
  <c r="DJ75" i="82"/>
  <c r="DN74" i="82"/>
  <c r="DM74" i="82"/>
  <c r="DK74" i="82"/>
  <c r="DJ74" i="82"/>
  <c r="DN73" i="82"/>
  <c r="DM73" i="82"/>
  <c r="DK73" i="82"/>
  <c r="DJ73" i="82"/>
  <c r="DN72" i="82"/>
  <c r="DM72" i="82"/>
  <c r="DK72" i="82"/>
  <c r="DJ72" i="82"/>
  <c r="DN71" i="82"/>
  <c r="DM71" i="82"/>
  <c r="DK71" i="82"/>
  <c r="DK70" i="82" s="1"/>
  <c r="DJ71" i="82"/>
  <c r="DN69" i="82"/>
  <c r="DM69" i="82"/>
  <c r="DK69" i="82"/>
  <c r="DJ69" i="82"/>
  <c r="DN68" i="82"/>
  <c r="DM68" i="82"/>
  <c r="DK68" i="82"/>
  <c r="DJ68" i="82"/>
  <c r="DN67" i="82"/>
  <c r="DN66" i="82" s="1"/>
  <c r="DM67" i="82"/>
  <c r="DK67" i="82"/>
  <c r="DK66" i="82" s="1"/>
  <c r="DJ67" i="82"/>
  <c r="DN65" i="82"/>
  <c r="DM65" i="82"/>
  <c r="DK65" i="82"/>
  <c r="DJ65" i="82"/>
  <c r="DN64" i="82"/>
  <c r="DM64" i="82"/>
  <c r="DK64" i="82"/>
  <c r="DJ64" i="82"/>
  <c r="DN63" i="82"/>
  <c r="DM63" i="82"/>
  <c r="DK63" i="82"/>
  <c r="DJ63" i="82"/>
  <c r="DN62" i="82"/>
  <c r="DM62" i="82"/>
  <c r="DK62" i="82"/>
  <c r="DJ62" i="82"/>
  <c r="DN61" i="82"/>
  <c r="DM61" i="82"/>
  <c r="DK61" i="82"/>
  <c r="DJ61" i="82"/>
  <c r="DN60" i="82"/>
  <c r="DM60" i="82"/>
  <c r="DK60" i="82"/>
  <c r="DJ60" i="82"/>
  <c r="DN59" i="82"/>
  <c r="DM59" i="82"/>
  <c r="DK59" i="82"/>
  <c r="DJ59" i="82"/>
  <c r="DN57" i="82"/>
  <c r="DM57" i="82"/>
  <c r="DK57" i="82"/>
  <c r="DJ57" i="82"/>
  <c r="DN56" i="82"/>
  <c r="DM56" i="82"/>
  <c r="DK56" i="82"/>
  <c r="DJ56" i="82"/>
  <c r="DN55" i="82"/>
  <c r="DM55" i="82"/>
  <c r="DK55" i="82"/>
  <c r="DJ55" i="82"/>
  <c r="DN53" i="82"/>
  <c r="DM53" i="82"/>
  <c r="DK53" i="82"/>
  <c r="DJ53" i="82"/>
  <c r="DN52" i="82"/>
  <c r="DM52" i="82"/>
  <c r="DK52" i="82"/>
  <c r="DJ52" i="82"/>
  <c r="AG52" i="82"/>
  <c r="DN51" i="82"/>
  <c r="DM51" i="82"/>
  <c r="DK51" i="82"/>
  <c r="DJ51" i="82"/>
  <c r="DN50" i="82"/>
  <c r="DM50" i="82"/>
  <c r="DK50" i="82"/>
  <c r="DJ50" i="82"/>
  <c r="DN49" i="82"/>
  <c r="DM49" i="82"/>
  <c r="DK49" i="82"/>
  <c r="DJ49" i="82"/>
  <c r="DN48" i="82"/>
  <c r="DM48" i="82"/>
  <c r="DK48" i="82"/>
  <c r="DJ48" i="82"/>
  <c r="DN47" i="82"/>
  <c r="DM47" i="82"/>
  <c r="DK47" i="82"/>
  <c r="DJ47" i="82"/>
  <c r="AG47" i="82"/>
  <c r="DN46" i="82"/>
  <c r="DM46" i="82"/>
  <c r="DK46" i="82"/>
  <c r="DJ46" i="82"/>
  <c r="DN45" i="82"/>
  <c r="DM45" i="82"/>
  <c r="DK45" i="82"/>
  <c r="DJ45" i="82"/>
  <c r="DN43" i="82"/>
  <c r="DM43" i="82"/>
  <c r="DK43" i="82"/>
  <c r="DJ43" i="82"/>
  <c r="DN42" i="82"/>
  <c r="DM42" i="82"/>
  <c r="DK42" i="82"/>
  <c r="DJ42" i="82"/>
  <c r="DN41" i="82"/>
  <c r="DM41" i="82"/>
  <c r="DK41" i="82"/>
  <c r="DJ41" i="82"/>
  <c r="DN40" i="82"/>
  <c r="DM40" i="82"/>
  <c r="DK40" i="82"/>
  <c r="DJ40" i="82"/>
  <c r="DN39" i="82"/>
  <c r="DM39" i="82"/>
  <c r="DK39" i="82"/>
  <c r="DJ39" i="82"/>
  <c r="DN38" i="82"/>
  <c r="DM38" i="82"/>
  <c r="DK38" i="82"/>
  <c r="DJ38" i="82"/>
  <c r="DN37" i="82"/>
  <c r="DM37" i="82"/>
  <c r="DK37" i="82"/>
  <c r="DJ37" i="82"/>
  <c r="DN36" i="82"/>
  <c r="DM36" i="82"/>
  <c r="DK36" i="82"/>
  <c r="DJ36" i="82"/>
  <c r="BM36" i="82"/>
  <c r="BM35" i="82" s="1"/>
  <c r="BM34" i="82" s="1"/>
  <c r="BL36" i="82"/>
  <c r="BL35" i="82" s="1"/>
  <c r="BL34" i="82" s="1"/>
  <c r="BJ36" i="82"/>
  <c r="BJ35" i="82" s="1"/>
  <c r="BJ34" i="82" s="1"/>
  <c r="BI36" i="82"/>
  <c r="BI35" i="82" s="1"/>
  <c r="BI34" i="82" s="1"/>
  <c r="FA35" i="82"/>
  <c r="EZ35" i="82"/>
  <c r="EX35" i="82"/>
  <c r="EW35" i="82"/>
  <c r="DN35" i="82"/>
  <c r="DM35" i="82"/>
  <c r="DK35" i="82"/>
  <c r="DK34" i="82" s="1"/>
  <c r="DJ35" i="82"/>
  <c r="FA34" i="82"/>
  <c r="EZ34" i="82"/>
  <c r="EX34" i="82"/>
  <c r="EW34" i="82"/>
  <c r="FA33" i="82"/>
  <c r="EZ33" i="82"/>
  <c r="EX33" i="82"/>
  <c r="EW33" i="82"/>
  <c r="DN33" i="82"/>
  <c r="DM33" i="82"/>
  <c r="DK33" i="82"/>
  <c r="DJ33" i="82"/>
  <c r="BM33" i="82"/>
  <c r="BM32" i="82" s="1"/>
  <c r="BL33" i="82"/>
  <c r="BL32" i="82" s="1"/>
  <c r="BJ33" i="82"/>
  <c r="BJ32" i="82" s="1"/>
  <c r="BI33" i="82"/>
  <c r="BI32" i="82" s="1"/>
  <c r="FA32" i="82"/>
  <c r="FA31" i="82" s="1"/>
  <c r="EZ32" i="82"/>
  <c r="EZ31" i="82" s="1"/>
  <c r="EX32" i="82"/>
  <c r="EX31" i="82" s="1"/>
  <c r="EW32" i="82"/>
  <c r="EW31" i="82" s="1"/>
  <c r="DN32" i="82"/>
  <c r="DM32" i="82"/>
  <c r="DK32" i="82"/>
  <c r="DJ32" i="82"/>
  <c r="DN31" i="82"/>
  <c r="DM31" i="82"/>
  <c r="DK31" i="82"/>
  <c r="DJ31" i="82"/>
  <c r="BM31" i="82"/>
  <c r="BL31" i="82"/>
  <c r="BJ31" i="82"/>
  <c r="BI31" i="82"/>
  <c r="FA30" i="82"/>
  <c r="EZ30" i="82"/>
  <c r="EX30" i="82"/>
  <c r="EW30" i="82"/>
  <c r="DN30" i="82"/>
  <c r="DM30" i="82"/>
  <c r="DK30" i="82"/>
  <c r="DJ30" i="82"/>
  <c r="BM30" i="82"/>
  <c r="BL30" i="82"/>
  <c r="BJ30" i="82"/>
  <c r="BJ29" i="82" s="1"/>
  <c r="BJ28" i="82" s="1"/>
  <c r="BI30" i="82"/>
  <c r="FA29" i="82"/>
  <c r="EZ29" i="82"/>
  <c r="EX29" i="82"/>
  <c r="EW29" i="82"/>
  <c r="DN29" i="82"/>
  <c r="DM29" i="82"/>
  <c r="DK29" i="82"/>
  <c r="DJ29" i="82"/>
  <c r="FA28" i="82"/>
  <c r="EZ28" i="82"/>
  <c r="EX28" i="82"/>
  <c r="EW28" i="82"/>
  <c r="DN28" i="82"/>
  <c r="DM28" i="82"/>
  <c r="DK28" i="82"/>
  <c r="DJ28" i="82"/>
  <c r="FA27" i="82"/>
  <c r="EZ27" i="82"/>
  <c r="EX27" i="82"/>
  <c r="EW27" i="82"/>
  <c r="DN27" i="82"/>
  <c r="DM27" i="82"/>
  <c r="DK27" i="82"/>
  <c r="DJ27" i="82"/>
  <c r="DN26" i="82"/>
  <c r="DM26" i="82"/>
  <c r="DK26" i="82"/>
  <c r="DJ26" i="82"/>
  <c r="BR26" i="82"/>
  <c r="FA25" i="82"/>
  <c r="EZ25" i="82"/>
  <c r="EX25" i="82"/>
  <c r="EW25" i="82"/>
  <c r="DN25" i="82"/>
  <c r="DM25" i="82"/>
  <c r="DK25" i="82"/>
  <c r="DJ25" i="82"/>
  <c r="FA24" i="82"/>
  <c r="EZ24" i="82"/>
  <c r="EX24" i="82"/>
  <c r="EW24" i="82"/>
  <c r="DN23" i="82"/>
  <c r="DM23" i="82"/>
  <c r="DK23" i="82"/>
  <c r="DJ23" i="82"/>
  <c r="BX23" i="82"/>
  <c r="BX22" i="82" s="1"/>
  <c r="BX39" i="82" s="1"/>
  <c r="BW23" i="82"/>
  <c r="BW22" i="82" s="1"/>
  <c r="BW39" i="82" s="1"/>
  <c r="BU23" i="82"/>
  <c r="BU22" i="82" s="1"/>
  <c r="BU39" i="82" s="1"/>
  <c r="BT23" i="82"/>
  <c r="BT22" i="82" s="1"/>
  <c r="BT39" i="82" s="1"/>
  <c r="AZ23" i="82"/>
  <c r="AY23" i="82"/>
  <c r="FA22" i="82"/>
  <c r="EZ22" i="82"/>
  <c r="EX22" i="82"/>
  <c r="EW22" i="82"/>
  <c r="DN22" i="82"/>
  <c r="DM22" i="82"/>
  <c r="DK22" i="82"/>
  <c r="DJ22" i="82"/>
  <c r="BG22" i="82"/>
  <c r="U22" i="82"/>
  <c r="FA21" i="82"/>
  <c r="EZ21" i="82"/>
  <c r="EX21" i="82"/>
  <c r="EW21" i="82"/>
  <c r="DN21" i="82"/>
  <c r="DM21" i="82"/>
  <c r="DK21" i="82"/>
  <c r="DJ21" i="82"/>
  <c r="BX21" i="82"/>
  <c r="BW21" i="82"/>
  <c r="BU21" i="82"/>
  <c r="BT21" i="82"/>
  <c r="FA20" i="82"/>
  <c r="EZ20" i="82"/>
  <c r="EX20" i="82"/>
  <c r="EW20" i="82"/>
  <c r="DN20" i="82"/>
  <c r="DM20" i="82"/>
  <c r="DK20" i="82"/>
  <c r="DJ20" i="82"/>
  <c r="BX20" i="82"/>
  <c r="BW20" i="82"/>
  <c r="BU20" i="82"/>
  <c r="BT20" i="82"/>
  <c r="DN19" i="82"/>
  <c r="DM19" i="82"/>
  <c r="DK19" i="82"/>
  <c r="DJ19" i="82"/>
  <c r="BX19" i="82"/>
  <c r="BW19" i="82"/>
  <c r="BU19" i="82"/>
  <c r="BT19" i="82"/>
  <c r="BM19" i="82"/>
  <c r="BL19" i="82"/>
  <c r="BJ19" i="82"/>
  <c r="BI19" i="82"/>
  <c r="FA18" i="82"/>
  <c r="EZ18" i="82"/>
  <c r="EX18" i="82"/>
  <c r="EW18" i="82"/>
  <c r="DN18" i="82"/>
  <c r="DM18" i="82"/>
  <c r="DK18" i="82"/>
  <c r="DJ18" i="82"/>
  <c r="BM18" i="82"/>
  <c r="BL18" i="82"/>
  <c r="BJ18" i="82"/>
  <c r="BI18" i="82"/>
  <c r="U18" i="82"/>
  <c r="FA17" i="82"/>
  <c r="EZ17" i="82"/>
  <c r="EX17" i="82"/>
  <c r="EW17" i="82"/>
  <c r="DN17" i="82"/>
  <c r="DM17" i="82"/>
  <c r="DK17" i="82"/>
  <c r="DJ17" i="82"/>
  <c r="BY17" i="82"/>
  <c r="BV17" i="82"/>
  <c r="BM17" i="82"/>
  <c r="BL17" i="82"/>
  <c r="BJ17" i="82"/>
  <c r="BI17" i="82"/>
  <c r="FA16" i="82"/>
  <c r="EZ16" i="82"/>
  <c r="EX16" i="82"/>
  <c r="EW16" i="82"/>
  <c r="DN16" i="82"/>
  <c r="DM16" i="82"/>
  <c r="DK16" i="82"/>
  <c r="DJ16" i="82"/>
  <c r="BX16" i="82"/>
  <c r="BW16" i="82"/>
  <c r="BU16" i="82"/>
  <c r="BT16" i="82"/>
  <c r="BM16" i="82"/>
  <c r="BL16" i="82"/>
  <c r="BJ16" i="82"/>
  <c r="BI16" i="82"/>
  <c r="FA15" i="82"/>
  <c r="EZ15" i="82"/>
  <c r="EX15" i="82"/>
  <c r="EW15" i="82"/>
  <c r="ER15" i="82"/>
  <c r="EQ15" i="82"/>
  <c r="EP15" i="82"/>
  <c r="DN15" i="82"/>
  <c r="DM15" i="82"/>
  <c r="DK15" i="82"/>
  <c r="DJ15" i="82"/>
  <c r="BX15" i="82"/>
  <c r="BW15" i="82"/>
  <c r="BU15" i="82"/>
  <c r="BT15" i="82"/>
  <c r="BM15" i="82"/>
  <c r="BL15" i="82"/>
  <c r="BJ15" i="82"/>
  <c r="BI15" i="82"/>
  <c r="FA14" i="82"/>
  <c r="EZ14" i="82"/>
  <c r="EX14" i="82"/>
  <c r="EW14" i="82"/>
  <c r="BX14" i="82"/>
  <c r="BW14" i="82"/>
  <c r="BU14" i="82"/>
  <c r="BT14" i="82"/>
  <c r="BM14" i="82"/>
  <c r="BL14" i="82"/>
  <c r="BJ14" i="82"/>
  <c r="BI14" i="82"/>
  <c r="FA13" i="82"/>
  <c r="EZ13" i="82"/>
  <c r="EX13" i="82"/>
  <c r="EW13" i="82"/>
  <c r="DN13" i="82"/>
  <c r="DM13" i="82"/>
  <c r="DK13" i="82"/>
  <c r="DJ13" i="82"/>
  <c r="BX13" i="82"/>
  <c r="BW13" i="82"/>
  <c r="BU13" i="82"/>
  <c r="BT13" i="82"/>
  <c r="BM13" i="82"/>
  <c r="BL13" i="82"/>
  <c r="BJ13" i="82"/>
  <c r="BI13" i="82"/>
  <c r="FA12" i="82"/>
  <c r="EZ12" i="82"/>
  <c r="EX12" i="82"/>
  <c r="EW12" i="82"/>
  <c r="DN12" i="82"/>
  <c r="DM12" i="82"/>
  <c r="DK12" i="82"/>
  <c r="DJ12" i="82"/>
  <c r="BX12" i="82"/>
  <c r="BW12" i="82"/>
  <c r="BU12" i="82"/>
  <c r="BT12" i="82"/>
  <c r="BM12" i="82"/>
  <c r="BL12" i="82"/>
  <c r="BJ12" i="82"/>
  <c r="BI12" i="82"/>
  <c r="AZ12" i="82"/>
  <c r="AY12" i="82"/>
  <c r="U12" i="82"/>
  <c r="FA11" i="82"/>
  <c r="EZ11" i="82"/>
  <c r="EX11" i="82"/>
  <c r="EW11" i="82"/>
  <c r="DN11" i="82"/>
  <c r="DM11" i="82"/>
  <c r="DK11" i="82"/>
  <c r="DJ11" i="82"/>
  <c r="BX11" i="82"/>
  <c r="BW11" i="82"/>
  <c r="BU11" i="82"/>
  <c r="BT11" i="82"/>
  <c r="BM11" i="82"/>
  <c r="BL11" i="82"/>
  <c r="BJ11" i="82"/>
  <c r="BI11" i="82"/>
  <c r="DN10" i="82"/>
  <c r="DM10" i="82"/>
  <c r="DK10" i="82"/>
  <c r="DJ10" i="82"/>
  <c r="CT8" i="82"/>
  <c r="CT7" i="82" s="1"/>
  <c r="CT6" i="82" s="1"/>
  <c r="CT5" i="82" s="1"/>
  <c r="CT4" i="82" s="1"/>
  <c r="CS8" i="82"/>
  <c r="CS7" i="82" s="1"/>
  <c r="CS6" i="82" s="1"/>
  <c r="CS5" i="82" s="1"/>
  <c r="CS4" i="82" s="1"/>
  <c r="CQ8" i="82"/>
  <c r="CQ7" i="82" s="1"/>
  <c r="CQ6" i="82" s="1"/>
  <c r="CQ5" i="82" s="1"/>
  <c r="CQ4" i="82" s="1"/>
  <c r="CP8" i="82"/>
  <c r="CP7" i="82" s="1"/>
  <c r="CP6" i="82" s="1"/>
  <c r="CP5" i="82" s="1"/>
  <c r="CP4" i="82" s="1"/>
  <c r="CI10" i="82"/>
  <c r="CH10" i="82"/>
  <c r="CF10" i="82"/>
  <c r="CE10" i="82"/>
  <c r="BX10" i="82"/>
  <c r="BW10" i="82"/>
  <c r="BU10" i="82"/>
  <c r="BT10" i="82"/>
  <c r="BM10" i="82"/>
  <c r="BL10" i="82"/>
  <c r="BJ10" i="82"/>
  <c r="BI10" i="82"/>
  <c r="FA9" i="82"/>
  <c r="EZ9" i="82"/>
  <c r="EX9" i="82"/>
  <c r="EW9" i="82"/>
  <c r="DN9" i="82"/>
  <c r="DM9" i="82"/>
  <c r="DK9" i="82"/>
  <c r="DJ9" i="82"/>
  <c r="CI9" i="82"/>
  <c r="CH9" i="82"/>
  <c r="CF9" i="82"/>
  <c r="CE9" i="82"/>
  <c r="BX9" i="82"/>
  <c r="BW9" i="82"/>
  <c r="BU9" i="82"/>
  <c r="BT9" i="82"/>
  <c r="BM9" i="82"/>
  <c r="BL9" i="82"/>
  <c r="BJ9" i="82"/>
  <c r="BI9" i="82"/>
  <c r="FA8" i="82"/>
  <c r="EZ8" i="82"/>
  <c r="EX8" i="82"/>
  <c r="EW8" i="82"/>
  <c r="DN8" i="82"/>
  <c r="DM8" i="82"/>
  <c r="DK8" i="82"/>
  <c r="DJ8" i="82"/>
  <c r="CI8" i="82"/>
  <c r="CH8" i="82"/>
  <c r="CF8" i="82"/>
  <c r="CE8" i="82"/>
  <c r="BX8" i="82"/>
  <c r="BW8" i="82"/>
  <c r="BU8" i="82"/>
  <c r="BT8" i="82"/>
  <c r="BM8" i="82"/>
  <c r="BL8" i="82"/>
  <c r="BJ8" i="82"/>
  <c r="BI8" i="82"/>
  <c r="U8" i="82"/>
  <c r="U17" i="82" s="1"/>
  <c r="U27" i="82" s="1"/>
  <c r="DN7" i="82"/>
  <c r="DM7" i="82"/>
  <c r="DK7" i="82"/>
  <c r="DJ7" i="82"/>
  <c r="CI7" i="82"/>
  <c r="CH7" i="82"/>
  <c r="CF7" i="82"/>
  <c r="CE7" i="82"/>
  <c r="BX7" i="82"/>
  <c r="BW7" i="82"/>
  <c r="BU7" i="82"/>
  <c r="BT7" i="82"/>
  <c r="BM7" i="82"/>
  <c r="BL7" i="82"/>
  <c r="BJ7" i="82"/>
  <c r="BI7" i="82"/>
  <c r="CI6" i="82"/>
  <c r="CH6" i="82"/>
  <c r="CF6" i="82"/>
  <c r="CE6" i="82"/>
  <c r="BM6" i="82"/>
  <c r="BL6" i="82"/>
  <c r="BJ6" i="82"/>
  <c r="BI6" i="82"/>
  <c r="EU2" i="82"/>
  <c r="EO2" i="82"/>
  <c r="EI2" i="82"/>
  <c r="EB2" i="82"/>
  <c r="DH2" i="82"/>
  <c r="CN2" i="82"/>
  <c r="CC2" i="82"/>
  <c r="BG2" i="82"/>
  <c r="BC2" i="82"/>
  <c r="AU2" i="82"/>
  <c r="AL2" i="82"/>
  <c r="AE2" i="82"/>
  <c r="Y2" i="82"/>
  <c r="P2" i="82"/>
  <c r="I2" i="82"/>
  <c r="B2" i="82"/>
  <c r="CB77" i="23"/>
  <c r="CA77" i="23"/>
  <c r="BY77" i="23"/>
  <c r="BX77" i="23"/>
  <c r="CB76" i="23"/>
  <c r="CA76" i="23"/>
  <c r="BY76" i="23"/>
  <c r="BX76" i="23"/>
  <c r="CB75" i="23"/>
  <c r="CA75" i="23"/>
  <c r="BY75" i="23"/>
  <c r="BX75" i="23"/>
  <c r="CB74" i="23"/>
  <c r="CA74" i="23"/>
  <c r="BY74" i="23"/>
  <c r="BX74" i="23"/>
  <c r="CB73" i="23"/>
  <c r="CA73" i="23"/>
  <c r="BY73" i="23"/>
  <c r="BX73" i="23"/>
  <c r="CB72" i="23"/>
  <c r="CA72" i="23"/>
  <c r="BY72" i="23"/>
  <c r="BX72" i="23"/>
  <c r="CB71" i="23"/>
  <c r="CB70" i="23" s="1"/>
  <c r="CA71" i="23"/>
  <c r="BY71" i="23"/>
  <c r="BX71" i="23"/>
  <c r="CB69" i="23"/>
  <c r="CA69" i="23"/>
  <c r="BY69" i="23"/>
  <c r="BX69" i="23"/>
  <c r="CB68" i="23"/>
  <c r="CA68" i="23"/>
  <c r="BY68" i="23"/>
  <c r="BX68" i="23"/>
  <c r="CB67" i="23"/>
  <c r="CA67" i="23"/>
  <c r="CA66" i="23" s="1"/>
  <c r="BY67" i="23"/>
  <c r="BY66" i="23" s="1"/>
  <c r="BX67" i="23"/>
  <c r="CB65" i="23"/>
  <c r="CA65" i="23"/>
  <c r="BY65" i="23"/>
  <c r="BX65" i="23"/>
  <c r="CB64" i="23"/>
  <c r="CA64" i="23"/>
  <c r="BY64" i="23"/>
  <c r="BX64" i="23"/>
  <c r="CB63" i="23"/>
  <c r="CA63" i="23"/>
  <c r="BY63" i="23"/>
  <c r="BX63" i="23"/>
  <c r="CB62" i="23"/>
  <c r="CA62" i="23"/>
  <c r="BY62" i="23"/>
  <c r="BX62" i="23"/>
  <c r="CB61" i="23"/>
  <c r="CA61" i="23"/>
  <c r="BY61" i="23"/>
  <c r="BX61" i="23"/>
  <c r="CB60" i="23"/>
  <c r="CA60" i="23"/>
  <c r="BY60" i="23"/>
  <c r="BX60" i="23"/>
  <c r="CB59" i="23"/>
  <c r="CA59" i="23"/>
  <c r="BY59" i="23"/>
  <c r="BX59" i="23"/>
  <c r="CB57" i="23"/>
  <c r="CA57" i="23"/>
  <c r="BY57" i="23"/>
  <c r="BX57" i="23"/>
  <c r="CB56" i="23"/>
  <c r="CA56" i="23"/>
  <c r="BY56" i="23"/>
  <c r="BX56" i="23"/>
  <c r="CB55" i="23"/>
  <c r="CB54" i="23" s="1"/>
  <c r="CA55" i="23"/>
  <c r="BY55" i="23"/>
  <c r="BX55" i="23"/>
  <c r="CB53" i="23"/>
  <c r="CA53" i="23"/>
  <c r="BY53" i="23"/>
  <c r="BX53" i="23"/>
  <c r="CB52" i="23"/>
  <c r="CA52" i="23"/>
  <c r="BY52" i="23"/>
  <c r="BX52" i="23"/>
  <c r="AK52" i="23"/>
  <c r="C51" i="53" s="1"/>
  <c r="CB51" i="23"/>
  <c r="CA51" i="23"/>
  <c r="BY51" i="23"/>
  <c r="BX51" i="23"/>
  <c r="CB50" i="23"/>
  <c r="CA50" i="23"/>
  <c r="BY50" i="23"/>
  <c r="BX50" i="23"/>
  <c r="CB49" i="23"/>
  <c r="CA49" i="23"/>
  <c r="BY49" i="23"/>
  <c r="BX49" i="23"/>
  <c r="CB48" i="23"/>
  <c r="CA48" i="23"/>
  <c r="BY48" i="23"/>
  <c r="BX48" i="23"/>
  <c r="CB47" i="23"/>
  <c r="CA47" i="23"/>
  <c r="BY47" i="23"/>
  <c r="BX47" i="23"/>
  <c r="AK47" i="23"/>
  <c r="C46" i="53" s="1"/>
  <c r="CB46" i="23"/>
  <c r="CA46" i="23"/>
  <c r="BY46" i="23"/>
  <c r="BX46" i="23"/>
  <c r="CB45" i="23"/>
  <c r="CA45" i="23"/>
  <c r="BY45" i="23"/>
  <c r="BX45" i="23"/>
  <c r="BQ46" i="23"/>
  <c r="BQ45" i="23" s="1"/>
  <c r="BP46" i="23"/>
  <c r="BP45" i="23" s="1"/>
  <c r="BN46" i="23"/>
  <c r="BN45" i="23" s="1"/>
  <c r="BM46" i="23"/>
  <c r="CB43" i="23"/>
  <c r="CA43" i="23"/>
  <c r="BY43" i="23"/>
  <c r="BX43" i="23"/>
  <c r="BQ44" i="23"/>
  <c r="BP44" i="23"/>
  <c r="BN44" i="23"/>
  <c r="BM44" i="23"/>
  <c r="CB42" i="23"/>
  <c r="CA42" i="23"/>
  <c r="BY42" i="23"/>
  <c r="BX42" i="23"/>
  <c r="BQ43" i="23"/>
  <c r="BP43" i="23"/>
  <c r="BN43" i="23"/>
  <c r="BM43" i="23"/>
  <c r="CB41" i="23"/>
  <c r="CA41" i="23"/>
  <c r="BY41" i="23"/>
  <c r="BX41" i="23"/>
  <c r="BQ42" i="23"/>
  <c r="BP42" i="23"/>
  <c r="BN42" i="23"/>
  <c r="BM42" i="23"/>
  <c r="CB40" i="23"/>
  <c r="CA40" i="23"/>
  <c r="BY40" i="23"/>
  <c r="BX40" i="23"/>
  <c r="CB39" i="23"/>
  <c r="CA39" i="23"/>
  <c r="BY39" i="23"/>
  <c r="BX39" i="23"/>
  <c r="BR40" i="23"/>
  <c r="BS40" i="23" s="1"/>
  <c r="BO40" i="23"/>
  <c r="CB38" i="23"/>
  <c r="CA38" i="23"/>
  <c r="BY38" i="23"/>
  <c r="BX38" i="23"/>
  <c r="BQ39" i="23"/>
  <c r="BP39" i="23"/>
  <c r="BN39" i="23"/>
  <c r="BM39" i="23"/>
  <c r="CB37" i="23"/>
  <c r="CA37" i="23"/>
  <c r="BY37" i="23"/>
  <c r="BX37" i="23"/>
  <c r="BQ38" i="23"/>
  <c r="BP38" i="23"/>
  <c r="BN38" i="23"/>
  <c r="BM38" i="23"/>
  <c r="CB36" i="23"/>
  <c r="CA36" i="23"/>
  <c r="BY36" i="23"/>
  <c r="BX36" i="23"/>
  <c r="BQ37" i="23"/>
  <c r="BP37" i="23"/>
  <c r="BN37" i="23"/>
  <c r="BM37" i="23"/>
  <c r="DE35" i="23"/>
  <c r="DD35" i="23"/>
  <c r="DB35" i="23"/>
  <c r="DA35" i="23"/>
  <c r="CB35" i="23"/>
  <c r="CA35" i="23"/>
  <c r="BY35" i="23"/>
  <c r="BX35" i="23"/>
  <c r="BQ36" i="23"/>
  <c r="BP36" i="23"/>
  <c r="BN36" i="23"/>
  <c r="BM36" i="23"/>
  <c r="DE34" i="23"/>
  <c r="DD34" i="23"/>
  <c r="DB34" i="23"/>
  <c r="DA34" i="23"/>
  <c r="BQ35" i="23"/>
  <c r="BP35" i="23"/>
  <c r="BN35" i="23"/>
  <c r="BM35" i="23"/>
  <c r="DE33" i="23"/>
  <c r="DD33" i="23"/>
  <c r="DB33" i="23"/>
  <c r="DA33" i="23"/>
  <c r="CB33" i="23"/>
  <c r="CA33" i="23"/>
  <c r="BY33" i="23"/>
  <c r="BX33" i="23"/>
  <c r="BQ34" i="23"/>
  <c r="BP34" i="23"/>
  <c r="BN34" i="23"/>
  <c r="BM34" i="23"/>
  <c r="DE32" i="23"/>
  <c r="DE31" i="23" s="1"/>
  <c r="DD32" i="23"/>
  <c r="DD31" i="23" s="1"/>
  <c r="DB32" i="23"/>
  <c r="DB31" i="23" s="1"/>
  <c r="DA32" i="23"/>
  <c r="DA31" i="23" s="1"/>
  <c r="CB32" i="23"/>
  <c r="CA32" i="23"/>
  <c r="BY32" i="23"/>
  <c r="BX32" i="23"/>
  <c r="BQ33" i="23"/>
  <c r="BP33" i="23"/>
  <c r="BN33" i="23"/>
  <c r="BM33" i="23"/>
  <c r="CB31" i="23"/>
  <c r="CA31" i="23"/>
  <c r="BY31" i="23"/>
  <c r="BX31" i="23"/>
  <c r="BQ32" i="23"/>
  <c r="BP32" i="23"/>
  <c r="BN32" i="23"/>
  <c r="BM32" i="23"/>
  <c r="DE30" i="23"/>
  <c r="DD30" i="23"/>
  <c r="DB30" i="23"/>
  <c r="DA30" i="23"/>
  <c r="CB30" i="23"/>
  <c r="CA30" i="23"/>
  <c r="BY30" i="23"/>
  <c r="BX30" i="23"/>
  <c r="BQ31" i="23"/>
  <c r="BP31" i="23"/>
  <c r="BN31" i="23"/>
  <c r="BM31" i="23"/>
  <c r="DE29" i="23"/>
  <c r="DD29" i="23"/>
  <c r="DB29" i="23"/>
  <c r="DA29" i="23"/>
  <c r="CB29" i="23"/>
  <c r="CA29" i="23"/>
  <c r="BY29" i="23"/>
  <c r="BX29" i="23"/>
  <c r="BQ30" i="23"/>
  <c r="BP30" i="23"/>
  <c r="BN30" i="23"/>
  <c r="BM30" i="23"/>
  <c r="DE28" i="23"/>
  <c r="DD28" i="23"/>
  <c r="DB28" i="23"/>
  <c r="DA28" i="23"/>
  <c r="CB28" i="23"/>
  <c r="CA28" i="23"/>
  <c r="BY28" i="23"/>
  <c r="BX28" i="23"/>
  <c r="DE27" i="23"/>
  <c r="DD27" i="23"/>
  <c r="DD26" i="23" s="1"/>
  <c r="DB27" i="23"/>
  <c r="DA27" i="23"/>
  <c r="CB27" i="23"/>
  <c r="CA27" i="23"/>
  <c r="BY27" i="23"/>
  <c r="BX27" i="23"/>
  <c r="CB26" i="23"/>
  <c r="CA26" i="23"/>
  <c r="BY26" i="23"/>
  <c r="BX26" i="23"/>
  <c r="DE25" i="23"/>
  <c r="DD25" i="23"/>
  <c r="DB25" i="23"/>
  <c r="DA25" i="23"/>
  <c r="CB25" i="23"/>
  <c r="CA25" i="23"/>
  <c r="BY25" i="23"/>
  <c r="BX25" i="23"/>
  <c r="DE24" i="23"/>
  <c r="DD24" i="23"/>
  <c r="DB24" i="23"/>
  <c r="DA24" i="23"/>
  <c r="CB23" i="23"/>
  <c r="CA23" i="23"/>
  <c r="BY23" i="23"/>
  <c r="BX23" i="23"/>
  <c r="BD23" i="23"/>
  <c r="BC23" i="23"/>
  <c r="DE22" i="23"/>
  <c r="DD22" i="23"/>
  <c r="DB22" i="23"/>
  <c r="DA22" i="23"/>
  <c r="CB22" i="23"/>
  <c r="CA22" i="23"/>
  <c r="BY22" i="23"/>
  <c r="BX22" i="23"/>
  <c r="BK23" i="23"/>
  <c r="DE21" i="23"/>
  <c r="DD21" i="23"/>
  <c r="DB21" i="23"/>
  <c r="DA21" i="23"/>
  <c r="CB21" i="23"/>
  <c r="CA21" i="23"/>
  <c r="BY21" i="23"/>
  <c r="BX21" i="23"/>
  <c r="DE20" i="23"/>
  <c r="DD20" i="23"/>
  <c r="DB20" i="23"/>
  <c r="DA20" i="23"/>
  <c r="CB20" i="23"/>
  <c r="CA20" i="23"/>
  <c r="BY20" i="23"/>
  <c r="BX20" i="23"/>
  <c r="CB19" i="23"/>
  <c r="CA19" i="23"/>
  <c r="BY19" i="23"/>
  <c r="BX19" i="23"/>
  <c r="BQ20" i="23"/>
  <c r="BP20" i="23"/>
  <c r="BN20" i="23"/>
  <c r="BM20" i="23"/>
  <c r="DE18" i="23"/>
  <c r="DD18" i="23"/>
  <c r="DB18" i="23"/>
  <c r="DA18" i="23"/>
  <c r="CB18" i="23"/>
  <c r="CA18" i="23"/>
  <c r="BY18" i="23"/>
  <c r="BX18" i="23"/>
  <c r="BQ19" i="23"/>
  <c r="BP19" i="23"/>
  <c r="BN19" i="23"/>
  <c r="BM19" i="23"/>
  <c r="DE17" i="23"/>
  <c r="DD17" i="23"/>
  <c r="DB17" i="23"/>
  <c r="DA17" i="23"/>
  <c r="CB17" i="23"/>
  <c r="CA17" i="23"/>
  <c r="BY17" i="23"/>
  <c r="BX17" i="23"/>
  <c r="BQ18" i="23"/>
  <c r="BP18" i="23"/>
  <c r="BN18" i="23"/>
  <c r="BM18" i="23"/>
  <c r="DE16" i="23"/>
  <c r="DD16" i="23"/>
  <c r="DB16" i="23"/>
  <c r="DA16" i="23"/>
  <c r="CB16" i="23"/>
  <c r="CA16" i="23"/>
  <c r="BY16" i="23"/>
  <c r="BX16" i="23"/>
  <c r="BQ17" i="23"/>
  <c r="BP17" i="23"/>
  <c r="BN17" i="23"/>
  <c r="BM17" i="23"/>
  <c r="DE15" i="23"/>
  <c r="DD15" i="23"/>
  <c r="DB15" i="23"/>
  <c r="DA15" i="23"/>
  <c r="CV15" i="23"/>
  <c r="CU15" i="23"/>
  <c r="CT15" i="23"/>
  <c r="CB15" i="23"/>
  <c r="CA15" i="23"/>
  <c r="BY15" i="23"/>
  <c r="BX15" i="23"/>
  <c r="BQ16" i="23"/>
  <c r="BP16" i="23"/>
  <c r="BN16" i="23"/>
  <c r="BM16" i="23"/>
  <c r="DE14" i="23"/>
  <c r="DD14" i="23"/>
  <c r="DB14" i="23"/>
  <c r="DA14" i="23"/>
  <c r="BQ14" i="23"/>
  <c r="BP14" i="23"/>
  <c r="BN14" i="23"/>
  <c r="BM14" i="23"/>
  <c r="DE13" i="23"/>
  <c r="DD13" i="23"/>
  <c r="DB13" i="23"/>
  <c r="DA13" i="23"/>
  <c r="CB13" i="23"/>
  <c r="CA13" i="23"/>
  <c r="BY13" i="23"/>
  <c r="BX13" i="23"/>
  <c r="BQ13" i="23"/>
  <c r="BP13" i="23"/>
  <c r="BN13" i="23"/>
  <c r="BM13" i="23"/>
  <c r="DE12" i="23"/>
  <c r="DD12" i="23"/>
  <c r="DB12" i="23"/>
  <c r="DA12" i="23"/>
  <c r="CB12" i="23"/>
  <c r="CA12" i="23"/>
  <c r="BY12" i="23"/>
  <c r="BX12" i="23"/>
  <c r="BQ12" i="23"/>
  <c r="BP12" i="23"/>
  <c r="BN12" i="23"/>
  <c r="BM12" i="23"/>
  <c r="BD12" i="23"/>
  <c r="BC12" i="23"/>
  <c r="DE11" i="23"/>
  <c r="DD11" i="23"/>
  <c r="DB11" i="23"/>
  <c r="DA11" i="23"/>
  <c r="CB11" i="23"/>
  <c r="CA11" i="23"/>
  <c r="BY11" i="23"/>
  <c r="BX11" i="23"/>
  <c r="BQ11" i="23"/>
  <c r="BP11" i="23"/>
  <c r="BN11" i="23"/>
  <c r="BM11" i="23"/>
  <c r="CB10" i="23"/>
  <c r="CA10" i="23"/>
  <c r="BY10" i="23"/>
  <c r="BX10" i="23"/>
  <c r="BQ10" i="23"/>
  <c r="BP10" i="23"/>
  <c r="BN10" i="23"/>
  <c r="BM10" i="23"/>
  <c r="DE9" i="23"/>
  <c r="DD9" i="23"/>
  <c r="DB9" i="23"/>
  <c r="DA9" i="23"/>
  <c r="CB9" i="23"/>
  <c r="CA9" i="23"/>
  <c r="BY9" i="23"/>
  <c r="BX9" i="23"/>
  <c r="BQ9" i="23"/>
  <c r="BP9" i="23"/>
  <c r="BN9" i="23"/>
  <c r="BM9" i="23"/>
  <c r="DE8" i="23"/>
  <c r="DD8" i="23"/>
  <c r="DB8" i="23"/>
  <c r="DA8" i="23"/>
  <c r="CB8" i="23"/>
  <c r="CA8" i="23"/>
  <c r="BY8" i="23"/>
  <c r="BX8" i="23"/>
  <c r="BQ8" i="23"/>
  <c r="BP8" i="23"/>
  <c r="BN8" i="23"/>
  <c r="BM8" i="23"/>
  <c r="CB7" i="23"/>
  <c r="CA7" i="23"/>
  <c r="BY7" i="23"/>
  <c r="BX7" i="23"/>
  <c r="BQ7" i="23"/>
  <c r="BP7" i="23"/>
  <c r="BN7" i="23"/>
  <c r="BM7" i="23"/>
  <c r="BQ6" i="23"/>
  <c r="BP6" i="23"/>
  <c r="BN6" i="23"/>
  <c r="BM6" i="23"/>
  <c r="CY2" i="23"/>
  <c r="CS2" i="23"/>
  <c r="CM2" i="23"/>
  <c r="CF2" i="23"/>
  <c r="BV2" i="23"/>
  <c r="BK2" i="23"/>
  <c r="AY2" i="23"/>
  <c r="AP2" i="23"/>
  <c r="AI2" i="23"/>
  <c r="AA2" i="23"/>
  <c r="J2" i="23"/>
  <c r="G10" i="48"/>
  <c r="G9" i="48"/>
  <c r="G8" i="48"/>
  <c r="G7" i="48"/>
  <c r="G6" i="48"/>
  <c r="G5" i="48"/>
  <c r="H4" i="48"/>
  <c r="G4" i="48"/>
  <c r="H3" i="48"/>
  <c r="G3" i="48"/>
  <c r="F3" i="48"/>
  <c r="F4" i="48" s="1"/>
  <c r="F5" i="48" s="1"/>
  <c r="F6" i="48" s="1"/>
  <c r="F7" i="48" s="1"/>
  <c r="F8" i="48" s="1"/>
  <c r="F9" i="48" s="1"/>
  <c r="F10" i="48" s="1"/>
  <c r="F11" i="48" s="1"/>
  <c r="F12" i="48" s="1"/>
  <c r="F13" i="48" s="1"/>
  <c r="F14" i="48" s="1"/>
  <c r="F15" i="48" s="1"/>
  <c r="F16" i="48" s="1"/>
  <c r="F17" i="48" s="1"/>
  <c r="F18" i="48" s="1"/>
  <c r="E3" i="48"/>
  <c r="E4" i="48" s="1"/>
  <c r="E5" i="48" s="1"/>
  <c r="P1" i="81"/>
  <c r="O1" i="81"/>
  <c r="N1" i="81"/>
  <c r="M1" i="81"/>
  <c r="L1" i="81"/>
  <c r="K1" i="81"/>
  <c r="J1" i="81"/>
  <c r="J1" i="47"/>
  <c r="I1" i="47"/>
  <c r="H1" i="47"/>
  <c r="G1" i="47"/>
  <c r="F1" i="47"/>
  <c r="E1" i="47"/>
  <c r="B178" i="45"/>
  <c r="B177" i="45"/>
  <c r="B176" i="45"/>
  <c r="B175" i="45"/>
  <c r="B174" i="45"/>
  <c r="B173" i="45"/>
  <c r="B172" i="45"/>
  <c r="B171" i="45"/>
  <c r="B170" i="45"/>
  <c r="B169" i="45"/>
  <c r="B168" i="45"/>
  <c r="B167" i="45"/>
  <c r="B166" i="45"/>
  <c r="B165" i="45"/>
  <c r="B164" i="45"/>
  <c r="B163" i="45"/>
  <c r="B162" i="45"/>
  <c r="B161" i="45"/>
  <c r="B160" i="45"/>
  <c r="B159" i="45"/>
  <c r="B158" i="45"/>
  <c r="B157" i="45"/>
  <c r="B156" i="45"/>
  <c r="B155" i="45"/>
  <c r="B154" i="45"/>
  <c r="B153" i="45"/>
  <c r="B152" i="45"/>
  <c r="B151" i="45"/>
  <c r="B150" i="45"/>
  <c r="B149" i="45"/>
  <c r="B148" i="45"/>
  <c r="B147" i="45"/>
  <c r="B146" i="45"/>
  <c r="B145" i="45"/>
  <c r="B144" i="45"/>
  <c r="B143" i="45"/>
  <c r="B142" i="45"/>
  <c r="B141" i="45"/>
  <c r="B140" i="45"/>
  <c r="B139" i="45"/>
  <c r="B138" i="45"/>
  <c r="B137" i="45"/>
  <c r="B136" i="45"/>
  <c r="B135" i="45"/>
  <c r="B134" i="45"/>
  <c r="B133" i="45"/>
  <c r="B132" i="45"/>
  <c r="B131" i="45"/>
  <c r="B130" i="45"/>
  <c r="B129" i="45"/>
  <c r="B128" i="45"/>
  <c r="B127" i="45"/>
  <c r="B126" i="45"/>
  <c r="B125" i="45"/>
  <c r="B124" i="45"/>
  <c r="B123" i="45"/>
  <c r="B122" i="45"/>
  <c r="B121" i="45"/>
  <c r="B120" i="45"/>
  <c r="B119" i="45"/>
  <c r="B118" i="45"/>
  <c r="B117" i="45"/>
  <c r="B116" i="45"/>
  <c r="B115" i="45"/>
  <c r="B114" i="45"/>
  <c r="B113" i="45"/>
  <c r="B112" i="45"/>
  <c r="B111" i="45"/>
  <c r="B110" i="45"/>
  <c r="B109" i="45"/>
  <c r="B108" i="45"/>
  <c r="B107" i="45"/>
  <c r="B106" i="45"/>
  <c r="B105" i="45"/>
  <c r="B104" i="45"/>
  <c r="B103" i="45"/>
  <c r="B102" i="45"/>
  <c r="B101" i="45"/>
  <c r="B100" i="45"/>
  <c r="B99" i="45"/>
  <c r="B98" i="45"/>
  <c r="B97" i="45"/>
  <c r="B96" i="45"/>
  <c r="B95" i="45"/>
  <c r="B94" i="45"/>
  <c r="B93" i="45"/>
  <c r="B92" i="45"/>
  <c r="B91" i="45"/>
  <c r="B90" i="45"/>
  <c r="B89" i="45"/>
  <c r="B88" i="45"/>
  <c r="B87" i="45"/>
  <c r="B86" i="45"/>
  <c r="B85" i="45"/>
  <c r="B84" i="45"/>
  <c r="B83" i="45"/>
  <c r="B82" i="45"/>
  <c r="B81" i="45"/>
  <c r="B80" i="45"/>
  <c r="B79" i="45"/>
  <c r="B78" i="45"/>
  <c r="B77" i="45"/>
  <c r="B76" i="45"/>
  <c r="B75" i="45"/>
  <c r="B74" i="45"/>
  <c r="B73" i="45"/>
  <c r="B72" i="45"/>
  <c r="B71" i="45"/>
  <c r="B70" i="45"/>
  <c r="B69" i="45"/>
  <c r="B68" i="45"/>
  <c r="B67" i="45"/>
  <c r="B66" i="45"/>
  <c r="B65" i="45"/>
  <c r="B64" i="45"/>
  <c r="B63" i="45"/>
  <c r="B62" i="45"/>
  <c r="B61" i="45"/>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B7" i="45"/>
  <c r="B6" i="45"/>
  <c r="B5" i="45"/>
  <c r="B4" i="45"/>
  <c r="B3" i="45"/>
  <c r="Q1" i="81" l="1"/>
  <c r="DE26" i="23"/>
  <c r="K1" i="47"/>
  <c r="A92" i="84"/>
  <c r="A93" i="84" s="1"/>
  <c r="A94" i="84" s="1"/>
  <c r="C91" i="84"/>
  <c r="H91" i="84" s="1"/>
  <c r="N53" i="23"/>
  <c r="N49" i="23"/>
  <c r="N44" i="23"/>
  <c r="N39" i="23"/>
  <c r="N34" i="23"/>
  <c r="N30" i="23"/>
  <c r="N25" i="23"/>
  <c r="N19" i="23"/>
  <c r="N13" i="23"/>
  <c r="N9" i="23"/>
  <c r="N47" i="23"/>
  <c r="N43" i="23"/>
  <c r="N37" i="23"/>
  <c r="N33" i="23"/>
  <c r="N29" i="23"/>
  <c r="N22" i="23"/>
  <c r="N18" i="23"/>
  <c r="N12" i="23"/>
  <c r="N8" i="23"/>
  <c r="N10" i="23"/>
  <c r="N52" i="23"/>
  <c r="N56" i="23"/>
  <c r="N55" i="23" s="1"/>
  <c r="N51" i="23"/>
  <c r="N46" i="23"/>
  <c r="N41" i="23"/>
  <c r="N36" i="23"/>
  <c r="N32" i="23"/>
  <c r="N27" i="23"/>
  <c r="N21" i="23"/>
  <c r="N16" i="23"/>
  <c r="N11" i="23"/>
  <c r="N7" i="23"/>
  <c r="N54" i="23"/>
  <c r="N50" i="23"/>
  <c r="N45" i="23"/>
  <c r="N40" i="23"/>
  <c r="N35" i="23"/>
  <c r="N31" i="23"/>
  <c r="N26" i="23"/>
  <c r="N20" i="23"/>
  <c r="N15" i="23"/>
  <c r="N6" i="23"/>
  <c r="D3" i="54"/>
  <c r="E4" i="54"/>
  <c r="F3" i="54"/>
  <c r="F4" i="54"/>
  <c r="E3" i="54"/>
  <c r="C4" i="54"/>
  <c r="C3" i="54"/>
  <c r="D4" i="54"/>
  <c r="CB58" i="23"/>
  <c r="G22" i="61"/>
  <c r="C14" i="67"/>
  <c r="D14" i="67"/>
  <c r="E14" i="67"/>
  <c r="G24" i="68"/>
  <c r="G4" i="68" s="1"/>
  <c r="G3" i="68" s="1"/>
  <c r="CA58" i="23"/>
  <c r="U13" i="87"/>
  <c r="F6" i="91" s="1"/>
  <c r="S13" i="87"/>
  <c r="D6" i="91" s="1"/>
  <c r="U19" i="87"/>
  <c r="F12" i="91" s="1"/>
  <c r="U14" i="87"/>
  <c r="F7" i="91" s="1"/>
  <c r="Q14" i="87"/>
  <c r="B7" i="91" s="1"/>
  <c r="I73" i="87"/>
  <c r="E66" i="90" s="1"/>
  <c r="I80" i="87"/>
  <c r="E73" i="90" s="1"/>
  <c r="I76" i="87"/>
  <c r="E69" i="90" s="1"/>
  <c r="I74" i="87"/>
  <c r="E67" i="90" s="1"/>
  <c r="I69" i="87"/>
  <c r="E62" i="90" s="1"/>
  <c r="I59" i="87"/>
  <c r="E52" i="90" s="1"/>
  <c r="I57" i="87"/>
  <c r="E50" i="90" s="1"/>
  <c r="I55" i="87"/>
  <c r="E48" i="90" s="1"/>
  <c r="I30" i="87"/>
  <c r="E23" i="90" s="1"/>
  <c r="I48" i="87"/>
  <c r="E41" i="90" s="1"/>
  <c r="I45" i="87"/>
  <c r="E38" i="90" s="1"/>
  <c r="I43" i="87"/>
  <c r="E36" i="90" s="1"/>
  <c r="I40" i="87"/>
  <c r="E33" i="90" s="1"/>
  <c r="I38" i="87"/>
  <c r="E31" i="90" s="1"/>
  <c r="I36" i="87"/>
  <c r="E29" i="90" s="1"/>
  <c r="I33" i="87"/>
  <c r="E26" i="90" s="1"/>
  <c r="I29" i="87"/>
  <c r="E22" i="90" s="1"/>
  <c r="I26" i="87"/>
  <c r="E19" i="90" s="1"/>
  <c r="I24" i="87"/>
  <c r="E17" i="90" s="1"/>
  <c r="I21" i="87"/>
  <c r="E14" i="90" s="1"/>
  <c r="I19" i="87"/>
  <c r="E12" i="90" s="1"/>
  <c r="I17" i="87"/>
  <c r="E10" i="90" s="1"/>
  <c r="I15" i="87"/>
  <c r="E8" i="90" s="1"/>
  <c r="E62" i="87"/>
  <c r="B55" i="90" s="1"/>
  <c r="E60" i="87"/>
  <c r="B53" i="90" s="1"/>
  <c r="E58" i="87"/>
  <c r="B51" i="90" s="1"/>
  <c r="E56" i="87"/>
  <c r="B49" i="90" s="1"/>
  <c r="E54" i="87"/>
  <c r="B47" i="90" s="1"/>
  <c r="E49" i="87"/>
  <c r="B42" i="90" s="1"/>
  <c r="E47" i="87"/>
  <c r="B40" i="90" s="1"/>
  <c r="E44" i="87"/>
  <c r="B37" i="90" s="1"/>
  <c r="E40" i="87"/>
  <c r="B33" i="90" s="1"/>
  <c r="E38" i="87"/>
  <c r="B31" i="90" s="1"/>
  <c r="E36" i="87"/>
  <c r="B29" i="90" s="1"/>
  <c r="E33" i="87"/>
  <c r="B26" i="90" s="1"/>
  <c r="E31" i="87"/>
  <c r="B24" i="90" s="1"/>
  <c r="E28" i="87"/>
  <c r="B21" i="90" s="1"/>
  <c r="E26" i="87"/>
  <c r="B19" i="90" s="1"/>
  <c r="E24" i="87"/>
  <c r="B17" i="90" s="1"/>
  <c r="E22" i="87"/>
  <c r="B15" i="90" s="1"/>
  <c r="E19" i="87"/>
  <c r="B12" i="90" s="1"/>
  <c r="E17" i="87"/>
  <c r="B10" i="90" s="1"/>
  <c r="E15" i="87"/>
  <c r="B8" i="90" s="1"/>
  <c r="F14" i="87"/>
  <c r="C7" i="90" s="1"/>
  <c r="R17" i="87"/>
  <c r="C10" i="91" s="1"/>
  <c r="J73" i="87"/>
  <c r="F66" i="90" s="1"/>
  <c r="J69" i="87"/>
  <c r="F62" i="90" s="1"/>
  <c r="J55" i="87"/>
  <c r="F48" i="90" s="1"/>
  <c r="J45" i="87"/>
  <c r="F38" i="90" s="1"/>
  <c r="J38" i="87"/>
  <c r="F31" i="90" s="1"/>
  <c r="J29" i="87"/>
  <c r="F22" i="90" s="1"/>
  <c r="J21" i="87"/>
  <c r="F14" i="90" s="1"/>
  <c r="J15" i="87"/>
  <c r="F8" i="90" s="1"/>
  <c r="F58" i="87"/>
  <c r="C51" i="90" s="1"/>
  <c r="F49" i="87"/>
  <c r="C42" i="90" s="1"/>
  <c r="F40" i="87"/>
  <c r="C33" i="90" s="1"/>
  <c r="F33" i="87"/>
  <c r="C26" i="90" s="1"/>
  <c r="F26" i="87"/>
  <c r="C19" i="90" s="1"/>
  <c r="F24" i="87"/>
  <c r="C17" i="90" s="1"/>
  <c r="F15" i="87"/>
  <c r="C8" i="90" s="1"/>
  <c r="R19" i="87"/>
  <c r="C12" i="91" s="1"/>
  <c r="U18" i="87"/>
  <c r="F11" i="91" s="1"/>
  <c r="Q19" i="87"/>
  <c r="B12" i="91" s="1"/>
  <c r="Q15" i="87"/>
  <c r="B8" i="91" s="1"/>
  <c r="J81" i="87"/>
  <c r="F74" i="90" s="1"/>
  <c r="J77" i="87"/>
  <c r="F70" i="90" s="1"/>
  <c r="J75" i="87"/>
  <c r="F68" i="90" s="1"/>
  <c r="J70" i="87"/>
  <c r="F63" i="90" s="1"/>
  <c r="J68" i="87"/>
  <c r="F61" i="90" s="1"/>
  <c r="J58" i="87"/>
  <c r="F51" i="90" s="1"/>
  <c r="J56" i="87"/>
  <c r="F49" i="90" s="1"/>
  <c r="J54" i="87"/>
  <c r="F47" i="90" s="1"/>
  <c r="J49" i="87"/>
  <c r="F42" i="90" s="1"/>
  <c r="J47" i="87"/>
  <c r="F40" i="90" s="1"/>
  <c r="J44" i="87"/>
  <c r="F37" i="90" s="1"/>
  <c r="J41" i="87"/>
  <c r="F34" i="90" s="1"/>
  <c r="J39" i="87"/>
  <c r="F32" i="90" s="1"/>
  <c r="J37" i="87"/>
  <c r="F30" i="90" s="1"/>
  <c r="J34" i="87"/>
  <c r="F27" i="90" s="1"/>
  <c r="J32" i="87"/>
  <c r="F25" i="90" s="1"/>
  <c r="J28" i="87"/>
  <c r="F21" i="90" s="1"/>
  <c r="J25" i="87"/>
  <c r="F18" i="90" s="1"/>
  <c r="J22" i="87"/>
  <c r="F15" i="90" s="1"/>
  <c r="J20" i="87"/>
  <c r="F13" i="90" s="1"/>
  <c r="J18" i="87"/>
  <c r="F11" i="90" s="1"/>
  <c r="J16" i="87"/>
  <c r="F9" i="90" s="1"/>
  <c r="J14" i="87"/>
  <c r="F7" i="90" s="1"/>
  <c r="F61" i="87"/>
  <c r="C54" i="90" s="1"/>
  <c r="F59" i="87"/>
  <c r="C52" i="90" s="1"/>
  <c r="F57" i="87"/>
  <c r="C50" i="90" s="1"/>
  <c r="F55" i="87"/>
  <c r="C48" i="90" s="1"/>
  <c r="F41" i="87"/>
  <c r="C34" i="90" s="1"/>
  <c r="F48" i="87"/>
  <c r="C41" i="90" s="1"/>
  <c r="F46" i="87"/>
  <c r="C39" i="90" s="1"/>
  <c r="F43" i="87"/>
  <c r="C36" i="90" s="1"/>
  <c r="F39" i="87"/>
  <c r="C32" i="90" s="1"/>
  <c r="F37" i="87"/>
  <c r="C30" i="90" s="1"/>
  <c r="F34" i="87"/>
  <c r="C27" i="90" s="1"/>
  <c r="F32" i="87"/>
  <c r="C25" i="90" s="1"/>
  <c r="F30" i="87"/>
  <c r="C23" i="90" s="1"/>
  <c r="F27" i="87"/>
  <c r="C20" i="90" s="1"/>
  <c r="F25" i="87"/>
  <c r="C18" i="90" s="1"/>
  <c r="F23" i="87"/>
  <c r="C16" i="90" s="1"/>
  <c r="F20" i="87"/>
  <c r="C13" i="90" s="1"/>
  <c r="F18" i="87"/>
  <c r="C11" i="90" s="1"/>
  <c r="F16" i="87"/>
  <c r="C9" i="90" s="1"/>
  <c r="S14" i="87"/>
  <c r="D7" i="91" s="1"/>
  <c r="Q17" i="87"/>
  <c r="B10" i="91" s="1"/>
  <c r="J76" i="87"/>
  <c r="F69" i="90" s="1"/>
  <c r="J59" i="87"/>
  <c r="F52" i="90" s="1"/>
  <c r="J30" i="87"/>
  <c r="F23" i="90" s="1"/>
  <c r="J43" i="87"/>
  <c r="F36" i="90" s="1"/>
  <c r="J36" i="87"/>
  <c r="F29" i="90" s="1"/>
  <c r="J26" i="87"/>
  <c r="F19" i="90" s="1"/>
  <c r="J19" i="87"/>
  <c r="F12" i="90" s="1"/>
  <c r="F62" i="87"/>
  <c r="C55" i="90" s="1"/>
  <c r="F56" i="87"/>
  <c r="C49" i="90" s="1"/>
  <c r="F47" i="87"/>
  <c r="C40" i="90" s="1"/>
  <c r="F38" i="87"/>
  <c r="C31" i="90" s="1"/>
  <c r="F31" i="87"/>
  <c r="C24" i="90" s="1"/>
  <c r="F19" i="87"/>
  <c r="C12" i="90" s="1"/>
  <c r="S15" i="87"/>
  <c r="D8" i="91" s="1"/>
  <c r="R18" i="87"/>
  <c r="C11" i="91" s="1"/>
  <c r="U17" i="87"/>
  <c r="F10" i="91" s="1"/>
  <c r="Q18" i="87"/>
  <c r="B11" i="91" s="1"/>
  <c r="Q13" i="87"/>
  <c r="B6" i="91" s="1"/>
  <c r="I81" i="87"/>
  <c r="E74" i="90" s="1"/>
  <c r="I77" i="87"/>
  <c r="E70" i="90" s="1"/>
  <c r="I75" i="87"/>
  <c r="E68" i="90" s="1"/>
  <c r="I70" i="87"/>
  <c r="E63" i="90" s="1"/>
  <c r="I68" i="87"/>
  <c r="E61" i="90" s="1"/>
  <c r="I58" i="87"/>
  <c r="E51" i="90" s="1"/>
  <c r="I56" i="87"/>
  <c r="E49" i="90" s="1"/>
  <c r="I54" i="87"/>
  <c r="E47" i="90" s="1"/>
  <c r="I49" i="87"/>
  <c r="E42" i="90" s="1"/>
  <c r="I47" i="87"/>
  <c r="E40" i="90" s="1"/>
  <c r="I44" i="87"/>
  <c r="E37" i="90" s="1"/>
  <c r="I41" i="87"/>
  <c r="E34" i="90" s="1"/>
  <c r="I39" i="87"/>
  <c r="E32" i="90" s="1"/>
  <c r="I37" i="87"/>
  <c r="E30" i="90" s="1"/>
  <c r="I34" i="87"/>
  <c r="E27" i="90" s="1"/>
  <c r="I32" i="87"/>
  <c r="E25" i="90" s="1"/>
  <c r="I28" i="87"/>
  <c r="E21" i="90" s="1"/>
  <c r="I25" i="87"/>
  <c r="E18" i="90" s="1"/>
  <c r="I22" i="87"/>
  <c r="E15" i="90" s="1"/>
  <c r="I20" i="87"/>
  <c r="E13" i="90" s="1"/>
  <c r="I18" i="87"/>
  <c r="E11" i="90" s="1"/>
  <c r="I16" i="87"/>
  <c r="E9" i="90" s="1"/>
  <c r="I14" i="87"/>
  <c r="E7" i="90" s="1"/>
  <c r="E61" i="87"/>
  <c r="B54" i="90" s="1"/>
  <c r="E59" i="87"/>
  <c r="B52" i="90" s="1"/>
  <c r="E57" i="87"/>
  <c r="B50" i="90" s="1"/>
  <c r="E55" i="87"/>
  <c r="B48" i="90" s="1"/>
  <c r="E41" i="87"/>
  <c r="B34" i="90" s="1"/>
  <c r="E48" i="87"/>
  <c r="B41" i="90" s="1"/>
  <c r="E46" i="87"/>
  <c r="B39" i="90" s="1"/>
  <c r="E43" i="87"/>
  <c r="B36" i="90" s="1"/>
  <c r="E39" i="87"/>
  <c r="B32" i="90" s="1"/>
  <c r="E37" i="87"/>
  <c r="B30" i="90" s="1"/>
  <c r="E34" i="87"/>
  <c r="B27" i="90" s="1"/>
  <c r="E32" i="87"/>
  <c r="B25" i="90" s="1"/>
  <c r="E30" i="87"/>
  <c r="B23" i="90" s="1"/>
  <c r="E27" i="87"/>
  <c r="B20" i="90" s="1"/>
  <c r="E25" i="87"/>
  <c r="B18" i="90" s="1"/>
  <c r="E23" i="87"/>
  <c r="B16" i="90" s="1"/>
  <c r="E20" i="87"/>
  <c r="B13" i="90" s="1"/>
  <c r="E18" i="87"/>
  <c r="B11" i="90" s="1"/>
  <c r="E16" i="87"/>
  <c r="B9" i="90" s="1"/>
  <c r="E14" i="87"/>
  <c r="B7" i="90" s="1"/>
  <c r="V13" i="87"/>
  <c r="G6" i="91" s="1"/>
  <c r="G5" i="91" s="1"/>
  <c r="G4" i="91" s="1"/>
  <c r="G15" i="91" s="1"/>
  <c r="U15" i="87"/>
  <c r="F8" i="91" s="1"/>
  <c r="J80" i="87"/>
  <c r="F73" i="90" s="1"/>
  <c r="J74" i="87"/>
  <c r="F67" i="90" s="1"/>
  <c r="J57" i="87"/>
  <c r="F50" i="90" s="1"/>
  <c r="J48" i="87"/>
  <c r="F41" i="90" s="1"/>
  <c r="J40" i="87"/>
  <c r="F33" i="90" s="1"/>
  <c r="J33" i="87"/>
  <c r="F26" i="90" s="1"/>
  <c r="J24" i="87"/>
  <c r="J17" i="87"/>
  <c r="F10" i="90" s="1"/>
  <c r="F60" i="87"/>
  <c r="C53" i="90" s="1"/>
  <c r="F54" i="87"/>
  <c r="C47" i="90" s="1"/>
  <c r="F44" i="87"/>
  <c r="C37" i="90" s="1"/>
  <c r="F36" i="87"/>
  <c r="C29" i="90" s="1"/>
  <c r="F28" i="87"/>
  <c r="C21" i="90" s="1"/>
  <c r="F22" i="87"/>
  <c r="C15" i="90" s="1"/>
  <c r="F17" i="87"/>
  <c r="C10" i="90" s="1"/>
  <c r="CB66" i="23"/>
  <c r="F16" i="59"/>
  <c r="K4" i="57"/>
  <c r="K3" i="57" s="1"/>
  <c r="DA26" i="23"/>
  <c r="D16" i="59"/>
  <c r="AB3" i="70"/>
  <c r="C42" i="54"/>
  <c r="BX34" i="23"/>
  <c r="CA34" i="23"/>
  <c r="E35" i="63"/>
  <c r="H35" i="63" s="1"/>
  <c r="BN29" i="23"/>
  <c r="D86" i="49"/>
  <c r="D42" i="54"/>
  <c r="D41" i="54"/>
  <c r="E41" i="54"/>
  <c r="C41" i="54"/>
  <c r="C41" i="49"/>
  <c r="D42" i="49"/>
  <c r="F42" i="54"/>
  <c r="F41" i="54"/>
  <c r="G41" i="54" s="1"/>
  <c r="C42" i="49"/>
  <c r="D41" i="49"/>
  <c r="E42" i="54"/>
  <c r="EY35" i="82"/>
  <c r="FB35" i="82" s="1"/>
  <c r="DL43" i="82"/>
  <c r="DO43" i="82" s="1"/>
  <c r="CB44" i="23"/>
  <c r="EZ10" i="82"/>
  <c r="E35" i="61"/>
  <c r="E47" i="61"/>
  <c r="E49" i="61"/>
  <c r="E65" i="61"/>
  <c r="E73" i="61"/>
  <c r="E75" i="61"/>
  <c r="DY5" i="82"/>
  <c r="DU4" i="82"/>
  <c r="BZ16" i="23"/>
  <c r="E26" i="68"/>
  <c r="H26" i="68" s="1"/>
  <c r="E28" i="68"/>
  <c r="H28" i="68" s="1"/>
  <c r="DB23" i="23"/>
  <c r="DA19" i="23"/>
  <c r="CB34" i="23"/>
  <c r="DB7" i="23"/>
  <c r="DC9" i="23"/>
  <c r="DF9" i="23" s="1"/>
  <c r="CC16" i="23"/>
  <c r="DC16" i="23"/>
  <c r="DF16" i="23" s="1"/>
  <c r="CB24" i="23"/>
  <c r="DA23" i="23"/>
  <c r="E8" i="61"/>
  <c r="H8" i="61" s="1"/>
  <c r="E10" i="61"/>
  <c r="H10" i="61" s="1"/>
  <c r="E13" i="61"/>
  <c r="H13" i="61" s="1"/>
  <c r="E14" i="61"/>
  <c r="H14" i="61" s="1"/>
  <c r="E16" i="61"/>
  <c r="H16" i="61" s="1"/>
  <c r="E18" i="61"/>
  <c r="H18" i="61" s="1"/>
  <c r="DV5" i="82"/>
  <c r="E14" i="63"/>
  <c r="H14" i="63" s="1"/>
  <c r="E15" i="63"/>
  <c r="H15" i="63" s="1"/>
  <c r="E16" i="63"/>
  <c r="H16" i="63" s="1"/>
  <c r="E17" i="63"/>
  <c r="H17" i="63" s="1"/>
  <c r="E18" i="68"/>
  <c r="H18" i="68" s="1"/>
  <c r="E19" i="68"/>
  <c r="H19" i="68" s="1"/>
  <c r="E20" i="68"/>
  <c r="H20" i="68" s="1"/>
  <c r="E22" i="68"/>
  <c r="H22" i="68" s="1"/>
  <c r="BZ21" i="23"/>
  <c r="CC21" i="23" s="1"/>
  <c r="DC21" i="23"/>
  <c r="DF21" i="23" s="1"/>
  <c r="DC28" i="23"/>
  <c r="DF28" i="23" s="1"/>
  <c r="DC29" i="23"/>
  <c r="DF29" i="23" s="1"/>
  <c r="DC33" i="23"/>
  <c r="DF33" i="23" s="1"/>
  <c r="BZ45" i="23"/>
  <c r="CC45" i="23" s="1"/>
  <c r="BZ46" i="23"/>
  <c r="CC46" i="23" s="1"/>
  <c r="FA7" i="82"/>
  <c r="EZ23" i="82"/>
  <c r="H35" i="61"/>
  <c r="H47" i="61"/>
  <c r="H49" i="61"/>
  <c r="H65" i="61"/>
  <c r="H73" i="61"/>
  <c r="H75" i="61"/>
  <c r="BZ50" i="23"/>
  <c r="CC50" i="23" s="1"/>
  <c r="BZ52" i="23"/>
  <c r="CC52" i="23" s="1"/>
  <c r="BZ56" i="23"/>
  <c r="CC56" i="23" s="1"/>
  <c r="BZ60" i="23"/>
  <c r="CC60" i="23" s="1"/>
  <c r="BZ62" i="23"/>
  <c r="CC62" i="23" s="1"/>
  <c r="BZ64" i="23"/>
  <c r="CC64" i="23" s="1"/>
  <c r="BZ68" i="23"/>
  <c r="CC68" i="23" s="1"/>
  <c r="BZ72" i="23"/>
  <c r="CC72" i="23" s="1"/>
  <c r="BZ74" i="23"/>
  <c r="CC74" i="23" s="1"/>
  <c r="BZ76" i="23"/>
  <c r="CC76" i="23" s="1"/>
  <c r="CB6" i="23"/>
  <c r="BZ9" i="23"/>
  <c r="CC9" i="23" s="1"/>
  <c r="DB10" i="23"/>
  <c r="BZ15" i="23"/>
  <c r="CC15" i="23" s="1"/>
  <c r="DC17" i="23"/>
  <c r="DF17" i="23" s="1"/>
  <c r="E24" i="61"/>
  <c r="H24" i="61" s="1"/>
  <c r="E26" i="61"/>
  <c r="H26" i="61" s="1"/>
  <c r="E53" i="61"/>
  <c r="H53" i="61" s="1"/>
  <c r="E54" i="61"/>
  <c r="H54" i="61" s="1"/>
  <c r="E55" i="61"/>
  <c r="H55" i="61" s="1"/>
  <c r="E57" i="61"/>
  <c r="H57" i="61" s="1"/>
  <c r="E59" i="61"/>
  <c r="H59" i="61" s="1"/>
  <c r="E60" i="61"/>
  <c r="H60" i="61" s="1"/>
  <c r="E61" i="61"/>
  <c r="H61" i="61" s="1"/>
  <c r="E9" i="63"/>
  <c r="H9" i="63" s="1"/>
  <c r="E12" i="63"/>
  <c r="H12" i="63" s="1"/>
  <c r="E10" i="68"/>
  <c r="H10" i="68" s="1"/>
  <c r="E12" i="68"/>
  <c r="H12" i="68" s="1"/>
  <c r="E14" i="68"/>
  <c r="H14" i="68" s="1"/>
  <c r="E16" i="68"/>
  <c r="H16" i="68" s="1"/>
  <c r="DD10" i="23"/>
  <c r="E23" i="68"/>
  <c r="H23" i="68" s="1"/>
  <c r="DV22" i="82"/>
  <c r="CA14" i="23"/>
  <c r="DL10" i="82"/>
  <c r="DO10" i="82" s="1"/>
  <c r="E19" i="63"/>
  <c r="H19" i="63" s="1"/>
  <c r="E25" i="63"/>
  <c r="H25" i="63" s="1"/>
  <c r="E28" i="63"/>
  <c r="H28" i="63" s="1"/>
  <c r="E29" i="63"/>
  <c r="H29" i="63" s="1"/>
  <c r="E30" i="63"/>
  <c r="H30" i="63" s="1"/>
  <c r="E32" i="63"/>
  <c r="H32" i="63" s="1"/>
  <c r="E33" i="63"/>
  <c r="H33" i="63" s="1"/>
  <c r="E6" i="68"/>
  <c r="H6" i="68" s="1"/>
  <c r="E7" i="68"/>
  <c r="E32" i="68"/>
  <c r="H32" i="68" s="1"/>
  <c r="CA6" i="23"/>
  <c r="BZ8" i="23"/>
  <c r="CC8" i="23" s="1"/>
  <c r="DC13" i="23"/>
  <c r="DF13" i="23" s="1"/>
  <c r="BX14" i="23"/>
  <c r="BZ20" i="23"/>
  <c r="CC20" i="23" s="1"/>
  <c r="DE19" i="23"/>
  <c r="DD19" i="23"/>
  <c r="BZ23" i="23"/>
  <c r="CC23" i="23" s="1"/>
  <c r="DC35" i="23"/>
  <c r="BZ37" i="23"/>
  <c r="CC37" i="23" s="1"/>
  <c r="BY34" i="23"/>
  <c r="F4" i="61"/>
  <c r="E28" i="61"/>
  <c r="H28" i="61" s="1"/>
  <c r="E29" i="61"/>
  <c r="H29" i="61" s="1"/>
  <c r="E30" i="61"/>
  <c r="H30" i="61" s="1"/>
  <c r="E63" i="61"/>
  <c r="H63" i="61" s="1"/>
  <c r="G64" i="61"/>
  <c r="E11" i="63"/>
  <c r="H11" i="63" s="1"/>
  <c r="E27" i="63"/>
  <c r="H27" i="63" s="1"/>
  <c r="DC11" i="23"/>
  <c r="DF11" i="23" s="1"/>
  <c r="DC12" i="23"/>
  <c r="DF12" i="23" s="1"/>
  <c r="BZ18" i="23"/>
  <c r="CC18" i="23" s="1"/>
  <c r="DC30" i="23"/>
  <c r="DF30" i="23" s="1"/>
  <c r="BZ31" i="23"/>
  <c r="CC31" i="23" s="1"/>
  <c r="DF35" i="23"/>
  <c r="BZ39" i="23"/>
  <c r="CC39" i="23" s="1"/>
  <c r="BZ43" i="23"/>
  <c r="CC43" i="23" s="1"/>
  <c r="E5" i="61"/>
  <c r="H5" i="61" s="1"/>
  <c r="E6" i="61"/>
  <c r="H6" i="61" s="1"/>
  <c r="E20" i="61"/>
  <c r="H20" i="61" s="1"/>
  <c r="E21" i="61"/>
  <c r="H21" i="61" s="1"/>
  <c r="E39" i="61"/>
  <c r="H39" i="61" s="1"/>
  <c r="E40" i="61"/>
  <c r="H40" i="61" s="1"/>
  <c r="E41" i="61"/>
  <c r="H41" i="61" s="1"/>
  <c r="E43" i="61"/>
  <c r="H43" i="61" s="1"/>
  <c r="E44" i="61"/>
  <c r="H44" i="61" s="1"/>
  <c r="E45" i="61"/>
  <c r="H45" i="61" s="1"/>
  <c r="E66" i="61"/>
  <c r="H66" i="61" s="1"/>
  <c r="E67" i="61"/>
  <c r="H67" i="61" s="1"/>
  <c r="E69" i="61"/>
  <c r="H69" i="61" s="1"/>
  <c r="E71" i="61"/>
  <c r="H71" i="61" s="1"/>
  <c r="E72" i="61"/>
  <c r="H72" i="61" s="1"/>
  <c r="E5" i="62"/>
  <c r="F4" i="69" s="1"/>
  <c r="L4" i="69" s="1"/>
  <c r="E7" i="62"/>
  <c r="H7" i="62" s="1"/>
  <c r="E20" i="63"/>
  <c r="H20" i="63" s="1"/>
  <c r="BY6" i="23"/>
  <c r="CB14" i="23"/>
  <c r="BZ25" i="23"/>
  <c r="CC25" i="23" s="1"/>
  <c r="DE23" i="23"/>
  <c r="BZ49" i="23"/>
  <c r="CC49" i="23" s="1"/>
  <c r="BZ53" i="23"/>
  <c r="CC53" i="23" s="1"/>
  <c r="DL55" i="82"/>
  <c r="DL59" i="82"/>
  <c r="DL63" i="82"/>
  <c r="DO63" i="82" s="1"/>
  <c r="F12" i="61"/>
  <c r="E51" i="61"/>
  <c r="H51" i="61" s="1"/>
  <c r="C52" i="61"/>
  <c r="G52" i="61"/>
  <c r="E5" i="63"/>
  <c r="H5" i="63" s="1"/>
  <c r="E7" i="63"/>
  <c r="H7" i="63" s="1"/>
  <c r="E8" i="63"/>
  <c r="H8" i="63" s="1"/>
  <c r="E22" i="63"/>
  <c r="H22" i="63" s="1"/>
  <c r="E23" i="63"/>
  <c r="H23" i="63" s="1"/>
  <c r="E24" i="63"/>
  <c r="H24" i="63" s="1"/>
  <c r="DV32" i="82"/>
  <c r="BZ19" i="23"/>
  <c r="CC19" i="23" s="1"/>
  <c r="DW4" i="82"/>
  <c r="DE10" i="23"/>
  <c r="D4" i="68"/>
  <c r="D3" i="68" s="1"/>
  <c r="BX6" i="23"/>
  <c r="DE7" i="23"/>
  <c r="BZ10" i="23"/>
  <c r="CC10" i="23" s="1"/>
  <c r="BZ13" i="23"/>
  <c r="CC13" i="23" s="1"/>
  <c r="DC14" i="23"/>
  <c r="DF14" i="23" s="1"/>
  <c r="BZ17" i="23"/>
  <c r="CC17" i="23" s="1"/>
  <c r="DC18" i="23"/>
  <c r="DF18" i="23" s="1"/>
  <c r="DC20" i="23"/>
  <c r="DF20" i="23" s="1"/>
  <c r="BZ22" i="23"/>
  <c r="CC22" i="23" s="1"/>
  <c r="DC24" i="23"/>
  <c r="DF24" i="23" s="1"/>
  <c r="DC25" i="23"/>
  <c r="DF25" i="23" s="1"/>
  <c r="BZ26" i="23"/>
  <c r="CC26" i="23" s="1"/>
  <c r="BZ55" i="23"/>
  <c r="DL15" i="82"/>
  <c r="D4" i="61"/>
  <c r="E7" i="61"/>
  <c r="H7" i="61" s="1"/>
  <c r="D12" i="61"/>
  <c r="E15" i="61"/>
  <c r="H15" i="61" s="1"/>
  <c r="E23" i="61"/>
  <c r="H23" i="61" s="1"/>
  <c r="E31" i="61"/>
  <c r="H31" i="61" s="1"/>
  <c r="G32" i="61"/>
  <c r="C42" i="61"/>
  <c r="E46" i="61"/>
  <c r="H46" i="61" s="1"/>
  <c r="C56" i="61"/>
  <c r="E58" i="61"/>
  <c r="H58" i="61" s="1"/>
  <c r="D64" i="61"/>
  <c r="C68" i="61"/>
  <c r="E70" i="61"/>
  <c r="H70" i="61" s="1"/>
  <c r="E6" i="62"/>
  <c r="H6" i="62" s="1"/>
  <c r="E8" i="62"/>
  <c r="H8" i="62" s="1"/>
  <c r="C4" i="63"/>
  <c r="E6" i="63"/>
  <c r="H6" i="63" s="1"/>
  <c r="E11" i="68"/>
  <c r="H11" i="68" s="1"/>
  <c r="E13" i="68"/>
  <c r="H13" i="68" s="1"/>
  <c r="E15" i="68"/>
  <c r="H15" i="68" s="1"/>
  <c r="C21" i="68"/>
  <c r="E27" i="68"/>
  <c r="H27" i="68" s="1"/>
  <c r="DY14" i="82"/>
  <c r="DA7" i="23"/>
  <c r="DD7" i="23"/>
  <c r="BZ11" i="23"/>
  <c r="CC11" i="23" s="1"/>
  <c r="DC15" i="23"/>
  <c r="DF15" i="23" s="1"/>
  <c r="BY14" i="23"/>
  <c r="DD23" i="23"/>
  <c r="CA24" i="23"/>
  <c r="BZ27" i="23"/>
  <c r="CC27" i="23" s="1"/>
  <c r="DC32" i="23"/>
  <c r="DC34" i="23"/>
  <c r="DF34" i="23" s="1"/>
  <c r="BZ40" i="23"/>
  <c r="CC40" i="23" s="1"/>
  <c r="BZ42" i="23"/>
  <c r="CC42" i="23" s="1"/>
  <c r="BX44" i="23"/>
  <c r="BZ48" i="23"/>
  <c r="CC48" i="23" s="1"/>
  <c r="BZ51" i="23"/>
  <c r="CC51" i="23" s="1"/>
  <c r="BY54" i="23"/>
  <c r="BZ61" i="23"/>
  <c r="CC61" i="23" s="1"/>
  <c r="BZ65" i="23"/>
  <c r="CC65" i="23" s="1"/>
  <c r="E9" i="61"/>
  <c r="H9" i="61" s="1"/>
  <c r="E17" i="61"/>
  <c r="H17" i="61" s="1"/>
  <c r="D22" i="61"/>
  <c r="E25" i="61"/>
  <c r="H25" i="61" s="1"/>
  <c r="E33" i="61"/>
  <c r="H33" i="61" s="1"/>
  <c r="E34" i="61"/>
  <c r="H34" i="61" s="1"/>
  <c r="F42" i="61"/>
  <c r="E48" i="61"/>
  <c r="H48" i="61" s="1"/>
  <c r="D13" i="63"/>
  <c r="D21" i="63"/>
  <c r="BZ12" i="23"/>
  <c r="CC12" i="23" s="1"/>
  <c r="DB19" i="23"/>
  <c r="BX24" i="23"/>
  <c r="DB26" i="23"/>
  <c r="BZ29" i="23"/>
  <c r="CC29" i="23" s="1"/>
  <c r="CA44" i="23"/>
  <c r="CA54" i="23"/>
  <c r="BZ67" i="23"/>
  <c r="BZ69" i="23"/>
  <c r="CC69" i="23" s="1"/>
  <c r="BZ71" i="23"/>
  <c r="CC71" i="23" s="1"/>
  <c r="BZ73" i="23"/>
  <c r="CC73" i="23" s="1"/>
  <c r="BZ75" i="23"/>
  <c r="CC75" i="23" s="1"/>
  <c r="BZ77" i="23"/>
  <c r="CC77" i="23" s="1"/>
  <c r="DL47" i="82"/>
  <c r="DO47" i="82" s="1"/>
  <c r="G4" i="61"/>
  <c r="E11" i="61"/>
  <c r="H11" i="61" s="1"/>
  <c r="G12" i="61"/>
  <c r="E19" i="61"/>
  <c r="H19" i="61" s="1"/>
  <c r="E27" i="61"/>
  <c r="H27" i="61" s="1"/>
  <c r="D32" i="61"/>
  <c r="E36" i="61"/>
  <c r="H36" i="61" s="1"/>
  <c r="E37" i="61"/>
  <c r="H37" i="61" s="1"/>
  <c r="E38" i="61"/>
  <c r="H38" i="61" s="1"/>
  <c r="G42" i="61"/>
  <c r="E50" i="61"/>
  <c r="H50" i="61" s="1"/>
  <c r="F56" i="61"/>
  <c r="E62" i="61"/>
  <c r="H62" i="61" s="1"/>
  <c r="F68" i="61"/>
  <c r="E74" i="61"/>
  <c r="H74" i="61" s="1"/>
  <c r="F4" i="63"/>
  <c r="F3" i="63" s="1"/>
  <c r="E10" i="63"/>
  <c r="H10" i="63" s="1"/>
  <c r="E18" i="63"/>
  <c r="H18" i="63" s="1"/>
  <c r="E26" i="63"/>
  <c r="H26" i="63" s="1"/>
  <c r="D31" i="63"/>
  <c r="E34" i="63"/>
  <c r="H34" i="63" s="1"/>
  <c r="F4" i="68"/>
  <c r="F3" i="68" s="1"/>
  <c r="E30" i="68"/>
  <c r="E29" i="68" s="1"/>
  <c r="E31" i="68"/>
  <c r="H31" i="68" s="1"/>
  <c r="E33" i="68"/>
  <c r="H33" i="68" s="1"/>
  <c r="DY22" i="82"/>
  <c r="DC8" i="23"/>
  <c r="DA10" i="23"/>
  <c r="BZ7" i="23"/>
  <c r="DC22" i="23"/>
  <c r="BY24" i="23"/>
  <c r="BZ30" i="23"/>
  <c r="CC30" i="23" s="1"/>
  <c r="BZ33" i="23"/>
  <c r="CC33" i="23" s="1"/>
  <c r="BZ35" i="23"/>
  <c r="BZ38" i="23"/>
  <c r="CC38" i="23" s="1"/>
  <c r="BZ41" i="23"/>
  <c r="CC41" i="23" s="1"/>
  <c r="BZ47" i="23"/>
  <c r="CC47" i="23" s="1"/>
  <c r="BZ57" i="23"/>
  <c r="CC57" i="23" s="1"/>
  <c r="BZ59" i="23"/>
  <c r="BZ63" i="23"/>
  <c r="CC63" i="23" s="1"/>
  <c r="DC27" i="23"/>
  <c r="BZ28" i="23"/>
  <c r="CC28" i="23" s="1"/>
  <c r="BZ32" i="23"/>
  <c r="CC32" i="23" s="1"/>
  <c r="BZ36" i="23"/>
  <c r="CC36" i="23" s="1"/>
  <c r="BY44" i="23"/>
  <c r="BY58" i="23"/>
  <c r="BY70" i="23"/>
  <c r="CA70" i="23"/>
  <c r="EY13" i="82"/>
  <c r="DN14" i="82"/>
  <c r="DL49" i="82"/>
  <c r="DO49" i="82" s="1"/>
  <c r="FA23" i="82"/>
  <c r="DN44" i="82"/>
  <c r="DL52" i="82"/>
  <c r="DO52" i="82" s="1"/>
  <c r="C4" i="61"/>
  <c r="C12" i="61"/>
  <c r="C22" i="61"/>
  <c r="C32" i="61"/>
  <c r="BX54" i="23"/>
  <c r="BX58" i="23"/>
  <c r="BX66" i="23"/>
  <c r="BX70" i="23"/>
  <c r="EY16" i="82"/>
  <c r="DL29" i="82"/>
  <c r="DL38" i="82"/>
  <c r="G3" i="63"/>
  <c r="DX4" i="82"/>
  <c r="E4" i="62"/>
  <c r="E9" i="68"/>
  <c r="E25" i="68"/>
  <c r="DV14" i="82"/>
  <c r="C13" i="63"/>
  <c r="C21" i="63"/>
  <c r="C31" i="63"/>
  <c r="E4" i="69"/>
  <c r="K4" i="69" s="1"/>
  <c r="C5" i="68"/>
  <c r="C17" i="68"/>
  <c r="DY32" i="82"/>
  <c r="H17" i="59"/>
  <c r="I17" i="59" s="1"/>
  <c r="H18" i="59"/>
  <c r="I18" i="59" s="1"/>
  <c r="BR14" i="23"/>
  <c r="BS14" i="23" s="1"/>
  <c r="E5" i="58"/>
  <c r="E18" i="58"/>
  <c r="H11" i="59"/>
  <c r="I11" i="59" s="1"/>
  <c r="BO46" i="23"/>
  <c r="BO45" i="23" s="1"/>
  <c r="BV15" i="82"/>
  <c r="BK16" i="82"/>
  <c r="BV16" i="82"/>
  <c r="BK11" i="82"/>
  <c r="BO7" i="23"/>
  <c r="BR8" i="23"/>
  <c r="BS8" i="23" s="1"/>
  <c r="BR9" i="23"/>
  <c r="BS9" i="23" s="1"/>
  <c r="BO13" i="23"/>
  <c r="BO14" i="23"/>
  <c r="E19" i="59"/>
  <c r="F3" i="58"/>
  <c r="E8" i="59"/>
  <c r="E9" i="59"/>
  <c r="E10" i="59"/>
  <c r="E12" i="59"/>
  <c r="BO43" i="23"/>
  <c r="H4" i="58"/>
  <c r="I4" i="58" s="1"/>
  <c r="H5" i="58"/>
  <c r="I5" i="58" s="1"/>
  <c r="H18" i="58"/>
  <c r="I18" i="58" s="1"/>
  <c r="E6" i="58"/>
  <c r="E10" i="58"/>
  <c r="E15" i="58"/>
  <c r="BO12" i="23"/>
  <c r="BO30" i="23"/>
  <c r="BO31" i="23"/>
  <c r="BO33" i="23"/>
  <c r="BO34" i="23"/>
  <c r="BQ41" i="23"/>
  <c r="BR12" i="23"/>
  <c r="BS12" i="23" s="1"/>
  <c r="BR34" i="23"/>
  <c r="BS34" i="23" s="1"/>
  <c r="BO11" i="23"/>
  <c r="BO18" i="23"/>
  <c r="BQ29" i="23"/>
  <c r="BO35" i="23"/>
  <c r="BO36" i="23"/>
  <c r="BO37" i="23"/>
  <c r="BO39" i="23"/>
  <c r="E9" i="58"/>
  <c r="E14" i="58"/>
  <c r="H5" i="59"/>
  <c r="I5" i="59" s="1"/>
  <c r="H6" i="59"/>
  <c r="I6" i="59" s="1"/>
  <c r="H7" i="59"/>
  <c r="I7" i="59" s="1"/>
  <c r="E17" i="59"/>
  <c r="E18" i="59"/>
  <c r="F4" i="59"/>
  <c r="BR30" i="23"/>
  <c r="BS30" i="23" s="1"/>
  <c r="BM41" i="23"/>
  <c r="BR6" i="23"/>
  <c r="BS6" i="23" s="1"/>
  <c r="BO10" i="23"/>
  <c r="BR11" i="23"/>
  <c r="BS11" i="23" s="1"/>
  <c r="BO16" i="23"/>
  <c r="BR17" i="23"/>
  <c r="BS17" i="23" s="1"/>
  <c r="BR31" i="23"/>
  <c r="BS31" i="23" s="1"/>
  <c r="BR32" i="23"/>
  <c r="BS32" i="23" s="1"/>
  <c r="BN41" i="23"/>
  <c r="BR44" i="23"/>
  <c r="BS44" i="23" s="1"/>
  <c r="H7" i="58"/>
  <c r="I7" i="58" s="1"/>
  <c r="H8" i="58"/>
  <c r="I8" i="58" s="1"/>
  <c r="H9" i="58"/>
  <c r="I9" i="58" s="1"/>
  <c r="H11" i="58"/>
  <c r="H12" i="58"/>
  <c r="I12" i="58" s="1"/>
  <c r="H14" i="58"/>
  <c r="I14" i="58" s="1"/>
  <c r="E7" i="59"/>
  <c r="H10" i="58"/>
  <c r="I10" i="58" s="1"/>
  <c r="BN5" i="23"/>
  <c r="BO6" i="23"/>
  <c r="BR7" i="23"/>
  <c r="BS7" i="23" s="1"/>
  <c r="BR13" i="23"/>
  <c r="BS13" i="23" s="1"/>
  <c r="BO17" i="23"/>
  <c r="BR19" i="23"/>
  <c r="BS19" i="23" s="1"/>
  <c r="BP29" i="23"/>
  <c r="BM29" i="23"/>
  <c r="BR38" i="23"/>
  <c r="BS38" i="23" s="1"/>
  <c r="BP41" i="23"/>
  <c r="BR43" i="23"/>
  <c r="BS43" i="23" s="1"/>
  <c r="BO44" i="23"/>
  <c r="E4" i="58"/>
  <c r="E11" i="58"/>
  <c r="E12" i="58"/>
  <c r="E5" i="59"/>
  <c r="E6" i="59"/>
  <c r="E11" i="59"/>
  <c r="H19" i="59"/>
  <c r="I19" i="59" s="1"/>
  <c r="BO19" i="23"/>
  <c r="BR20" i="23"/>
  <c r="BS20" i="23" s="1"/>
  <c r="BO38" i="23"/>
  <c r="BR42" i="23"/>
  <c r="BS42" i="23" s="1"/>
  <c r="D3" i="58"/>
  <c r="H6" i="58"/>
  <c r="I6" i="58" s="1"/>
  <c r="H15" i="58"/>
  <c r="I15" i="58" s="1"/>
  <c r="H16" i="58"/>
  <c r="I16" i="58" s="1"/>
  <c r="H17" i="58"/>
  <c r="I17" i="58" s="1"/>
  <c r="D4" i="59"/>
  <c r="H12" i="59"/>
  <c r="I12" i="59" s="1"/>
  <c r="H13" i="59"/>
  <c r="I13" i="59" s="1"/>
  <c r="H14" i="59"/>
  <c r="I14" i="59" s="1"/>
  <c r="H21" i="59"/>
  <c r="I21" i="59" s="1"/>
  <c r="I20" i="59" s="1"/>
  <c r="BP5" i="23"/>
  <c r="CU5" i="23" s="1"/>
  <c r="D4" i="67" s="1"/>
  <c r="D3" i="67" s="1"/>
  <c r="BO8" i="23"/>
  <c r="BO9" i="23"/>
  <c r="BR10" i="23"/>
  <c r="BS10" i="23" s="1"/>
  <c r="BR16" i="23"/>
  <c r="BS16" i="23" s="1"/>
  <c r="BO20" i="23"/>
  <c r="BR35" i="23"/>
  <c r="BS35" i="23" s="1"/>
  <c r="BR36" i="23"/>
  <c r="BS36" i="23" s="1"/>
  <c r="BR39" i="23"/>
  <c r="BS39" i="23" s="1"/>
  <c r="BO42" i="23"/>
  <c r="BM45" i="23"/>
  <c r="BR46" i="23"/>
  <c r="BS46" i="23" s="1"/>
  <c r="BS45" i="23" s="1"/>
  <c r="E7" i="58"/>
  <c r="E8" i="58"/>
  <c r="E16" i="58"/>
  <c r="E17" i="58"/>
  <c r="H8" i="59"/>
  <c r="I8" i="59" s="1"/>
  <c r="H9" i="59"/>
  <c r="I9" i="59" s="1"/>
  <c r="H10" i="59"/>
  <c r="I10" i="59" s="1"/>
  <c r="E13" i="59"/>
  <c r="E14" i="59"/>
  <c r="E21" i="59"/>
  <c r="E20" i="59" s="1"/>
  <c r="I11" i="58"/>
  <c r="BR33" i="23"/>
  <c r="BS33" i="23" s="1"/>
  <c r="BR37" i="23"/>
  <c r="BS37" i="23" s="1"/>
  <c r="C3" i="58"/>
  <c r="G3" i="58"/>
  <c r="BR18" i="23"/>
  <c r="BS18" i="23" s="1"/>
  <c r="BN6" i="82"/>
  <c r="BO6" i="82" s="1"/>
  <c r="CJ6" i="82"/>
  <c r="CK6" i="82" s="1"/>
  <c r="CG10" i="82"/>
  <c r="C4" i="59"/>
  <c r="G4" i="59"/>
  <c r="C16" i="59"/>
  <c r="G16" i="59"/>
  <c r="C20" i="59"/>
  <c r="BM5" i="23"/>
  <c r="CT5" i="23" s="1"/>
  <c r="BQ5" i="23"/>
  <c r="CV5" i="23" s="1"/>
  <c r="BO32" i="23"/>
  <c r="H5" i="48"/>
  <c r="E6" i="48"/>
  <c r="L7" i="23"/>
  <c r="AL11" i="23"/>
  <c r="D10" i="53" s="1"/>
  <c r="AK15" i="23"/>
  <c r="C14" i="53" s="1"/>
  <c r="BC20" i="23"/>
  <c r="AR22" i="23"/>
  <c r="AK25" i="23"/>
  <c r="C24" i="53" s="1"/>
  <c r="M29" i="23"/>
  <c r="D34" i="23"/>
  <c r="F43" i="23"/>
  <c r="M47" i="23"/>
  <c r="AH11" i="82"/>
  <c r="E18" i="82"/>
  <c r="E27" i="82"/>
  <c r="E47" i="82"/>
  <c r="L56" i="82"/>
  <c r="L55" i="82" s="1"/>
  <c r="C30" i="49"/>
  <c r="C129" i="49"/>
  <c r="L6" i="23"/>
  <c r="AT9" i="23"/>
  <c r="AS11" i="23"/>
  <c r="M13" i="23"/>
  <c r="M16" i="23"/>
  <c r="M20" i="23"/>
  <c r="AR21" i="23"/>
  <c r="M22" i="23"/>
  <c r="BC22" i="23"/>
  <c r="AR23" i="23"/>
  <c r="AK24" i="23"/>
  <c r="C23" i="53" s="1"/>
  <c r="AL29" i="23"/>
  <c r="D28" i="53" s="1"/>
  <c r="F30" i="23"/>
  <c r="AL31" i="23"/>
  <c r="D30" i="53" s="1"/>
  <c r="F32" i="23"/>
  <c r="L34" i="23"/>
  <c r="E35" i="23"/>
  <c r="E37" i="23"/>
  <c r="F49" i="23"/>
  <c r="D50" i="23"/>
  <c r="AN8" i="82"/>
  <c r="AP10" i="82"/>
  <c r="E30" i="82"/>
  <c r="C14" i="49"/>
  <c r="D35" i="49"/>
  <c r="C65" i="49"/>
  <c r="D6" i="23"/>
  <c r="AT14" i="23"/>
  <c r="D17" i="23"/>
  <c r="E20" i="23"/>
  <c r="E22" i="23"/>
  <c r="M31" i="23"/>
  <c r="AT8" i="23"/>
  <c r="D10" i="23"/>
  <c r="AU10" i="23"/>
  <c r="F11" i="23"/>
  <c r="BD11" i="23"/>
  <c r="AL13" i="23"/>
  <c r="D12" i="53" s="1"/>
  <c r="E15" i="23"/>
  <c r="AK16" i="23"/>
  <c r="C15" i="53" s="1"/>
  <c r="AU17" i="23"/>
  <c r="AL19" i="23"/>
  <c r="D18" i="53" s="1"/>
  <c r="AK20" i="23"/>
  <c r="C19" i="53" s="1"/>
  <c r="E21" i="23"/>
  <c r="BC21" i="23"/>
  <c r="AR24" i="23"/>
  <c r="E25" i="23"/>
  <c r="D28" i="23"/>
  <c r="M35" i="23"/>
  <c r="F36" i="23"/>
  <c r="M37" i="23"/>
  <c r="M40" i="23"/>
  <c r="L45" i="23"/>
  <c r="D48" i="23"/>
  <c r="K16" i="82"/>
  <c r="E36" i="82"/>
  <c r="K50" i="82"/>
  <c r="D19" i="49"/>
  <c r="D150" i="49"/>
  <c r="C64" i="50"/>
  <c r="D150" i="50"/>
  <c r="D19" i="50"/>
  <c r="E16" i="23"/>
  <c r="F19" i="23"/>
  <c r="AK21" i="23"/>
  <c r="C20" i="53" s="1"/>
  <c r="AK23" i="23"/>
  <c r="C22" i="53" s="1"/>
  <c r="L27" i="23"/>
  <c r="D38" i="23"/>
  <c r="L41" i="23"/>
  <c r="M44" i="23"/>
  <c r="AG6" i="82"/>
  <c r="AN17" i="82"/>
  <c r="AK6" i="23"/>
  <c r="C5" i="53" s="1"/>
  <c r="D7" i="23"/>
  <c r="L10" i="23"/>
  <c r="AT12" i="23"/>
  <c r="AS13" i="23"/>
  <c r="M15" i="23"/>
  <c r="AR16" i="23"/>
  <c r="AT18" i="23"/>
  <c r="AS19" i="23"/>
  <c r="AR20" i="23"/>
  <c r="M21" i="23"/>
  <c r="AK22" i="23"/>
  <c r="C21" i="53" s="1"/>
  <c r="M25" i="23"/>
  <c r="D27" i="23"/>
  <c r="AK28" i="23"/>
  <c r="C27" i="53" s="1"/>
  <c r="E29" i="23"/>
  <c r="E31" i="23"/>
  <c r="F39" i="23"/>
  <c r="E44" i="23"/>
  <c r="E47" i="23"/>
  <c r="AY9" i="82"/>
  <c r="AP22" i="82"/>
  <c r="L41" i="82"/>
  <c r="D3" i="49"/>
  <c r="C47" i="49"/>
  <c r="E6" i="23"/>
  <c r="M6" i="23"/>
  <c r="AL6" i="23"/>
  <c r="D5" i="53" s="1"/>
  <c r="E7" i="23"/>
  <c r="M7" i="23"/>
  <c r="D8" i="23"/>
  <c r="L8" i="23"/>
  <c r="AU8" i="23"/>
  <c r="D9" i="23"/>
  <c r="L9" i="23"/>
  <c r="AU9" i="23"/>
  <c r="E10" i="23"/>
  <c r="M10" i="23"/>
  <c r="AK10" i="23"/>
  <c r="C9" i="53" s="1"/>
  <c r="AR10" i="23"/>
  <c r="BC10" i="23"/>
  <c r="AT11" i="23"/>
  <c r="D12" i="23"/>
  <c r="L12" i="23"/>
  <c r="AU12" i="23"/>
  <c r="AT13" i="23"/>
  <c r="D14" i="23"/>
  <c r="AU14" i="23"/>
  <c r="F15" i="23"/>
  <c r="AL15" i="23"/>
  <c r="D14" i="53" s="1"/>
  <c r="F16" i="23"/>
  <c r="AL16" i="23"/>
  <c r="D15" i="53" s="1"/>
  <c r="AS16" i="23"/>
  <c r="E17" i="23"/>
  <c r="AR17" i="23"/>
  <c r="D18" i="23"/>
  <c r="L18" i="23"/>
  <c r="AU18" i="23"/>
  <c r="AT19" i="23"/>
  <c r="F20" i="23"/>
  <c r="AL20" i="23"/>
  <c r="D19" i="53" s="1"/>
  <c r="AS20" i="23"/>
  <c r="BD20" i="23"/>
  <c r="F21" i="23"/>
  <c r="AL21" i="23"/>
  <c r="D20" i="53" s="1"/>
  <c r="AS21" i="23"/>
  <c r="BD21" i="23"/>
  <c r="F22" i="23"/>
  <c r="AL22" i="23"/>
  <c r="D21" i="53" s="1"/>
  <c r="AS22" i="23"/>
  <c r="BD22" i="23"/>
  <c r="AL23" i="23"/>
  <c r="D22" i="53" s="1"/>
  <c r="AS23" i="23"/>
  <c r="AL24" i="23"/>
  <c r="D23" i="53" s="1"/>
  <c r="AS24" i="23"/>
  <c r="F25" i="23"/>
  <c r="AL25" i="23"/>
  <c r="D24" i="53" s="1"/>
  <c r="D26" i="23"/>
  <c r="L26" i="23"/>
  <c r="E27" i="23"/>
  <c r="M27" i="23"/>
  <c r="AK27" i="23"/>
  <c r="C26" i="53" s="1"/>
  <c r="E28" i="23"/>
  <c r="AL28" i="23"/>
  <c r="D27" i="53" s="1"/>
  <c r="F29" i="23"/>
  <c r="F31" i="23"/>
  <c r="L33" i="23"/>
  <c r="AK33" i="23"/>
  <c r="C32" i="53" s="1"/>
  <c r="E34" i="23"/>
  <c r="M34" i="23"/>
  <c r="F35" i="23"/>
  <c r="F37" i="23"/>
  <c r="E38" i="23"/>
  <c r="M41" i="23"/>
  <c r="D42" i="23"/>
  <c r="F44" i="23"/>
  <c r="M45" i="23"/>
  <c r="L46" i="23"/>
  <c r="F47" i="23"/>
  <c r="E48" i="23"/>
  <c r="F50" i="23"/>
  <c r="M54" i="23"/>
  <c r="AQ11" i="82"/>
  <c r="AO12" i="82"/>
  <c r="AG13" i="82"/>
  <c r="D14" i="82"/>
  <c r="AH16" i="82"/>
  <c r="E19" i="82"/>
  <c r="E20" i="82"/>
  <c r="L21" i="82"/>
  <c r="E22" i="82"/>
  <c r="AG23" i="82"/>
  <c r="K25" i="82"/>
  <c r="E26" i="82"/>
  <c r="AH27" i="82"/>
  <c r="AH30" i="82"/>
  <c r="K32" i="82"/>
  <c r="L33" i="82"/>
  <c r="E37" i="82"/>
  <c r="E43" i="82"/>
  <c r="D52" i="82"/>
  <c r="AH59" i="82"/>
  <c r="C10" i="49"/>
  <c r="D15" i="49"/>
  <c r="C26" i="49"/>
  <c r="D31" i="49"/>
  <c r="C43" i="49"/>
  <c r="D48" i="49"/>
  <c r="C55" i="49"/>
  <c r="D70" i="49"/>
  <c r="C113" i="49"/>
  <c r="D134" i="49"/>
  <c r="C181" i="49"/>
  <c r="D3" i="50"/>
  <c r="C46" i="50"/>
  <c r="F27" i="55"/>
  <c r="F19" i="55"/>
  <c r="F17" i="55"/>
  <c r="F8" i="55"/>
  <c r="F6" i="55"/>
  <c r="E100" i="54"/>
  <c r="E99" i="54"/>
  <c r="E98" i="54"/>
  <c r="E97" i="54"/>
  <c r="E96" i="54"/>
  <c r="E95" i="54"/>
  <c r="E94" i="54"/>
  <c r="E93" i="54"/>
  <c r="E92" i="54"/>
  <c r="E91" i="54"/>
  <c r="E90" i="54"/>
  <c r="E89" i="54"/>
  <c r="E88" i="54"/>
  <c r="E87" i="54"/>
  <c r="E86" i="54"/>
  <c r="E85" i="54"/>
  <c r="E84" i="54"/>
  <c r="E83" i="54"/>
  <c r="E82" i="54"/>
  <c r="E81" i="54"/>
  <c r="E80" i="54"/>
  <c r="E79" i="54"/>
  <c r="E78" i="54"/>
  <c r="E77" i="54"/>
  <c r="E76" i="54"/>
  <c r="E75" i="54"/>
  <c r="E74" i="54"/>
  <c r="E73" i="54"/>
  <c r="E72" i="54"/>
  <c r="E71" i="54"/>
  <c r="E70" i="54"/>
  <c r="E69" i="54"/>
  <c r="E68" i="54"/>
  <c r="E67" i="54"/>
  <c r="E66" i="54"/>
  <c r="E65" i="54"/>
  <c r="E64" i="54"/>
  <c r="E63" i="54"/>
  <c r="E62" i="54"/>
  <c r="E61" i="54"/>
  <c r="E60" i="54"/>
  <c r="E59" i="54"/>
  <c r="E58" i="54"/>
  <c r="E57" i="54"/>
  <c r="E56" i="54"/>
  <c r="E55" i="54"/>
  <c r="E54" i="54"/>
  <c r="E53" i="54"/>
  <c r="E52" i="54"/>
  <c r="E51" i="54"/>
  <c r="E50" i="54"/>
  <c r="E49" i="54"/>
  <c r="E48" i="54"/>
  <c r="E47" i="54"/>
  <c r="E46" i="54"/>
  <c r="E45" i="54"/>
  <c r="E44" i="54"/>
  <c r="E43" i="54"/>
  <c r="E40" i="54"/>
  <c r="E39" i="54"/>
  <c r="E38" i="54"/>
  <c r="E37" i="54"/>
  <c r="E36" i="54"/>
  <c r="E35" i="54"/>
  <c r="E34" i="54"/>
  <c r="E33" i="54"/>
  <c r="E32" i="54"/>
  <c r="E31" i="54"/>
  <c r="E30" i="54"/>
  <c r="E29" i="54"/>
  <c r="E28" i="54"/>
  <c r="E27" i="54"/>
  <c r="E26" i="54"/>
  <c r="E25" i="54"/>
  <c r="E24" i="54"/>
  <c r="E23" i="54"/>
  <c r="E22" i="54"/>
  <c r="E21" i="54"/>
  <c r="E20" i="54"/>
  <c r="E27" i="55"/>
  <c r="E19" i="55"/>
  <c r="E17" i="55"/>
  <c r="E8" i="55"/>
  <c r="E6" i="55"/>
  <c r="D100" i="54"/>
  <c r="D99" i="54"/>
  <c r="D98" i="54"/>
  <c r="D97" i="54"/>
  <c r="D96" i="54"/>
  <c r="D95" i="54"/>
  <c r="D94" i="54"/>
  <c r="D93" i="54"/>
  <c r="D92" i="54"/>
  <c r="D91" i="54"/>
  <c r="D90" i="54"/>
  <c r="D89" i="54"/>
  <c r="D88" i="54"/>
  <c r="D87" i="54"/>
  <c r="D86" i="54"/>
  <c r="D85" i="54"/>
  <c r="D84" i="54"/>
  <c r="D83" i="54"/>
  <c r="D82" i="54"/>
  <c r="D81" i="54"/>
  <c r="D80" i="54"/>
  <c r="D79" i="54"/>
  <c r="D78" i="54"/>
  <c r="D77" i="54"/>
  <c r="D76" i="54"/>
  <c r="D75" i="54"/>
  <c r="D74" i="54"/>
  <c r="D73" i="54"/>
  <c r="D72" i="54"/>
  <c r="D71" i="54"/>
  <c r="D70" i="54"/>
  <c r="D69" i="54"/>
  <c r="D68" i="54"/>
  <c r="D67" i="54"/>
  <c r="D66" i="54"/>
  <c r="D65" i="54"/>
  <c r="D64" i="54"/>
  <c r="D63" i="54"/>
  <c r="D62" i="54"/>
  <c r="D61" i="54"/>
  <c r="D60" i="54"/>
  <c r="D59" i="54"/>
  <c r="D58" i="54"/>
  <c r="D57" i="54"/>
  <c r="D56" i="54"/>
  <c r="D55" i="54"/>
  <c r="D54" i="54"/>
  <c r="D53" i="54"/>
  <c r="D52" i="54"/>
  <c r="D51" i="54"/>
  <c r="D50" i="54"/>
  <c r="D49" i="54"/>
  <c r="D48" i="54"/>
  <c r="D47" i="54"/>
  <c r="D46" i="54"/>
  <c r="D45" i="54"/>
  <c r="D44" i="54"/>
  <c r="D43" i="54"/>
  <c r="D40" i="54"/>
  <c r="D39" i="54"/>
  <c r="D38" i="54"/>
  <c r="D37" i="54"/>
  <c r="D36" i="54"/>
  <c r="D35" i="54"/>
  <c r="D34" i="54"/>
  <c r="D33" i="54"/>
  <c r="D32" i="54"/>
  <c r="D31" i="54"/>
  <c r="D30" i="54"/>
  <c r="D29" i="54"/>
  <c r="D28" i="54"/>
  <c r="D27" i="54"/>
  <c r="D26" i="54"/>
  <c r="D25" i="54"/>
  <c r="D24" i="54"/>
  <c r="D23" i="54"/>
  <c r="F18" i="55"/>
  <c r="F7" i="55"/>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55" i="54"/>
  <c r="C54" i="54"/>
  <c r="C53" i="54"/>
  <c r="C52" i="54"/>
  <c r="C51" i="54"/>
  <c r="C50" i="54"/>
  <c r="C49" i="54"/>
  <c r="C48" i="54"/>
  <c r="C47" i="54"/>
  <c r="C46" i="54"/>
  <c r="C45" i="54"/>
  <c r="C44" i="54"/>
  <c r="C43" i="54"/>
  <c r="C40" i="54"/>
  <c r="C39" i="54"/>
  <c r="C38" i="54"/>
  <c r="C37" i="54"/>
  <c r="C36" i="54"/>
  <c r="C35" i="54"/>
  <c r="C34" i="54"/>
  <c r="C33" i="54"/>
  <c r="C32" i="54"/>
  <c r="C31" i="54"/>
  <c r="C30" i="54"/>
  <c r="C29" i="54"/>
  <c r="C28" i="54"/>
  <c r="C27" i="54"/>
  <c r="C26" i="54"/>
  <c r="C25" i="54"/>
  <c r="C24" i="54"/>
  <c r="C23" i="54"/>
  <c r="C22" i="54"/>
  <c r="C21" i="54"/>
  <c r="C20" i="54"/>
  <c r="F99" i="54"/>
  <c r="F95" i="54"/>
  <c r="F91" i="54"/>
  <c r="F87" i="54"/>
  <c r="F83" i="54"/>
  <c r="F79" i="54"/>
  <c r="F75" i="54"/>
  <c r="F71" i="54"/>
  <c r="F67" i="54"/>
  <c r="F63" i="54"/>
  <c r="F59" i="54"/>
  <c r="F55" i="54"/>
  <c r="F51" i="54"/>
  <c r="F47" i="54"/>
  <c r="F43" i="54"/>
  <c r="F38" i="54"/>
  <c r="F34" i="54"/>
  <c r="F30" i="54"/>
  <c r="F26" i="54"/>
  <c r="F22" i="54"/>
  <c r="F20" i="54"/>
  <c r="D19" i="54"/>
  <c r="D18" i="54"/>
  <c r="D17" i="54"/>
  <c r="D16" i="54"/>
  <c r="D15" i="54"/>
  <c r="D14" i="54"/>
  <c r="D13" i="54"/>
  <c r="D12" i="54"/>
  <c r="D11" i="54"/>
  <c r="D10" i="54"/>
  <c r="D9" i="54"/>
  <c r="D8" i="54"/>
  <c r="D7" i="54"/>
  <c r="D6" i="54"/>
  <c r="D5" i="54"/>
  <c r="C15" i="51"/>
  <c r="G15" i="51" s="1"/>
  <c r="D11" i="51"/>
  <c r="G11" i="51" s="1"/>
  <c r="C6" i="51"/>
  <c r="G6" i="51" s="1"/>
  <c r="D3" i="51"/>
  <c r="C206" i="50"/>
  <c r="D203" i="50"/>
  <c r="C202" i="50"/>
  <c r="D199" i="50"/>
  <c r="C198" i="50"/>
  <c r="D195" i="50"/>
  <c r="C194" i="50"/>
  <c r="D191" i="50"/>
  <c r="C190" i="50"/>
  <c r="D187" i="50"/>
  <c r="C186" i="50"/>
  <c r="D183" i="50"/>
  <c r="C182" i="50"/>
  <c r="D179" i="50"/>
  <c r="C178" i="50"/>
  <c r="D175" i="50"/>
  <c r="C174" i="50"/>
  <c r="D171" i="50"/>
  <c r="C170" i="50"/>
  <c r="D167" i="50"/>
  <c r="C166" i="50"/>
  <c r="D163" i="50"/>
  <c r="C162" i="50"/>
  <c r="D159" i="50"/>
  <c r="C158" i="50"/>
  <c r="D155" i="50"/>
  <c r="C154" i="50"/>
  <c r="D151" i="50"/>
  <c r="C150" i="50"/>
  <c r="D147" i="50"/>
  <c r="E7" i="55"/>
  <c r="F98" i="54"/>
  <c r="F94" i="54"/>
  <c r="F90" i="54"/>
  <c r="F86" i="54"/>
  <c r="F82" i="54"/>
  <c r="F78" i="54"/>
  <c r="F74" i="54"/>
  <c r="F70" i="54"/>
  <c r="F66" i="54"/>
  <c r="F62" i="54"/>
  <c r="F58" i="54"/>
  <c r="F54" i="54"/>
  <c r="F50" i="54"/>
  <c r="F46" i="54"/>
  <c r="F37" i="54"/>
  <c r="F33" i="54"/>
  <c r="F29" i="54"/>
  <c r="F25" i="54"/>
  <c r="D22" i="54"/>
  <c r="D20" i="54"/>
  <c r="C19" i="54"/>
  <c r="C18" i="54"/>
  <c r="C17" i="54"/>
  <c r="C16" i="54"/>
  <c r="C15" i="54"/>
  <c r="C14" i="54"/>
  <c r="C13" i="54"/>
  <c r="C12" i="54"/>
  <c r="C11" i="54"/>
  <c r="C10" i="54"/>
  <c r="C9" i="54"/>
  <c r="C8" i="54"/>
  <c r="C7" i="54"/>
  <c r="C6" i="54"/>
  <c r="C5" i="54"/>
  <c r="E22" i="51"/>
  <c r="G22" i="51" s="1"/>
  <c r="D10" i="51"/>
  <c r="G10" i="51" s="1"/>
  <c r="C5" i="51"/>
  <c r="G5" i="51" s="1"/>
  <c r="D204" i="50"/>
  <c r="C203" i="50"/>
  <c r="D200" i="50"/>
  <c r="C199" i="50"/>
  <c r="D196" i="50"/>
  <c r="C195" i="50"/>
  <c r="D192" i="50"/>
  <c r="C191" i="50"/>
  <c r="D188" i="50"/>
  <c r="C187" i="50"/>
  <c r="D184" i="50"/>
  <c r="C183" i="50"/>
  <c r="D180" i="50"/>
  <c r="C179" i="50"/>
  <c r="D176" i="50"/>
  <c r="C175" i="50"/>
  <c r="D172" i="50"/>
  <c r="C171" i="50"/>
  <c r="D168" i="50"/>
  <c r="C167" i="50"/>
  <c r="D164" i="50"/>
  <c r="C163" i="50"/>
  <c r="D160" i="50"/>
  <c r="C159" i="50"/>
  <c r="D156" i="50"/>
  <c r="C155" i="50"/>
  <c r="D152" i="50"/>
  <c r="C151" i="50"/>
  <c r="E18" i="55"/>
  <c r="F97" i="54"/>
  <c r="F93" i="54"/>
  <c r="F89" i="54"/>
  <c r="F85" i="54"/>
  <c r="F81" i="54"/>
  <c r="F77" i="54"/>
  <c r="F73" i="54"/>
  <c r="F69" i="54"/>
  <c r="F65" i="54"/>
  <c r="F61" i="54"/>
  <c r="F57" i="54"/>
  <c r="F53" i="54"/>
  <c r="F49" i="54"/>
  <c r="F45" i="54"/>
  <c r="F40" i="54"/>
  <c r="F36" i="54"/>
  <c r="F32" i="54"/>
  <c r="F28" i="54"/>
  <c r="F24" i="54"/>
  <c r="F21" i="54"/>
  <c r="F19" i="54"/>
  <c r="F18" i="54"/>
  <c r="F17" i="54"/>
  <c r="F16" i="54"/>
  <c r="F15" i="54"/>
  <c r="F14" i="54"/>
  <c r="F13" i="54"/>
  <c r="F12" i="54"/>
  <c r="F11" i="54"/>
  <c r="F10" i="54"/>
  <c r="F9" i="54"/>
  <c r="F8" i="54"/>
  <c r="F7" i="54"/>
  <c r="F6" i="54"/>
  <c r="F5" i="54"/>
  <c r="E21" i="51"/>
  <c r="G21" i="51" s="1"/>
  <c r="C17" i="51"/>
  <c r="G17" i="51" s="1"/>
  <c r="D205" i="50"/>
  <c r="C204" i="50"/>
  <c r="D201" i="50"/>
  <c r="C200" i="50"/>
  <c r="D197" i="50"/>
  <c r="C196" i="50"/>
  <c r="D193" i="50"/>
  <c r="C192" i="50"/>
  <c r="D189" i="50"/>
  <c r="C188" i="50"/>
  <c r="D185" i="50"/>
  <c r="C184" i="50"/>
  <c r="D181" i="50"/>
  <c r="C180" i="50"/>
  <c r="D177" i="50"/>
  <c r="C176" i="50"/>
  <c r="D173" i="50"/>
  <c r="C172" i="50"/>
  <c r="D169" i="50"/>
  <c r="C168" i="50"/>
  <c r="D165" i="50"/>
  <c r="C164" i="50"/>
  <c r="D161" i="50"/>
  <c r="C160" i="50"/>
  <c r="D157" i="50"/>
  <c r="C156" i="50"/>
  <c r="D153" i="50"/>
  <c r="C152" i="50"/>
  <c r="D149" i="50"/>
  <c r="C148" i="50"/>
  <c r="F88" i="54"/>
  <c r="F72" i="54"/>
  <c r="F56" i="54"/>
  <c r="F39" i="54"/>
  <c r="F23" i="54"/>
  <c r="E17" i="54"/>
  <c r="E13" i="54"/>
  <c r="E9" i="54"/>
  <c r="E5" i="54"/>
  <c r="C16" i="51"/>
  <c r="G16" i="51" s="1"/>
  <c r="D202" i="50"/>
  <c r="C197" i="50"/>
  <c r="D186" i="50"/>
  <c r="C181" i="50"/>
  <c r="D170" i="50"/>
  <c r="C165" i="50"/>
  <c r="D154" i="50"/>
  <c r="C147" i="50"/>
  <c r="D144" i="50"/>
  <c r="C143" i="50"/>
  <c r="D140" i="50"/>
  <c r="C139" i="50"/>
  <c r="D136" i="50"/>
  <c r="C135" i="50"/>
  <c r="D132" i="50"/>
  <c r="C131" i="50"/>
  <c r="D128" i="50"/>
  <c r="C127" i="50"/>
  <c r="D124" i="50"/>
  <c r="C123" i="50"/>
  <c r="D120" i="50"/>
  <c r="C119" i="50"/>
  <c r="D116" i="50"/>
  <c r="C115" i="50"/>
  <c r="D112" i="50"/>
  <c r="C111" i="50"/>
  <c r="D108" i="50"/>
  <c r="C107" i="50"/>
  <c r="D104" i="50"/>
  <c r="C103" i="50"/>
  <c r="D100" i="50"/>
  <c r="C99" i="50"/>
  <c r="D96" i="50"/>
  <c r="C95" i="50"/>
  <c r="D92" i="50"/>
  <c r="C91" i="50"/>
  <c r="D88" i="50"/>
  <c r="C87" i="50"/>
  <c r="D84" i="50"/>
  <c r="C83" i="50"/>
  <c r="D80" i="50"/>
  <c r="C79" i="50"/>
  <c r="D76" i="50"/>
  <c r="C75" i="50"/>
  <c r="D72" i="50"/>
  <c r="C71" i="50"/>
  <c r="D68" i="50"/>
  <c r="C67" i="50"/>
  <c r="D64" i="50"/>
  <c r="C63" i="50"/>
  <c r="D60" i="50"/>
  <c r="F100" i="54"/>
  <c r="F84" i="54"/>
  <c r="F68" i="54"/>
  <c r="F52" i="54"/>
  <c r="G52" i="54" s="1"/>
  <c r="F35" i="54"/>
  <c r="D21" i="54"/>
  <c r="E16" i="54"/>
  <c r="E12" i="54"/>
  <c r="E8" i="54"/>
  <c r="C7" i="51"/>
  <c r="G7" i="51" s="1"/>
  <c r="D206" i="50"/>
  <c r="C201" i="50"/>
  <c r="D190" i="50"/>
  <c r="C185" i="50"/>
  <c r="D174" i="50"/>
  <c r="C169" i="50"/>
  <c r="D158" i="50"/>
  <c r="C153" i="50"/>
  <c r="C149" i="50"/>
  <c r="D145" i="50"/>
  <c r="C144" i="50"/>
  <c r="D141" i="50"/>
  <c r="C140" i="50"/>
  <c r="D137" i="50"/>
  <c r="C136" i="50"/>
  <c r="D133" i="50"/>
  <c r="C132" i="50"/>
  <c r="D129" i="50"/>
  <c r="C128" i="50"/>
  <c r="D125" i="50"/>
  <c r="C124" i="50"/>
  <c r="D121" i="50"/>
  <c r="C120" i="50"/>
  <c r="D117" i="50"/>
  <c r="C116" i="50"/>
  <c r="D113" i="50"/>
  <c r="C112" i="50"/>
  <c r="D109" i="50"/>
  <c r="C108" i="50"/>
  <c r="D105" i="50"/>
  <c r="C104" i="50"/>
  <c r="D101" i="50"/>
  <c r="C100" i="50"/>
  <c r="D97" i="50"/>
  <c r="C96" i="50"/>
  <c r="D93" i="50"/>
  <c r="C92" i="50"/>
  <c r="D89" i="50"/>
  <c r="C88" i="50"/>
  <c r="D85" i="50"/>
  <c r="C84" i="50"/>
  <c r="D81" i="50"/>
  <c r="C80" i="50"/>
  <c r="D77" i="50"/>
  <c r="C76" i="50"/>
  <c r="D73" i="50"/>
  <c r="C72" i="50"/>
  <c r="D69" i="50"/>
  <c r="C68" i="50"/>
  <c r="D65" i="50"/>
  <c r="F96" i="54"/>
  <c r="F80" i="54"/>
  <c r="F64" i="54"/>
  <c r="F48" i="54"/>
  <c r="G48" i="54" s="1"/>
  <c r="F31" i="54"/>
  <c r="E19" i="54"/>
  <c r="E15" i="54"/>
  <c r="E11" i="54"/>
  <c r="E7" i="54"/>
  <c r="E20" i="51"/>
  <c r="G20" i="51" s="1"/>
  <c r="C205" i="50"/>
  <c r="D194" i="50"/>
  <c r="C189" i="50"/>
  <c r="D178" i="50"/>
  <c r="C173" i="50"/>
  <c r="D162" i="50"/>
  <c r="C157" i="50"/>
  <c r="D148" i="50"/>
  <c r="D146" i="50"/>
  <c r="C145" i="50"/>
  <c r="D142" i="50"/>
  <c r="C141" i="50"/>
  <c r="D138" i="50"/>
  <c r="C137" i="50"/>
  <c r="D134" i="50"/>
  <c r="C133" i="50"/>
  <c r="D130" i="50"/>
  <c r="C129" i="50"/>
  <c r="D126" i="50"/>
  <c r="C125" i="50"/>
  <c r="D122" i="50"/>
  <c r="C121" i="50"/>
  <c r="D118" i="50"/>
  <c r="C117" i="50"/>
  <c r="D114" i="50"/>
  <c r="C113" i="50"/>
  <c r="D110" i="50"/>
  <c r="C109" i="50"/>
  <c r="D106" i="50"/>
  <c r="C105" i="50"/>
  <c r="D102" i="50"/>
  <c r="C101" i="50"/>
  <c r="D98" i="50"/>
  <c r="C97" i="50"/>
  <c r="D94" i="50"/>
  <c r="C93" i="50"/>
  <c r="D90" i="50"/>
  <c r="C89" i="50"/>
  <c r="D86" i="50"/>
  <c r="C85" i="50"/>
  <c r="D82" i="50"/>
  <c r="C81" i="50"/>
  <c r="D78" i="50"/>
  <c r="C77" i="50"/>
  <c r="D74" i="50"/>
  <c r="C73" i="50"/>
  <c r="D70" i="50"/>
  <c r="C69" i="50"/>
  <c r="D66" i="50"/>
  <c r="C65" i="50"/>
  <c r="D62" i="50"/>
  <c r="C61" i="50"/>
  <c r="F44" i="54"/>
  <c r="E10" i="54"/>
  <c r="D12" i="51"/>
  <c r="G12" i="51" s="1"/>
  <c r="D166" i="50"/>
  <c r="C142" i="50"/>
  <c r="D131" i="50"/>
  <c r="C126" i="50"/>
  <c r="D115" i="50"/>
  <c r="C110" i="50"/>
  <c r="D99" i="50"/>
  <c r="C94" i="50"/>
  <c r="D83" i="50"/>
  <c r="C78" i="50"/>
  <c r="D67" i="50"/>
  <c r="D63" i="50"/>
  <c r="C59" i="50"/>
  <c r="D56" i="50"/>
  <c r="C55" i="50"/>
  <c r="D52" i="50"/>
  <c r="C51" i="50"/>
  <c r="D48" i="50"/>
  <c r="C47" i="50"/>
  <c r="D44" i="50"/>
  <c r="C43" i="50"/>
  <c r="D40" i="50"/>
  <c r="C39" i="50"/>
  <c r="D36" i="50"/>
  <c r="C35" i="50"/>
  <c r="D32" i="50"/>
  <c r="C31" i="50"/>
  <c r="D28" i="50"/>
  <c r="C27" i="50"/>
  <c r="D24" i="50"/>
  <c r="C23" i="50"/>
  <c r="D20" i="50"/>
  <c r="C19" i="50"/>
  <c r="D16" i="50"/>
  <c r="C15" i="50"/>
  <c r="D12" i="50"/>
  <c r="C11" i="50"/>
  <c r="D8" i="50"/>
  <c r="C7" i="50"/>
  <c r="D4" i="50"/>
  <c r="C3" i="50"/>
  <c r="C207" i="50" s="1"/>
  <c r="C195" i="49"/>
  <c r="D191" i="49"/>
  <c r="C190" i="49"/>
  <c r="D187" i="49"/>
  <c r="C186" i="49"/>
  <c r="D183" i="49"/>
  <c r="C182" i="49"/>
  <c r="D177" i="49"/>
  <c r="C176" i="49"/>
  <c r="D171" i="49"/>
  <c r="C170" i="49"/>
  <c r="D167" i="49"/>
  <c r="C166" i="49"/>
  <c r="D163" i="49"/>
  <c r="C162" i="49"/>
  <c r="D159" i="49"/>
  <c r="C158" i="49"/>
  <c r="D155" i="49"/>
  <c r="C154" i="49"/>
  <c r="D151" i="49"/>
  <c r="C150" i="49"/>
  <c r="D147" i="49"/>
  <c r="C146" i="49"/>
  <c r="D143" i="49"/>
  <c r="C142" i="49"/>
  <c r="D139" i="49"/>
  <c r="C138" i="49"/>
  <c r="D135" i="49"/>
  <c r="C134" i="49"/>
  <c r="D131" i="49"/>
  <c r="C130" i="49"/>
  <c r="D127" i="49"/>
  <c r="C126" i="49"/>
  <c r="D123" i="49"/>
  <c r="C122" i="49"/>
  <c r="D119" i="49"/>
  <c r="C118" i="49"/>
  <c r="D115" i="49"/>
  <c r="C114" i="49"/>
  <c r="D111" i="49"/>
  <c r="C110" i="49"/>
  <c r="D107" i="49"/>
  <c r="C106" i="49"/>
  <c r="D103" i="49"/>
  <c r="C102" i="49"/>
  <c r="D99" i="49"/>
  <c r="C98" i="49"/>
  <c r="D95" i="49"/>
  <c r="C94" i="49"/>
  <c r="D91" i="49"/>
  <c r="C90" i="49"/>
  <c r="D87" i="49"/>
  <c r="C86" i="49"/>
  <c r="C86" i="52" s="1"/>
  <c r="D83" i="49"/>
  <c r="C82" i="49"/>
  <c r="D79" i="49"/>
  <c r="C78" i="49"/>
  <c r="D75" i="49"/>
  <c r="C74" i="49"/>
  <c r="D71" i="49"/>
  <c r="C70" i="49"/>
  <c r="D70" i="52" s="1"/>
  <c r="D67" i="49"/>
  <c r="C66" i="49"/>
  <c r="D63" i="49"/>
  <c r="C62" i="49"/>
  <c r="D59" i="49"/>
  <c r="C58" i="49"/>
  <c r="D55" i="49"/>
  <c r="C55" i="52" s="1"/>
  <c r="C54" i="49"/>
  <c r="F92" i="54"/>
  <c r="F27" i="54"/>
  <c r="E6" i="54"/>
  <c r="D182" i="50"/>
  <c r="C161" i="50"/>
  <c r="C146" i="50"/>
  <c r="D135" i="50"/>
  <c r="C130" i="50"/>
  <c r="D119" i="50"/>
  <c r="C114" i="50"/>
  <c r="D103" i="50"/>
  <c r="C98" i="50"/>
  <c r="D87" i="50"/>
  <c r="C82" i="50"/>
  <c r="D71" i="50"/>
  <c r="C66" i="50"/>
  <c r="C60" i="50"/>
  <c r="D57" i="50"/>
  <c r="C56" i="50"/>
  <c r="D53" i="50"/>
  <c r="C52" i="50"/>
  <c r="D49" i="50"/>
  <c r="C48" i="50"/>
  <c r="D45" i="50"/>
  <c r="C44" i="50"/>
  <c r="D41" i="50"/>
  <c r="C40" i="50"/>
  <c r="D37" i="50"/>
  <c r="C36" i="50"/>
  <c r="D33" i="50"/>
  <c r="C32" i="50"/>
  <c r="D29" i="50"/>
  <c r="C28" i="50"/>
  <c r="D25" i="50"/>
  <c r="C24" i="50"/>
  <c r="D21" i="50"/>
  <c r="C20" i="50"/>
  <c r="D17" i="50"/>
  <c r="C16" i="50"/>
  <c r="D13" i="50"/>
  <c r="C12" i="50"/>
  <c r="D9" i="50"/>
  <c r="C8" i="50"/>
  <c r="D5" i="50"/>
  <c r="C4" i="50"/>
  <c r="D192" i="49"/>
  <c r="C191" i="49"/>
  <c r="D188" i="49"/>
  <c r="C187" i="49"/>
  <c r="D184" i="49"/>
  <c r="C183" i="49"/>
  <c r="D180" i="49"/>
  <c r="C177" i="49"/>
  <c r="D172" i="49"/>
  <c r="C171" i="49"/>
  <c r="D168" i="49"/>
  <c r="C167" i="49"/>
  <c r="D164" i="49"/>
  <c r="C163" i="49"/>
  <c r="D160" i="49"/>
  <c r="C159" i="49"/>
  <c r="D156" i="49"/>
  <c r="C155" i="49"/>
  <c r="D152" i="49"/>
  <c r="C151" i="49"/>
  <c r="D148" i="49"/>
  <c r="C147" i="49"/>
  <c r="D144" i="49"/>
  <c r="C143" i="49"/>
  <c r="D140" i="49"/>
  <c r="C139" i="49"/>
  <c r="D136" i="49"/>
  <c r="C135" i="49"/>
  <c r="D132" i="49"/>
  <c r="C131" i="49"/>
  <c r="D128" i="49"/>
  <c r="C127" i="49"/>
  <c r="D124" i="49"/>
  <c r="C123" i="49"/>
  <c r="D120" i="49"/>
  <c r="C119" i="49"/>
  <c r="D116" i="49"/>
  <c r="C115" i="49"/>
  <c r="D112" i="49"/>
  <c r="C111" i="49"/>
  <c r="D108" i="49"/>
  <c r="C107" i="49"/>
  <c r="D104" i="49"/>
  <c r="C103" i="49"/>
  <c r="D100" i="49"/>
  <c r="C99" i="49"/>
  <c r="D96" i="49"/>
  <c r="C95" i="49"/>
  <c r="D92" i="49"/>
  <c r="C91" i="49"/>
  <c r="D88" i="49"/>
  <c r="C87" i="49"/>
  <c r="D84" i="49"/>
  <c r="C83" i="49"/>
  <c r="D80" i="49"/>
  <c r="C79" i="49"/>
  <c r="D76" i="49"/>
  <c r="C75" i="49"/>
  <c r="D72" i="49"/>
  <c r="C71" i="49"/>
  <c r="D68" i="49"/>
  <c r="C67" i="49"/>
  <c r="D64" i="49"/>
  <c r="C63" i="49"/>
  <c r="F76" i="54"/>
  <c r="E18" i="54"/>
  <c r="D198" i="50"/>
  <c r="C177" i="50"/>
  <c r="D139" i="50"/>
  <c r="C134" i="50"/>
  <c r="D123" i="50"/>
  <c r="C118" i="50"/>
  <c r="D107" i="50"/>
  <c r="C102" i="50"/>
  <c r="D91" i="50"/>
  <c r="C86" i="50"/>
  <c r="D75" i="50"/>
  <c r="C70" i="50"/>
  <c r="C62" i="50"/>
  <c r="D58" i="50"/>
  <c r="C57" i="50"/>
  <c r="D54" i="50"/>
  <c r="C53" i="50"/>
  <c r="D50" i="50"/>
  <c r="C49" i="50"/>
  <c r="D46" i="50"/>
  <c r="C45" i="50"/>
  <c r="D42" i="50"/>
  <c r="C41" i="50"/>
  <c r="D38" i="50"/>
  <c r="C37" i="50"/>
  <c r="D34" i="50"/>
  <c r="C33" i="50"/>
  <c r="D30" i="50"/>
  <c r="C29" i="50"/>
  <c r="D26" i="50"/>
  <c r="C25" i="50"/>
  <c r="D22" i="50"/>
  <c r="C21" i="50"/>
  <c r="D18" i="50"/>
  <c r="C17" i="50"/>
  <c r="D14" i="50"/>
  <c r="C13" i="50"/>
  <c r="D10" i="50"/>
  <c r="C9" i="50"/>
  <c r="D6" i="50"/>
  <c r="C5" i="50"/>
  <c r="D194" i="49"/>
  <c r="C192" i="49"/>
  <c r="D189" i="49"/>
  <c r="C188" i="49"/>
  <c r="D188" i="52" s="1"/>
  <c r="D185" i="49"/>
  <c r="C184" i="49"/>
  <c r="D181" i="49"/>
  <c r="C180" i="49"/>
  <c r="D175" i="49"/>
  <c r="C172" i="49"/>
  <c r="D169" i="49"/>
  <c r="C168" i="49"/>
  <c r="D165" i="49"/>
  <c r="C164" i="49"/>
  <c r="D161" i="49"/>
  <c r="C160" i="49"/>
  <c r="D157" i="49"/>
  <c r="C156" i="49"/>
  <c r="D153" i="49"/>
  <c r="C152" i="49"/>
  <c r="D149" i="49"/>
  <c r="C148" i="49"/>
  <c r="D145" i="49"/>
  <c r="C144" i="49"/>
  <c r="D141" i="49"/>
  <c r="C140" i="49"/>
  <c r="D137" i="49"/>
  <c r="C136" i="49"/>
  <c r="D133" i="49"/>
  <c r="C132" i="49"/>
  <c r="D129" i="49"/>
  <c r="C129" i="52" s="1"/>
  <c r="C128" i="49"/>
  <c r="D125" i="49"/>
  <c r="C124" i="49"/>
  <c r="D121" i="49"/>
  <c r="C120" i="49"/>
  <c r="D117" i="49"/>
  <c r="C116" i="49"/>
  <c r="D113" i="49"/>
  <c r="C112" i="49"/>
  <c r="D109" i="49"/>
  <c r="C108" i="49"/>
  <c r="D105" i="49"/>
  <c r="C104" i="49"/>
  <c r="D101" i="49"/>
  <c r="C100" i="49"/>
  <c r="D97" i="49"/>
  <c r="C96" i="49"/>
  <c r="D93" i="49"/>
  <c r="C92" i="49"/>
  <c r="D89" i="49"/>
  <c r="C88" i="49"/>
  <c r="D85" i="49"/>
  <c r="C84" i="49"/>
  <c r="D81" i="49"/>
  <c r="C80" i="49"/>
  <c r="D77" i="49"/>
  <c r="C76" i="49"/>
  <c r="D73" i="49"/>
  <c r="C72" i="49"/>
  <c r="D69" i="49"/>
  <c r="C68" i="49"/>
  <c r="D65" i="49"/>
  <c r="C64" i="49"/>
  <c r="D61" i="49"/>
  <c r="C60" i="49"/>
  <c r="D57" i="49"/>
  <c r="C56" i="49"/>
  <c r="D53" i="49"/>
  <c r="C52" i="49"/>
  <c r="D143" i="50"/>
  <c r="C122" i="50"/>
  <c r="D79" i="50"/>
  <c r="D61" i="50"/>
  <c r="D55" i="50"/>
  <c r="C50" i="50"/>
  <c r="D39" i="50"/>
  <c r="C34" i="50"/>
  <c r="D23" i="50"/>
  <c r="C18" i="50"/>
  <c r="D7" i="50"/>
  <c r="D190" i="49"/>
  <c r="D190" i="52" s="1"/>
  <c r="C185" i="49"/>
  <c r="D170" i="49"/>
  <c r="C165" i="49"/>
  <c r="D154" i="49"/>
  <c r="C149" i="49"/>
  <c r="D138" i="49"/>
  <c r="C133" i="49"/>
  <c r="D122" i="49"/>
  <c r="C122" i="52" s="1"/>
  <c r="C117" i="49"/>
  <c r="D106" i="49"/>
  <c r="C101" i="49"/>
  <c r="D90" i="49"/>
  <c r="C85" i="49"/>
  <c r="D74" i="49"/>
  <c r="C69" i="49"/>
  <c r="C57" i="49"/>
  <c r="D54" i="49"/>
  <c r="D52" i="49"/>
  <c r="D49" i="49"/>
  <c r="C48" i="49"/>
  <c r="D45" i="49"/>
  <c r="C44" i="49"/>
  <c r="D40" i="49"/>
  <c r="C39" i="49"/>
  <c r="D36" i="49"/>
  <c r="C35" i="49"/>
  <c r="D32" i="49"/>
  <c r="C31" i="49"/>
  <c r="D28" i="49"/>
  <c r="C27" i="49"/>
  <c r="D24" i="49"/>
  <c r="C23" i="49"/>
  <c r="D20" i="49"/>
  <c r="C19" i="49"/>
  <c r="D16" i="49"/>
  <c r="C15" i="49"/>
  <c r="D12" i="49"/>
  <c r="C11" i="49"/>
  <c r="D8" i="49"/>
  <c r="C7" i="49"/>
  <c r="D4" i="49"/>
  <c r="C3" i="49"/>
  <c r="AG59" i="82"/>
  <c r="K56" i="82"/>
  <c r="K55" i="82" s="1"/>
  <c r="K53" i="82"/>
  <c r="L52" i="82"/>
  <c r="L51" i="82"/>
  <c r="E50" i="82"/>
  <c r="E49" i="82"/>
  <c r="D47" i="82"/>
  <c r="AB47" i="82" s="1"/>
  <c r="K45" i="82"/>
  <c r="D44" i="82"/>
  <c r="D43" i="82"/>
  <c r="AA43" i="82" s="1"/>
  <c r="K41" i="82"/>
  <c r="K39" i="82"/>
  <c r="D38" i="82"/>
  <c r="D37" i="82"/>
  <c r="AA37" i="82" s="1"/>
  <c r="D36" i="82"/>
  <c r="AA36" i="82" s="1"/>
  <c r="D35" i="82"/>
  <c r="D34" i="82"/>
  <c r="K33" i="82"/>
  <c r="AH32" i="82"/>
  <c r="E32" i="82"/>
  <c r="AG31" i="82"/>
  <c r="D31" i="82"/>
  <c r="AG30" i="82"/>
  <c r="D30" i="82"/>
  <c r="AB30" i="82" s="1"/>
  <c r="K29" i="82"/>
  <c r="AG28" i="82"/>
  <c r="AG27" i="82"/>
  <c r="D27" i="82"/>
  <c r="AB27" i="82" s="1"/>
  <c r="T26" i="82"/>
  <c r="V26" i="82" s="1"/>
  <c r="D26" i="82"/>
  <c r="AB26" i="82" s="1"/>
  <c r="AG25" i="82"/>
  <c r="E25" i="82"/>
  <c r="AQ24" i="82"/>
  <c r="AH24" i="82"/>
  <c r="AO23" i="82"/>
  <c r="AZ22" i="82"/>
  <c r="AO22" i="82"/>
  <c r="D22" i="82"/>
  <c r="AA22" i="82" s="1"/>
  <c r="AQ21" i="82"/>
  <c r="AH21" i="82"/>
  <c r="K21" i="82"/>
  <c r="AZ20" i="82"/>
  <c r="AO20" i="82"/>
  <c r="R20" i="82"/>
  <c r="V20" i="82" s="1"/>
  <c r="D20" i="82"/>
  <c r="AA20" i="82" s="1"/>
  <c r="AO19" i="82"/>
  <c r="R19" i="82"/>
  <c r="V19" i="82" s="1"/>
  <c r="D19" i="82"/>
  <c r="AB19" i="82" s="1"/>
  <c r="AO18" i="82"/>
  <c r="D18" i="82"/>
  <c r="AB18" i="82" s="1"/>
  <c r="AQ17" i="82"/>
  <c r="AR17" i="82" s="1"/>
  <c r="E17" i="82"/>
  <c r="AP16" i="82"/>
  <c r="AG16" i="82"/>
  <c r="E16" i="82"/>
  <c r="S15" i="82"/>
  <c r="V15" i="82" s="1"/>
  <c r="D15" i="82"/>
  <c r="AP14" i="82"/>
  <c r="AG14" i="82"/>
  <c r="AO13" i="82"/>
  <c r="L13" i="82"/>
  <c r="AN12" i="82"/>
  <c r="L12" i="82"/>
  <c r="AP11" i="82"/>
  <c r="AG11" i="82"/>
  <c r="E11" i="82"/>
  <c r="AZ10" i="82"/>
  <c r="AO10" i="82"/>
  <c r="R10" i="82"/>
  <c r="V10" i="82" s="1"/>
  <c r="D10" i="82"/>
  <c r="AQ9" i="82"/>
  <c r="AH9" i="82"/>
  <c r="K9" i="82"/>
  <c r="AQ8" i="82"/>
  <c r="AR8" i="82" s="1"/>
  <c r="AH8" i="82"/>
  <c r="K8" i="82"/>
  <c r="S7" i="82"/>
  <c r="D7" i="82"/>
  <c r="L6" i="82"/>
  <c r="AK58" i="23"/>
  <c r="C57" i="53" s="1"/>
  <c r="L56" i="23"/>
  <c r="L55" i="23" s="1"/>
  <c r="L54" i="23"/>
  <c r="F53" i="23"/>
  <c r="M50" i="23"/>
  <c r="E50" i="23"/>
  <c r="AD50" i="23" s="1"/>
  <c r="F60" i="54"/>
  <c r="G60" i="54" s="1"/>
  <c r="C193" i="50"/>
  <c r="C138" i="50"/>
  <c r="D95" i="50"/>
  <c r="C74" i="50"/>
  <c r="D59" i="50"/>
  <c r="C54" i="50"/>
  <c r="D43" i="50"/>
  <c r="C38" i="50"/>
  <c r="D27" i="50"/>
  <c r="C22" i="50"/>
  <c r="D11" i="50"/>
  <c r="C6" i="50"/>
  <c r="D195" i="49"/>
  <c r="C189" i="49"/>
  <c r="D176" i="49"/>
  <c r="C169" i="49"/>
  <c r="D158" i="49"/>
  <c r="C153" i="49"/>
  <c r="D142" i="49"/>
  <c r="C137" i="49"/>
  <c r="D126" i="49"/>
  <c r="C121" i="49"/>
  <c r="D110" i="49"/>
  <c r="C105" i="49"/>
  <c r="D94" i="49"/>
  <c r="C89" i="49"/>
  <c r="D78" i="49"/>
  <c r="C73" i="49"/>
  <c r="D62" i="49"/>
  <c r="C59" i="49"/>
  <c r="D56" i="49"/>
  <c r="D50" i="49"/>
  <c r="C49" i="49"/>
  <c r="D46" i="49"/>
  <c r="C45" i="49"/>
  <c r="C40" i="49"/>
  <c r="D37" i="49"/>
  <c r="C36" i="49"/>
  <c r="D33" i="49"/>
  <c r="C32" i="49"/>
  <c r="D29" i="49"/>
  <c r="C28" i="49"/>
  <c r="D25" i="49"/>
  <c r="C24" i="49"/>
  <c r="D21" i="49"/>
  <c r="C20" i="49"/>
  <c r="D17" i="49"/>
  <c r="C16" i="49"/>
  <c r="D13" i="49"/>
  <c r="C12" i="49"/>
  <c r="D9" i="49"/>
  <c r="C8" i="49"/>
  <c r="D5" i="49"/>
  <c r="C4" i="49"/>
  <c r="AH58" i="82"/>
  <c r="L54" i="82"/>
  <c r="E53" i="82"/>
  <c r="K52" i="82"/>
  <c r="K51" i="82"/>
  <c r="D50" i="82"/>
  <c r="D49" i="82"/>
  <c r="L47" i="82"/>
  <c r="L46" i="82"/>
  <c r="L44" i="82"/>
  <c r="L43" i="82"/>
  <c r="E42" i="82"/>
  <c r="L40" i="82"/>
  <c r="E39" i="82"/>
  <c r="L37" i="82"/>
  <c r="L36" i="82"/>
  <c r="L35" i="82"/>
  <c r="L34" i="82"/>
  <c r="AH33" i="82"/>
  <c r="AG32" i="82"/>
  <c r="D32" i="82"/>
  <c r="L31" i="82"/>
  <c r="AZ30" i="82"/>
  <c r="L30" i="82"/>
  <c r="AH29" i="82"/>
  <c r="E29" i="82"/>
  <c r="E28" i="82"/>
  <c r="L27" i="82"/>
  <c r="L26" i="82"/>
  <c r="T25" i="82"/>
  <c r="V25" i="82" s="1"/>
  <c r="D25" i="82"/>
  <c r="AP24" i="82"/>
  <c r="AG24" i="82"/>
  <c r="AN23" i="82"/>
  <c r="AY22" i="82"/>
  <c r="AN22" i="82"/>
  <c r="L22" i="82"/>
  <c r="AP21" i="82"/>
  <c r="AG21" i="82"/>
  <c r="E21" i="82"/>
  <c r="AY20" i="82"/>
  <c r="AN20" i="82"/>
  <c r="L20" i="82"/>
  <c r="AN19" i="82"/>
  <c r="L19" i="82"/>
  <c r="AN18" i="82"/>
  <c r="L18" i="82"/>
  <c r="AP17" i="82"/>
  <c r="D17" i="82"/>
  <c r="AO16" i="82"/>
  <c r="S16" i="82"/>
  <c r="V16" i="82" s="1"/>
  <c r="D16" i="82"/>
  <c r="L15" i="82"/>
  <c r="AO14" i="82"/>
  <c r="S14" i="82"/>
  <c r="V14" i="82" s="1"/>
  <c r="AN13" i="82"/>
  <c r="K13" i="82"/>
  <c r="AQ12" i="82"/>
  <c r="AH12" i="82"/>
  <c r="K12" i="82"/>
  <c r="AZ11" i="82"/>
  <c r="AO11" i="82"/>
  <c r="R11" i="82"/>
  <c r="V11" i="82" s="1"/>
  <c r="D11" i="82"/>
  <c r="AY10" i="82"/>
  <c r="AN10" i="82"/>
  <c r="L10" i="82"/>
  <c r="AP9" i="82"/>
  <c r="AG9" i="82"/>
  <c r="E9" i="82"/>
  <c r="AP8" i="82"/>
  <c r="AG8" i="82"/>
  <c r="E8" i="82"/>
  <c r="AH7" i="82"/>
  <c r="L7" i="82"/>
  <c r="K6" i="82"/>
  <c r="M53" i="23"/>
  <c r="E53" i="23"/>
  <c r="F52" i="23"/>
  <c r="M51" i="23"/>
  <c r="L50" i="23"/>
  <c r="E14" i="54"/>
  <c r="D111" i="50"/>
  <c r="C90" i="50"/>
  <c r="C58" i="50"/>
  <c r="D47" i="50"/>
  <c r="C42" i="50"/>
  <c r="D31" i="50"/>
  <c r="C26" i="50"/>
  <c r="D15" i="50"/>
  <c r="C10" i="50"/>
  <c r="C194" i="49"/>
  <c r="D182" i="49"/>
  <c r="C175" i="49"/>
  <c r="D162" i="49"/>
  <c r="C157" i="49"/>
  <c r="D146" i="49"/>
  <c r="C141" i="49"/>
  <c r="D130" i="49"/>
  <c r="C125" i="49"/>
  <c r="D114" i="49"/>
  <c r="C109" i="49"/>
  <c r="D98" i="49"/>
  <c r="C93" i="49"/>
  <c r="D82" i="49"/>
  <c r="C77" i="49"/>
  <c r="D66" i="49"/>
  <c r="C61" i="49"/>
  <c r="D58" i="49"/>
  <c r="C53" i="49"/>
  <c r="D51" i="49"/>
  <c r="C50" i="49"/>
  <c r="D47" i="49"/>
  <c r="C46" i="49"/>
  <c r="D43" i="49"/>
  <c r="D38" i="49"/>
  <c r="C37" i="49"/>
  <c r="D34" i="49"/>
  <c r="C33" i="49"/>
  <c r="D30" i="49"/>
  <c r="C29" i="49"/>
  <c r="D26" i="49"/>
  <c r="C25" i="49"/>
  <c r="D22" i="49"/>
  <c r="C21" i="49"/>
  <c r="D18" i="49"/>
  <c r="C17" i="49"/>
  <c r="D14" i="49"/>
  <c r="C13" i="49"/>
  <c r="D10" i="49"/>
  <c r="C9" i="49"/>
  <c r="D6" i="49"/>
  <c r="C5" i="49"/>
  <c r="AG58" i="82"/>
  <c r="K54" i="82"/>
  <c r="D53" i="82"/>
  <c r="E52" i="82"/>
  <c r="AB52" i="82" s="1"/>
  <c r="L50" i="82"/>
  <c r="L49" i="82"/>
  <c r="E48" i="82"/>
  <c r="K47" i="82"/>
  <c r="K46" i="82"/>
  <c r="K44" i="82"/>
  <c r="K43" i="82"/>
  <c r="D42" i="82"/>
  <c r="K40" i="82"/>
  <c r="D39" i="82"/>
  <c r="K37" i="82"/>
  <c r="K36" i="82"/>
  <c r="K35" i="82"/>
  <c r="K34" i="82"/>
  <c r="AG33" i="82"/>
  <c r="L32" i="82"/>
  <c r="K31" i="82"/>
  <c r="AY30" i="82"/>
  <c r="K30" i="82"/>
  <c r="AG29" i="82"/>
  <c r="D29" i="82"/>
  <c r="D28" i="82"/>
  <c r="K27" i="82"/>
  <c r="AH26" i="82"/>
  <c r="K26" i="82"/>
  <c r="L25" i="82"/>
  <c r="AO24" i="82"/>
  <c r="T24" i="82"/>
  <c r="V24" i="82" s="1"/>
  <c r="AQ23" i="82"/>
  <c r="AH23" i="82"/>
  <c r="AQ22" i="82"/>
  <c r="AH22" i="82"/>
  <c r="K22" i="82"/>
  <c r="AZ21" i="82"/>
  <c r="AO21" i="82"/>
  <c r="R21" i="82"/>
  <c r="V21" i="82" s="1"/>
  <c r="D21" i="82"/>
  <c r="AQ20" i="82"/>
  <c r="AH20" i="82"/>
  <c r="K20" i="82"/>
  <c r="AQ19" i="82"/>
  <c r="AH19" i="82"/>
  <c r="K19" i="82"/>
  <c r="AQ18" i="82"/>
  <c r="AH18" i="82"/>
  <c r="K18" i="82"/>
  <c r="AO17" i="82"/>
  <c r="AN16" i="82"/>
  <c r="L16" i="82"/>
  <c r="AH15" i="82"/>
  <c r="K15" i="82"/>
  <c r="K14" i="82" s="1"/>
  <c r="AN14" i="82"/>
  <c r="E14" i="82"/>
  <c r="AA14" i="82" s="1"/>
  <c r="AQ13" i="82"/>
  <c r="AH13" i="82"/>
  <c r="AP12" i="82"/>
  <c r="AG12" i="82"/>
  <c r="E12" i="82"/>
  <c r="AY11" i="82"/>
  <c r="AN11" i="82"/>
  <c r="AR11" i="82" s="1"/>
  <c r="L11" i="82"/>
  <c r="AQ10" i="82"/>
  <c r="AH10" i="82"/>
  <c r="K10" i="82"/>
  <c r="AZ9" i="82"/>
  <c r="AO9" i="82"/>
  <c r="R9" i="82"/>
  <c r="V9" i="82" s="1"/>
  <c r="D9" i="82"/>
  <c r="AO8" i="82"/>
  <c r="D8" i="82"/>
  <c r="AG7" i="82"/>
  <c r="K7" i="82"/>
  <c r="AH6" i="82"/>
  <c r="E6" i="82"/>
  <c r="AL59" i="23"/>
  <c r="D58" i="53" s="1"/>
  <c r="L53" i="23"/>
  <c r="D53" i="23"/>
  <c r="M52" i="23"/>
  <c r="E52" i="23"/>
  <c r="L51" i="23"/>
  <c r="F6" i="23"/>
  <c r="AF6" i="23" s="1"/>
  <c r="F7" i="23"/>
  <c r="AE7" i="23" s="1"/>
  <c r="AK7" i="23"/>
  <c r="C6" i="53" s="1"/>
  <c r="E8" i="23"/>
  <c r="AC8" i="23" s="1"/>
  <c r="M8" i="23"/>
  <c r="AK8" i="23"/>
  <c r="C7" i="53" s="1"/>
  <c r="AR8" i="23"/>
  <c r="AV8" i="23" s="1"/>
  <c r="E9" i="23"/>
  <c r="AD9" i="23" s="1"/>
  <c r="M9" i="23"/>
  <c r="AK9" i="23"/>
  <c r="C8" i="53" s="1"/>
  <c r="AR9" i="23"/>
  <c r="AV9" i="23" s="1"/>
  <c r="BC9" i="23"/>
  <c r="F10" i="23"/>
  <c r="AF10" i="23" s="1"/>
  <c r="AL10" i="23"/>
  <c r="D9" i="53" s="1"/>
  <c r="AS10" i="23"/>
  <c r="BD10" i="23"/>
  <c r="D11" i="23"/>
  <c r="D5" i="23" s="1"/>
  <c r="L11" i="23"/>
  <c r="AU11" i="23"/>
  <c r="E12" i="23"/>
  <c r="AD12" i="23" s="1"/>
  <c r="M12" i="23"/>
  <c r="AK12" i="23"/>
  <c r="C11" i="53" s="1"/>
  <c r="AR12" i="23"/>
  <c r="AV12" i="23" s="1"/>
  <c r="AU13" i="23"/>
  <c r="E14" i="23"/>
  <c r="AC14" i="23" s="1"/>
  <c r="AK14" i="23"/>
  <c r="C13" i="53" s="1"/>
  <c r="AR14" i="23"/>
  <c r="AV14" i="23" s="1"/>
  <c r="AT16" i="23"/>
  <c r="F17" i="23"/>
  <c r="AE17" i="23" s="1"/>
  <c r="AS17" i="23"/>
  <c r="E18" i="23"/>
  <c r="AD18" i="23" s="1"/>
  <c r="M18" i="23"/>
  <c r="AK18" i="23"/>
  <c r="C17" i="53" s="1"/>
  <c r="AR18" i="23"/>
  <c r="AV18" i="23" s="1"/>
  <c r="D19" i="23"/>
  <c r="L19" i="23"/>
  <c r="AU19" i="23"/>
  <c r="AT20" i="23"/>
  <c r="AT21" i="23"/>
  <c r="AT22" i="23"/>
  <c r="AT23" i="23"/>
  <c r="AT24" i="23"/>
  <c r="E26" i="23"/>
  <c r="AD26" i="23" s="1"/>
  <c r="M26" i="23"/>
  <c r="M24" i="23" s="1"/>
  <c r="AK26" i="23"/>
  <c r="C25" i="53" s="1"/>
  <c r="F27" i="23"/>
  <c r="AF27" i="23" s="1"/>
  <c r="AL27" i="23"/>
  <c r="D26" i="53" s="1"/>
  <c r="F28" i="23"/>
  <c r="AF28" i="23" s="1"/>
  <c r="D30" i="23"/>
  <c r="L30" i="23"/>
  <c r="AK30" i="23"/>
  <c r="C29" i="53" s="1"/>
  <c r="BC30" i="23"/>
  <c r="D32" i="23"/>
  <c r="L32" i="23"/>
  <c r="AK32" i="23"/>
  <c r="C31" i="53" s="1"/>
  <c r="M33" i="23"/>
  <c r="AL33" i="23"/>
  <c r="D32" i="53" s="1"/>
  <c r="F34" i="23"/>
  <c r="AF34" i="23" s="1"/>
  <c r="D36" i="23"/>
  <c r="L36" i="23"/>
  <c r="F38" i="23"/>
  <c r="AE38" i="23" s="1"/>
  <c r="D39" i="23"/>
  <c r="L39" i="23"/>
  <c r="E42" i="23"/>
  <c r="AD42" i="23" s="1"/>
  <c r="D43" i="23"/>
  <c r="L43" i="23"/>
  <c r="M46" i="23"/>
  <c r="F48" i="23"/>
  <c r="AF48" i="23" s="1"/>
  <c r="D49" i="23"/>
  <c r="L49" i="23"/>
  <c r="D52" i="23"/>
  <c r="M56" i="23"/>
  <c r="M55" i="23" s="1"/>
  <c r="AK59" i="23"/>
  <c r="C58" i="53" s="1"/>
  <c r="E7" i="82"/>
  <c r="L8" i="82"/>
  <c r="L9" i="82"/>
  <c r="E10" i="82"/>
  <c r="AP13" i="82"/>
  <c r="AH14" i="82"/>
  <c r="E15" i="82"/>
  <c r="AQ16" i="82"/>
  <c r="AG18" i="82"/>
  <c r="AG19" i="82"/>
  <c r="AG20" i="82"/>
  <c r="AN21" i="82"/>
  <c r="AP23" i="82"/>
  <c r="AN24" i="82"/>
  <c r="AH25" i="82"/>
  <c r="AG26" i="82"/>
  <c r="AH28" i="82"/>
  <c r="E31" i="82"/>
  <c r="E34" i="82"/>
  <c r="E38" i="82"/>
  <c r="E44" i="82"/>
  <c r="D48" i="82"/>
  <c r="C6" i="49"/>
  <c r="D11" i="49"/>
  <c r="C22" i="49"/>
  <c r="D27" i="49"/>
  <c r="C38" i="49"/>
  <c r="D44" i="49"/>
  <c r="C97" i="49"/>
  <c r="D118" i="49"/>
  <c r="C161" i="49"/>
  <c r="D186" i="49"/>
  <c r="C30" i="50"/>
  <c r="D51" i="50"/>
  <c r="C106" i="50"/>
  <c r="E3" i="51"/>
  <c r="E13" i="51" s="1"/>
  <c r="AL7" i="23"/>
  <c r="D6" i="53" s="1"/>
  <c r="F8" i="23"/>
  <c r="AL8" i="23"/>
  <c r="D7" i="53" s="1"/>
  <c r="AS8" i="23"/>
  <c r="F9" i="23"/>
  <c r="AL9" i="23"/>
  <c r="D8" i="53" s="1"/>
  <c r="AS9" i="23"/>
  <c r="BD9" i="23"/>
  <c r="AT10" i="23"/>
  <c r="AT7" i="23" s="1"/>
  <c r="E11" i="23"/>
  <c r="M11" i="23"/>
  <c r="AK11" i="23"/>
  <c r="C10" i="53" s="1"/>
  <c r="AR11" i="23"/>
  <c r="BC11" i="23"/>
  <c r="F12" i="23"/>
  <c r="AL12" i="23"/>
  <c r="D11" i="53" s="1"/>
  <c r="AS12" i="23"/>
  <c r="L13" i="23"/>
  <c r="AK13" i="23"/>
  <c r="C12" i="53" s="1"/>
  <c r="AR13" i="23"/>
  <c r="F14" i="23"/>
  <c r="AL14" i="23"/>
  <c r="D13" i="53" s="1"/>
  <c r="AS14" i="23"/>
  <c r="D15" i="23"/>
  <c r="AD15" i="23" s="1"/>
  <c r="L15" i="23"/>
  <c r="D16" i="23"/>
  <c r="AD16" i="23" s="1"/>
  <c r="L16" i="23"/>
  <c r="AU16" i="23"/>
  <c r="AV16" i="23" s="1"/>
  <c r="AT17" i="23"/>
  <c r="F18" i="23"/>
  <c r="AL18" i="23"/>
  <c r="D17" i="53" s="1"/>
  <c r="AS18" i="23"/>
  <c r="E19" i="23"/>
  <c r="AE19" i="23" s="1"/>
  <c r="M19" i="23"/>
  <c r="AK19" i="23"/>
  <c r="C18" i="53" s="1"/>
  <c r="AR19" i="23"/>
  <c r="D20" i="23"/>
  <c r="AC20" i="23" s="1"/>
  <c r="L20" i="23"/>
  <c r="AU20" i="23"/>
  <c r="AV20" i="23" s="1"/>
  <c r="D21" i="23"/>
  <c r="AD21" i="23" s="1"/>
  <c r="L21" i="23"/>
  <c r="AU21" i="23"/>
  <c r="AV21" i="23" s="1"/>
  <c r="D22" i="23"/>
  <c r="AD22" i="23" s="1"/>
  <c r="L22" i="23"/>
  <c r="AU22" i="23"/>
  <c r="AV22" i="23" s="1"/>
  <c r="AU23" i="23"/>
  <c r="AV23" i="23" s="1"/>
  <c r="AU24" i="23"/>
  <c r="AV24" i="23" s="1"/>
  <c r="D25" i="23"/>
  <c r="AD25" i="23" s="1"/>
  <c r="L25" i="23"/>
  <c r="L24" i="23" s="1"/>
  <c r="F26" i="23"/>
  <c r="AL26" i="23"/>
  <c r="D25" i="53" s="1"/>
  <c r="D29" i="23"/>
  <c r="AC29" i="23" s="1"/>
  <c r="L29" i="23"/>
  <c r="AK29" i="23"/>
  <c r="C28" i="53" s="1"/>
  <c r="E30" i="23"/>
  <c r="AE30" i="23" s="1"/>
  <c r="M30" i="23"/>
  <c r="AL30" i="23"/>
  <c r="D29" i="53" s="1"/>
  <c r="BD30" i="23"/>
  <c r="D31" i="23"/>
  <c r="AD31" i="23" s="1"/>
  <c r="L31" i="23"/>
  <c r="AK31" i="23"/>
  <c r="C30" i="53" s="1"/>
  <c r="E32" i="23"/>
  <c r="AE32" i="23" s="1"/>
  <c r="M32" i="23"/>
  <c r="AL32" i="23"/>
  <c r="D31" i="53" s="1"/>
  <c r="D35" i="23"/>
  <c r="AD35" i="23" s="1"/>
  <c r="L35" i="23"/>
  <c r="E36" i="23"/>
  <c r="M36" i="23"/>
  <c r="D37" i="23"/>
  <c r="AC37" i="23" s="1"/>
  <c r="L37" i="23"/>
  <c r="E39" i="23"/>
  <c r="AE39" i="23" s="1"/>
  <c r="M39" i="23"/>
  <c r="M38" i="23" s="1"/>
  <c r="L40" i="23"/>
  <c r="F42" i="23"/>
  <c r="F41" i="23" s="1"/>
  <c r="E43" i="23"/>
  <c r="AE43" i="23" s="1"/>
  <c r="M43" i="23"/>
  <c r="D44" i="23"/>
  <c r="AC44" i="23" s="1"/>
  <c r="L44" i="23"/>
  <c r="D47" i="23"/>
  <c r="AD47" i="23" s="1"/>
  <c r="L47" i="23"/>
  <c r="E49" i="23"/>
  <c r="M49" i="23"/>
  <c r="L52" i="23"/>
  <c r="AL58" i="23"/>
  <c r="D57" i="53" s="1"/>
  <c r="D6" i="82"/>
  <c r="T7" i="82"/>
  <c r="T17" i="82" s="1"/>
  <c r="AN9" i="82"/>
  <c r="AG10" i="82"/>
  <c r="K11" i="82"/>
  <c r="D12" i="82"/>
  <c r="AQ14" i="82"/>
  <c r="AG15" i="82"/>
  <c r="AP18" i="82"/>
  <c r="AP19" i="82"/>
  <c r="AP20" i="82"/>
  <c r="AY21" i="82"/>
  <c r="AG22" i="82"/>
  <c r="L29" i="82"/>
  <c r="AH31" i="82"/>
  <c r="E35" i="82"/>
  <c r="L39" i="82"/>
  <c r="L45" i="82"/>
  <c r="K49" i="82"/>
  <c r="L53" i="82"/>
  <c r="D7" i="49"/>
  <c r="C18" i="49"/>
  <c r="D23" i="49"/>
  <c r="C34" i="49"/>
  <c r="D39" i="49"/>
  <c r="C51" i="49"/>
  <c r="D60" i="49"/>
  <c r="C81" i="49"/>
  <c r="D102" i="49"/>
  <c r="C145" i="49"/>
  <c r="D166" i="49"/>
  <c r="C14" i="50"/>
  <c r="D35" i="50"/>
  <c r="D127" i="50"/>
  <c r="DT4" i="82"/>
  <c r="G32" i="54"/>
  <c r="G33" i="54"/>
  <c r="G34" i="54"/>
  <c r="G37" i="54"/>
  <c r="G38" i="54"/>
  <c r="G43" i="54"/>
  <c r="G46" i="54"/>
  <c r="G47" i="54"/>
  <c r="G50" i="54"/>
  <c r="G51" i="54"/>
  <c r="G54" i="54"/>
  <c r="G55" i="54"/>
  <c r="G58" i="54"/>
  <c r="G59" i="54"/>
  <c r="G62" i="54"/>
  <c r="G63" i="54"/>
  <c r="G66" i="54"/>
  <c r="G67" i="54"/>
  <c r="G70" i="54"/>
  <c r="G74" i="54"/>
  <c r="G78" i="54"/>
  <c r="DY4" i="82"/>
  <c r="EX7" i="82"/>
  <c r="BK12" i="82"/>
  <c r="DO15" i="82"/>
  <c r="BM29" i="82"/>
  <c r="BM28" i="82" s="1"/>
  <c r="BM27" i="82" s="1"/>
  <c r="DL72" i="82"/>
  <c r="DO72" i="82" s="1"/>
  <c r="DL77" i="82"/>
  <c r="DO77" i="82" s="1"/>
  <c r="CJ7" i="82"/>
  <c r="CK7" i="82" s="1"/>
  <c r="EZ7" i="82"/>
  <c r="EY9" i="82"/>
  <c r="FB9" i="82" s="1"/>
  <c r="BN10" i="82"/>
  <c r="BO10" i="82" s="1"/>
  <c r="BY10" i="82"/>
  <c r="BZ10" i="82" s="1"/>
  <c r="CJ10" i="82"/>
  <c r="CK10" i="82" s="1"/>
  <c r="BV11" i="82"/>
  <c r="DL11" i="82"/>
  <c r="DO11" i="82" s="1"/>
  <c r="BX18" i="82"/>
  <c r="EY21" i="82"/>
  <c r="FB21" i="82" s="1"/>
  <c r="DL26" i="82"/>
  <c r="DO26" i="82" s="1"/>
  <c r="BK30" i="82"/>
  <c r="DL30" i="82"/>
  <c r="DO30" i="82" s="1"/>
  <c r="BL29" i="82"/>
  <c r="BL28" i="82" s="1"/>
  <c r="BL27" i="82" s="1"/>
  <c r="EY34" i="82"/>
  <c r="FB34" i="82" s="1"/>
  <c r="DE4" i="82"/>
  <c r="BL5" i="82"/>
  <c r="EQ5" i="82" s="1"/>
  <c r="EQ4" i="82" s="1"/>
  <c r="BU6" i="82"/>
  <c r="BK8" i="82"/>
  <c r="BV8" i="82"/>
  <c r="CG8" i="82"/>
  <c r="DO29" i="82"/>
  <c r="DL50" i="82"/>
  <c r="DO50" i="82" s="1"/>
  <c r="DL57" i="82"/>
  <c r="DO57" i="82" s="1"/>
  <c r="DN6" i="82"/>
  <c r="BW6" i="82"/>
  <c r="EW7" i="82"/>
  <c r="CJ9" i="82"/>
  <c r="CK9" i="82" s="1"/>
  <c r="BK10" i="82"/>
  <c r="BV12" i="82"/>
  <c r="FA10" i="82"/>
  <c r="BN13" i="82"/>
  <c r="BO13" i="82" s="1"/>
  <c r="BY14" i="82"/>
  <c r="BZ14" i="82" s="1"/>
  <c r="BV20" i="82"/>
  <c r="FA19" i="82"/>
  <c r="DL23" i="82"/>
  <c r="DO23" i="82" s="1"/>
  <c r="EZ26" i="82"/>
  <c r="DL33" i="82"/>
  <c r="DO33" i="82" s="1"/>
  <c r="DL48" i="82"/>
  <c r="DO48" i="82" s="1"/>
  <c r="DL51" i="82"/>
  <c r="DO51" i="82" s="1"/>
  <c r="DK54" i="82"/>
  <c r="DN54" i="82"/>
  <c r="DM58" i="82"/>
  <c r="DL65" i="82"/>
  <c r="DO65" i="82" s="1"/>
  <c r="DL67" i="82"/>
  <c r="DO67" i="82" s="1"/>
  <c r="DL68" i="82"/>
  <c r="DO68" i="82" s="1"/>
  <c r="DN70" i="82"/>
  <c r="CF5" i="82"/>
  <c r="BK7" i="82"/>
  <c r="BV7" i="82"/>
  <c r="DL7" i="82"/>
  <c r="DO7" i="82" s="1"/>
  <c r="BY8" i="82"/>
  <c r="BZ8" i="82" s="1"/>
  <c r="CJ8" i="82"/>
  <c r="CK8" i="82" s="1"/>
  <c r="DM6" i="82"/>
  <c r="BK9" i="82"/>
  <c r="BV9" i="82"/>
  <c r="CG9" i="82"/>
  <c r="BN11" i="82"/>
  <c r="BO11" i="82" s="1"/>
  <c r="EY12" i="82"/>
  <c r="FB12" i="82" s="1"/>
  <c r="BK13" i="82"/>
  <c r="BV13" i="82"/>
  <c r="FB13" i="82"/>
  <c r="BK14" i="82"/>
  <c r="DJ14" i="82"/>
  <c r="BN17" i="82"/>
  <c r="BO17" i="82" s="1"/>
  <c r="DL17" i="82"/>
  <c r="DO17" i="82" s="1"/>
  <c r="BK18" i="82"/>
  <c r="BN19" i="82"/>
  <c r="BO19" i="82" s="1"/>
  <c r="EY20" i="82"/>
  <c r="FB20" i="82" s="1"/>
  <c r="DL28" i="82"/>
  <c r="DO28" i="82" s="1"/>
  <c r="DL31" i="82"/>
  <c r="DO31" i="82" s="1"/>
  <c r="BK36" i="82"/>
  <c r="BK35" i="82" s="1"/>
  <c r="BK34" i="82" s="1"/>
  <c r="DL36" i="82"/>
  <c r="DO36" i="82" s="1"/>
  <c r="DL37" i="82"/>
  <c r="DO37" i="82" s="1"/>
  <c r="DL73" i="82"/>
  <c r="DO73" i="82" s="1"/>
  <c r="DL74" i="82"/>
  <c r="DO74" i="82" s="1"/>
  <c r="DL75" i="82"/>
  <c r="DO75" i="82" s="1"/>
  <c r="DL76" i="82"/>
  <c r="DO76" i="82" s="1"/>
  <c r="G82" i="54"/>
  <c r="DK24" i="82"/>
  <c r="DB4" i="82"/>
  <c r="BN15" i="82"/>
  <c r="BO15" i="82" s="1"/>
  <c r="DK14" i="82"/>
  <c r="BV19" i="82"/>
  <c r="EZ19" i="82"/>
  <c r="EY29" i="82"/>
  <c r="FB29" i="82" s="1"/>
  <c r="BJ27" i="82"/>
  <c r="F5" i="55"/>
  <c r="F14" i="55" s="1"/>
  <c r="F16" i="55"/>
  <c r="F25" i="55" s="1"/>
  <c r="AD7" i="23"/>
  <c r="AV10" i="23"/>
  <c r="AD17" i="23"/>
  <c r="AE25" i="23"/>
  <c r="G84" i="54"/>
  <c r="G86" i="54"/>
  <c r="G88" i="54"/>
  <c r="G90" i="54"/>
  <c r="G94" i="54"/>
  <c r="G96" i="54"/>
  <c r="G98" i="54"/>
  <c r="E5" i="55"/>
  <c r="E14" i="55" s="1"/>
  <c r="E16" i="55"/>
  <c r="E25" i="55" s="1"/>
  <c r="AE21" i="23"/>
  <c r="BM5" i="82"/>
  <c r="ER5" i="82" s="1"/>
  <c r="ER4" i="82" s="1"/>
  <c r="DK6" i="82"/>
  <c r="EY14" i="82"/>
  <c r="FB14" i="82" s="1"/>
  <c r="EY15" i="82"/>
  <c r="FB15" i="82" s="1"/>
  <c r="DL16" i="82"/>
  <c r="DO16" i="82" s="1"/>
  <c r="FB16" i="82"/>
  <c r="BK17" i="82"/>
  <c r="DJ24" i="82"/>
  <c r="EX26" i="82"/>
  <c r="AF31" i="23"/>
  <c r="AC48" i="23"/>
  <c r="BK6" i="82"/>
  <c r="CG6" i="82"/>
  <c r="BN7" i="82"/>
  <c r="BO7" i="82" s="1"/>
  <c r="BX6" i="82"/>
  <c r="DL8" i="82"/>
  <c r="DO8" i="82" s="1"/>
  <c r="DL9" i="82"/>
  <c r="DO9" i="82" s="1"/>
  <c r="BV10" i="82"/>
  <c r="EX10" i="82"/>
  <c r="BY20" i="82"/>
  <c r="BZ20" i="82" s="1"/>
  <c r="BV21" i="82"/>
  <c r="EY22" i="82"/>
  <c r="FB22" i="82" s="1"/>
  <c r="EW23" i="82"/>
  <c r="EY24" i="82"/>
  <c r="FB24" i="82" s="1"/>
  <c r="FA26" i="82"/>
  <c r="BI29" i="82"/>
  <c r="BI28" i="82" s="1"/>
  <c r="BI27" i="82" s="1"/>
  <c r="BN31" i="82"/>
  <c r="BO31" i="82" s="1"/>
  <c r="EY33" i="82"/>
  <c r="FB33" i="82" s="1"/>
  <c r="BY16" i="82"/>
  <c r="BZ16" i="82" s="1"/>
  <c r="BN30" i="82"/>
  <c r="BO30" i="82" s="1"/>
  <c r="DO38" i="82"/>
  <c r="DJ44" i="82"/>
  <c r="DK44" i="82"/>
  <c r="DO59" i="82"/>
  <c r="DM66" i="82"/>
  <c r="BC19" i="23"/>
  <c r="BC28" i="23" s="1"/>
  <c r="BI5" i="82"/>
  <c r="EP5" i="82" s="1"/>
  <c r="EP4" i="82" s="1"/>
  <c r="CH5" i="82"/>
  <c r="CG7" i="82"/>
  <c r="BN8" i="82"/>
  <c r="BO8" i="82" s="1"/>
  <c r="DL12" i="82"/>
  <c r="DO12" i="82" s="1"/>
  <c r="BK15" i="82"/>
  <c r="BU18" i="82"/>
  <c r="EY18" i="82"/>
  <c r="FB18" i="82" s="1"/>
  <c r="DL19" i="82"/>
  <c r="DO19" i="82" s="1"/>
  <c r="EW19" i="82"/>
  <c r="DL20" i="82"/>
  <c r="DO20" i="82" s="1"/>
  <c r="DN24" i="82"/>
  <c r="EY28" i="82"/>
  <c r="FB28" i="82" s="1"/>
  <c r="DN34" i="82"/>
  <c r="DL39" i="82"/>
  <c r="DO39" i="82" s="1"/>
  <c r="DL41" i="82"/>
  <c r="DO41" i="82" s="1"/>
  <c r="DL46" i="82"/>
  <c r="DO46" i="82" s="1"/>
  <c r="DL53" i="82"/>
  <c r="DO53" i="82" s="1"/>
  <c r="DM70" i="82"/>
  <c r="DM14" i="82"/>
  <c r="BN16" i="82"/>
  <c r="BO16" i="82" s="1"/>
  <c r="EY17" i="82"/>
  <c r="FB17" i="82" s="1"/>
  <c r="DL18" i="82"/>
  <c r="DO18" i="82" s="1"/>
  <c r="BK19" i="82"/>
  <c r="BT18" i="82"/>
  <c r="BY19" i="82"/>
  <c r="BZ19" i="82" s="1"/>
  <c r="BW18" i="82"/>
  <c r="DL22" i="82"/>
  <c r="DO22" i="82" s="1"/>
  <c r="BY23" i="82"/>
  <c r="BZ23" i="82" s="1"/>
  <c r="EX23" i="82"/>
  <c r="DL27" i="82"/>
  <c r="DO27" i="82" s="1"/>
  <c r="DM24" i="82"/>
  <c r="EY30" i="82"/>
  <c r="FB30" i="82" s="1"/>
  <c r="DL32" i="82"/>
  <c r="DO32" i="82" s="1"/>
  <c r="DL40" i="82"/>
  <c r="DO40" i="82" s="1"/>
  <c r="DM44" i="82"/>
  <c r="DM54" i="82"/>
  <c r="DL61" i="82"/>
  <c r="DO61" i="82" s="1"/>
  <c r="DL64" i="82"/>
  <c r="DO64" i="82" s="1"/>
  <c r="DL69" i="82"/>
  <c r="DO69" i="82" s="1"/>
  <c r="DL71" i="82"/>
  <c r="DO71" i="82" s="1"/>
  <c r="D55" i="52"/>
  <c r="M14" i="23"/>
  <c r="AV17" i="23"/>
  <c r="AE29" i="23"/>
  <c r="AE31" i="23"/>
  <c r="AE16" i="23"/>
  <c r="AF35" i="23"/>
  <c r="AC38" i="23"/>
  <c r="AE47" i="23"/>
  <c r="C70" i="52"/>
  <c r="D134" i="52"/>
  <c r="D150" i="52"/>
  <c r="BY9" i="82"/>
  <c r="BZ9" i="82" s="1"/>
  <c r="BY12" i="82"/>
  <c r="BZ12" i="82" s="1"/>
  <c r="BY15" i="82"/>
  <c r="BZ15" i="82" s="1"/>
  <c r="DJ34" i="82"/>
  <c r="AD10" i="23"/>
  <c r="AD28" i="23"/>
  <c r="AE44" i="23"/>
  <c r="BJ5" i="82"/>
  <c r="BY7" i="82"/>
  <c r="BZ7" i="82" s="1"/>
  <c r="EY8" i="82"/>
  <c r="BY11" i="82"/>
  <c r="BZ11" i="82" s="1"/>
  <c r="EY11" i="82"/>
  <c r="BY13" i="82"/>
  <c r="BZ13" i="82" s="1"/>
  <c r="BN14" i="82"/>
  <c r="BO14" i="82" s="1"/>
  <c r="BN18" i="82"/>
  <c r="BO18" i="82" s="1"/>
  <c r="EY25" i="82"/>
  <c r="BK33" i="82"/>
  <c r="BK32" i="82" s="1"/>
  <c r="AC17" i="23"/>
  <c r="AE20" i="23"/>
  <c r="CE5" i="82"/>
  <c r="CI5" i="82"/>
  <c r="BT6" i="82"/>
  <c r="DJ6" i="82"/>
  <c r="BN9" i="82"/>
  <c r="BO9" i="82" s="1"/>
  <c r="BN12" i="82"/>
  <c r="BO12" i="82" s="1"/>
  <c r="DL25" i="82"/>
  <c r="DL35" i="82"/>
  <c r="AC10" i="23"/>
  <c r="AC6" i="23"/>
  <c r="AC7" i="23"/>
  <c r="AE15" i="23"/>
  <c r="AC28" i="23"/>
  <c r="AE35" i="23"/>
  <c r="AD38" i="23"/>
  <c r="AF44" i="23"/>
  <c r="AD48" i="23"/>
  <c r="CR10" i="82"/>
  <c r="CR9" i="82" s="1"/>
  <c r="EW10" i="82"/>
  <c r="DL13" i="82"/>
  <c r="DO13" i="82" s="1"/>
  <c r="BV14" i="82"/>
  <c r="BY21" i="82"/>
  <c r="BZ21" i="82" s="1"/>
  <c r="EX19" i="82"/>
  <c r="BN33" i="82"/>
  <c r="BO33" i="82" s="1"/>
  <c r="DO55" i="82"/>
  <c r="DK58" i="82"/>
  <c r="DL60" i="82"/>
  <c r="DO60" i="82" s="1"/>
  <c r="DJ58" i="82"/>
  <c r="DL21" i="82"/>
  <c r="DO21" i="82" s="1"/>
  <c r="BV23" i="82"/>
  <c r="BV22" i="82" s="1"/>
  <c r="BV39" i="82" s="1"/>
  <c r="EY32" i="82"/>
  <c r="DL45" i="82"/>
  <c r="DJ54" i="82"/>
  <c r="DJ66" i="82"/>
  <c r="EY27" i="82"/>
  <c r="EW26" i="82"/>
  <c r="BK31" i="82"/>
  <c r="DM34" i="82"/>
  <c r="BN36" i="82"/>
  <c r="BO36" i="82" s="1"/>
  <c r="DL42" i="82"/>
  <c r="DO42" i="82" s="1"/>
  <c r="DL56" i="82"/>
  <c r="DO56" i="82" s="1"/>
  <c r="DN58" i="82"/>
  <c r="DL62" i="82"/>
  <c r="DO62" i="82" s="1"/>
  <c r="DJ70" i="82"/>
  <c r="G5" i="54"/>
  <c r="G6" i="54"/>
  <c r="G9" i="54"/>
  <c r="G10" i="54"/>
  <c r="G11" i="54"/>
  <c r="G14" i="54"/>
  <c r="G15" i="54"/>
  <c r="G18" i="54"/>
  <c r="G19" i="54"/>
  <c r="G23" i="54"/>
  <c r="G27" i="54"/>
  <c r="G31" i="54"/>
  <c r="G35" i="54"/>
  <c r="G36" i="54"/>
  <c r="G39" i="54"/>
  <c r="G40" i="54"/>
  <c r="G44" i="54"/>
  <c r="G45" i="54"/>
  <c r="G49" i="54"/>
  <c r="G53" i="54"/>
  <c r="G56" i="54"/>
  <c r="G57" i="54"/>
  <c r="G61" i="54"/>
  <c r="G64" i="54"/>
  <c r="G65" i="54"/>
  <c r="G68" i="54"/>
  <c r="G69" i="54"/>
  <c r="G71" i="54"/>
  <c r="G72" i="54"/>
  <c r="G73" i="54"/>
  <c r="G75" i="54"/>
  <c r="G77" i="54"/>
  <c r="G79" i="54"/>
  <c r="G80" i="54"/>
  <c r="G81" i="54"/>
  <c r="G83" i="54"/>
  <c r="G85" i="54"/>
  <c r="G87" i="54"/>
  <c r="G89" i="54"/>
  <c r="G91" i="54"/>
  <c r="G93" i="54"/>
  <c r="G95" i="54"/>
  <c r="G97" i="54"/>
  <c r="G99" i="54"/>
  <c r="G100" i="54"/>
  <c r="AF15" i="23"/>
  <c r="AF16" i="23"/>
  <c r="AF20" i="23"/>
  <c r="AF21" i="23"/>
  <c r="AE22" i="23"/>
  <c r="AC34" i="23"/>
  <c r="AF22" i="23"/>
  <c r="AC27" i="23"/>
  <c r="AD34" i="23"/>
  <c r="AF37" i="23"/>
  <c r="AE37" i="23"/>
  <c r="AD6" i="23"/>
  <c r="AF25" i="23"/>
  <c r="AD27" i="23"/>
  <c r="AF29" i="23"/>
  <c r="AF47" i="23"/>
  <c r="C14" i="51"/>
  <c r="G14" i="51" s="1"/>
  <c r="C134" i="52"/>
  <c r="C150" i="52"/>
  <c r="C4" i="51"/>
  <c r="G76" i="54" l="1"/>
  <c r="D86" i="52"/>
  <c r="C92" i="84"/>
  <c r="C183" i="52"/>
  <c r="A95" i="84"/>
  <c r="B35" i="90"/>
  <c r="E20" i="90"/>
  <c r="N5" i="23"/>
  <c r="N14" i="23"/>
  <c r="G4" i="54"/>
  <c r="N42" i="23"/>
  <c r="N38" i="23"/>
  <c r="N28" i="23"/>
  <c r="N24" i="23"/>
  <c r="N48" i="23"/>
  <c r="G3" i="54"/>
  <c r="N17" i="23"/>
  <c r="C99" i="52"/>
  <c r="C147" i="52"/>
  <c r="D163" i="52"/>
  <c r="G7" i="54"/>
  <c r="F20" i="90"/>
  <c r="F72" i="90"/>
  <c r="F9" i="91"/>
  <c r="F35" i="90"/>
  <c r="D5" i="91"/>
  <c r="D4" i="91" s="1"/>
  <c r="D15" i="91" s="1"/>
  <c r="C9" i="91"/>
  <c r="C4" i="91" s="1"/>
  <c r="C15" i="91" s="1"/>
  <c r="B9" i="91"/>
  <c r="B5" i="91"/>
  <c r="F60" i="90"/>
  <c r="E39" i="90"/>
  <c r="E72" i="90"/>
  <c r="F65" i="90"/>
  <c r="E65" i="90"/>
  <c r="E60" i="90"/>
  <c r="E54" i="90"/>
  <c r="F54" i="90"/>
  <c r="F39" i="90"/>
  <c r="E35" i="90"/>
  <c r="E24" i="90"/>
  <c r="F28" i="90"/>
  <c r="E28" i="90"/>
  <c r="F24" i="90"/>
  <c r="J23" i="87"/>
  <c r="F17" i="90"/>
  <c r="F16" i="90" s="1"/>
  <c r="E16" i="90"/>
  <c r="C57" i="90"/>
  <c r="E6" i="90"/>
  <c r="F6" i="90"/>
  <c r="B57" i="90"/>
  <c r="C28" i="90"/>
  <c r="C35" i="90"/>
  <c r="B22" i="90"/>
  <c r="B28" i="90"/>
  <c r="C14" i="90"/>
  <c r="C22" i="90"/>
  <c r="B14" i="90"/>
  <c r="B6" i="90"/>
  <c r="C6" i="90"/>
  <c r="D177" i="52"/>
  <c r="C177" i="52"/>
  <c r="BT33" i="82"/>
  <c r="BT32" i="82" s="1"/>
  <c r="BT31" i="82" s="1"/>
  <c r="BX33" i="82"/>
  <c r="BX32" i="82" s="1"/>
  <c r="BX31" i="82" s="1"/>
  <c r="BW33" i="82"/>
  <c r="BW32" i="82" s="1"/>
  <c r="BW31" i="82" s="1"/>
  <c r="BU33" i="82"/>
  <c r="BU32" i="82" s="1"/>
  <c r="BU31" i="82" s="1"/>
  <c r="D119" i="52"/>
  <c r="D131" i="52"/>
  <c r="D147" i="52"/>
  <c r="C163" i="52"/>
  <c r="D183" i="52"/>
  <c r="D67" i="52"/>
  <c r="D99" i="52"/>
  <c r="D115" i="52"/>
  <c r="D103" i="52"/>
  <c r="C151" i="52"/>
  <c r="C67" i="52"/>
  <c r="C115" i="52"/>
  <c r="AA12" i="82"/>
  <c r="C79" i="52"/>
  <c r="D127" i="52"/>
  <c r="C143" i="52"/>
  <c r="AC11" i="23"/>
  <c r="AF14" i="23"/>
  <c r="BD8" i="23"/>
  <c r="BD17" i="23" s="1"/>
  <c r="D51" i="23"/>
  <c r="D63" i="52"/>
  <c r="D143" i="52"/>
  <c r="J79" i="87"/>
  <c r="I27" i="87"/>
  <c r="Q12" i="87"/>
  <c r="E42" i="87"/>
  <c r="F35" i="87"/>
  <c r="T15" i="87"/>
  <c r="E8" i="91" s="1"/>
  <c r="I31" i="87"/>
  <c r="I67" i="87"/>
  <c r="E29" i="87"/>
  <c r="I61" i="87"/>
  <c r="F21" i="87"/>
  <c r="F64" i="87"/>
  <c r="F42" i="87"/>
  <c r="J13" i="87"/>
  <c r="I23" i="87"/>
  <c r="I35" i="87"/>
  <c r="T14" i="87"/>
  <c r="E7" i="91" s="1"/>
  <c r="W13" i="87"/>
  <c r="V12" i="87"/>
  <c r="V11" i="87" s="1"/>
  <c r="F45" i="87"/>
  <c r="C38" i="90" s="1"/>
  <c r="J46" i="87"/>
  <c r="T18" i="87"/>
  <c r="E11" i="91" s="1"/>
  <c r="J72" i="87"/>
  <c r="E35" i="87"/>
  <c r="I79" i="87"/>
  <c r="T19" i="87"/>
  <c r="E12" i="91" s="1"/>
  <c r="E13" i="87"/>
  <c r="I13" i="87"/>
  <c r="J35" i="87"/>
  <c r="J27" i="87"/>
  <c r="J67" i="87"/>
  <c r="R16" i="87"/>
  <c r="R11" i="87" s="1"/>
  <c r="R22" i="87" s="1"/>
  <c r="I72" i="87"/>
  <c r="S12" i="87"/>
  <c r="S11" i="87" s="1"/>
  <c r="S22" i="87" s="1"/>
  <c r="E45" i="87"/>
  <c r="B38" i="90" s="1"/>
  <c r="I46" i="87"/>
  <c r="T17" i="87"/>
  <c r="E10" i="91" s="1"/>
  <c r="U16" i="87"/>
  <c r="J42" i="87"/>
  <c r="Q16" i="87"/>
  <c r="F29" i="87"/>
  <c r="J31" i="87"/>
  <c r="J61" i="87"/>
  <c r="F13" i="87"/>
  <c r="E21" i="87"/>
  <c r="E64" i="87"/>
  <c r="I42" i="87"/>
  <c r="T13" i="87"/>
  <c r="E6" i="91" s="1"/>
  <c r="U12" i="87"/>
  <c r="D3" i="59"/>
  <c r="F3" i="59"/>
  <c r="BN28" i="23"/>
  <c r="AV13" i="23"/>
  <c r="G92" i="54"/>
  <c r="D164" i="52"/>
  <c r="C184" i="52"/>
  <c r="D139" i="52"/>
  <c r="D171" i="52"/>
  <c r="C63" i="52"/>
  <c r="D79" i="52"/>
  <c r="C95" i="52"/>
  <c r="C111" i="52"/>
  <c r="C127" i="52"/>
  <c r="C159" i="52"/>
  <c r="D159" i="52"/>
  <c r="D95" i="52"/>
  <c r="D111" i="52"/>
  <c r="C87" i="52"/>
  <c r="C103" i="52"/>
  <c r="G42" i="54"/>
  <c r="H52" i="61"/>
  <c r="D174" i="49"/>
  <c r="D71" i="52"/>
  <c r="D87" i="52"/>
  <c r="C119" i="52"/>
  <c r="C135" i="52"/>
  <c r="D151" i="52"/>
  <c r="D167" i="52"/>
  <c r="D187" i="52"/>
  <c r="C131" i="52"/>
  <c r="C85" i="52"/>
  <c r="C101" i="52"/>
  <c r="D124" i="52"/>
  <c r="C91" i="52"/>
  <c r="D107" i="52"/>
  <c r="C71" i="52"/>
  <c r="C167" i="52"/>
  <c r="D135" i="52"/>
  <c r="C187" i="52"/>
  <c r="D108" i="52"/>
  <c r="C124" i="52"/>
  <c r="D140" i="52"/>
  <c r="D172" i="52"/>
  <c r="C136" i="52"/>
  <c r="C140" i="52"/>
  <c r="D102" i="52"/>
  <c r="D14" i="52"/>
  <c r="C30" i="52"/>
  <c r="D43" i="52"/>
  <c r="D182" i="52"/>
  <c r="C3" i="52"/>
  <c r="D19" i="52"/>
  <c r="C35" i="52"/>
  <c r="C48" i="52"/>
  <c r="D65" i="52"/>
  <c r="D113" i="52"/>
  <c r="D129" i="52"/>
  <c r="D181" i="52"/>
  <c r="C166" i="52"/>
  <c r="D39" i="52"/>
  <c r="D10" i="52"/>
  <c r="D26" i="52"/>
  <c r="D98" i="52"/>
  <c r="C162" i="52"/>
  <c r="C15" i="52"/>
  <c r="D31" i="52"/>
  <c r="D74" i="52"/>
  <c r="C186" i="52"/>
  <c r="D118" i="52"/>
  <c r="D6" i="52"/>
  <c r="C82" i="52"/>
  <c r="D146" i="52"/>
  <c r="D78" i="52"/>
  <c r="C142" i="52"/>
  <c r="D122" i="52"/>
  <c r="C190" i="52"/>
  <c r="D47" i="52"/>
  <c r="C174" i="49"/>
  <c r="D85" i="52"/>
  <c r="C149" i="52"/>
  <c r="C179" i="49"/>
  <c r="C88" i="52"/>
  <c r="D75" i="52"/>
  <c r="D91" i="52"/>
  <c r="C107" i="52"/>
  <c r="C123" i="52"/>
  <c r="C139" i="52"/>
  <c r="C155" i="52"/>
  <c r="C171" i="52"/>
  <c r="D191" i="52"/>
  <c r="D155" i="52"/>
  <c r="E5" i="68"/>
  <c r="H30" i="68"/>
  <c r="H29" i="68" s="1"/>
  <c r="BZ66" i="23"/>
  <c r="E21" i="68"/>
  <c r="H5" i="62"/>
  <c r="H4" i="61"/>
  <c r="H68" i="61"/>
  <c r="E68" i="61"/>
  <c r="E56" i="61"/>
  <c r="H31" i="63"/>
  <c r="CC67" i="23"/>
  <c r="CC66" i="23" s="1"/>
  <c r="DA6" i="23"/>
  <c r="DA5" i="23" s="1"/>
  <c r="DF23" i="23"/>
  <c r="H32" i="61"/>
  <c r="BZ54" i="23"/>
  <c r="DC23" i="23"/>
  <c r="DE6" i="23"/>
  <c r="DE5" i="23" s="1"/>
  <c r="E4" i="61"/>
  <c r="E31" i="63"/>
  <c r="DV4" i="82"/>
  <c r="H42" i="61"/>
  <c r="E32" i="61"/>
  <c r="G3" i="61"/>
  <c r="DF10" i="23"/>
  <c r="H4" i="63"/>
  <c r="E42" i="61"/>
  <c r="DD6" i="23"/>
  <c r="DD5" i="23" s="1"/>
  <c r="H64" i="61"/>
  <c r="E17" i="68"/>
  <c r="E13" i="63"/>
  <c r="E64" i="61"/>
  <c r="H22" i="61"/>
  <c r="DC10" i="23"/>
  <c r="E22" i="61"/>
  <c r="E21" i="63"/>
  <c r="H56" i="61"/>
  <c r="H13" i="63"/>
  <c r="CC44" i="23"/>
  <c r="E4" i="63"/>
  <c r="E52" i="61"/>
  <c r="H7" i="68"/>
  <c r="H5" i="68" s="1"/>
  <c r="H17" i="68"/>
  <c r="H21" i="63"/>
  <c r="CC55" i="23"/>
  <c r="CC54" i="23" s="1"/>
  <c r="H12" i="61"/>
  <c r="BZ70" i="23"/>
  <c r="CC14" i="23"/>
  <c r="BZ14" i="23"/>
  <c r="CA5" i="23"/>
  <c r="CU8" i="23" s="1"/>
  <c r="D7" i="67" s="1"/>
  <c r="D6" i="67" s="1"/>
  <c r="D9" i="67" s="1"/>
  <c r="D11" i="67" s="1"/>
  <c r="E12" i="61"/>
  <c r="CB5" i="23"/>
  <c r="CV8" i="23" s="1"/>
  <c r="E7" i="67" s="1"/>
  <c r="E6" i="67" s="1"/>
  <c r="H21" i="68"/>
  <c r="AA44" i="82"/>
  <c r="C66" i="52"/>
  <c r="D130" i="52"/>
  <c r="D170" i="52"/>
  <c r="C80" i="52"/>
  <c r="C112" i="52"/>
  <c r="D149" i="52"/>
  <c r="C170" i="52"/>
  <c r="C154" i="52"/>
  <c r="C19" i="52"/>
  <c r="AA18" i="82"/>
  <c r="AB31" i="82"/>
  <c r="C109" i="52"/>
  <c r="D54" i="52"/>
  <c r="D42" i="52"/>
  <c r="D41" i="52"/>
  <c r="C41" i="52"/>
  <c r="C42" i="52"/>
  <c r="D105" i="52"/>
  <c r="C169" i="52"/>
  <c r="AB16" i="82"/>
  <c r="D152" i="52"/>
  <c r="AR13" i="82"/>
  <c r="AA49" i="82"/>
  <c r="AA9" i="82"/>
  <c r="AR18" i="82"/>
  <c r="AB17" i="82"/>
  <c r="AA32" i="82"/>
  <c r="AA50" i="82"/>
  <c r="DB6" i="23"/>
  <c r="DB5" i="23" s="1"/>
  <c r="BX5" i="23"/>
  <c r="CT8" i="23" s="1"/>
  <c r="CT7" i="23" s="1"/>
  <c r="FA6" i="82"/>
  <c r="FA5" i="82" s="1"/>
  <c r="D3" i="63"/>
  <c r="F3" i="61"/>
  <c r="C4" i="68"/>
  <c r="C3" i="68" s="1"/>
  <c r="DO66" i="82"/>
  <c r="DL66" i="82"/>
  <c r="CC24" i="23"/>
  <c r="DC31" i="23"/>
  <c r="DF32" i="23"/>
  <c r="DF31" i="23" s="1"/>
  <c r="EY19" i="82"/>
  <c r="FB19" i="82"/>
  <c r="EZ6" i="82"/>
  <c r="EZ5" i="82" s="1"/>
  <c r="BY5" i="23"/>
  <c r="C3" i="63"/>
  <c r="D3" i="61"/>
  <c r="E3" i="62"/>
  <c r="Z3" i="70" s="1"/>
  <c r="AC3" i="70" s="1"/>
  <c r="H4" i="62"/>
  <c r="E24" i="68"/>
  <c r="H25" i="68"/>
  <c r="H24" i="68" s="1"/>
  <c r="BZ34" i="23"/>
  <c r="CC35" i="23"/>
  <c r="CC34" i="23" s="1"/>
  <c r="DC19" i="23"/>
  <c r="DF22" i="23"/>
  <c r="DF19" i="23" s="1"/>
  <c r="DF8" i="23"/>
  <c r="DF7" i="23" s="1"/>
  <c r="DC7" i="23"/>
  <c r="C3" i="61"/>
  <c r="BZ58" i="23"/>
  <c r="CC59" i="23"/>
  <c r="CC58" i="23" s="1"/>
  <c r="DK5" i="82"/>
  <c r="EX6" i="82"/>
  <c r="EX5" i="82" s="1"/>
  <c r="DL70" i="82"/>
  <c r="DN5" i="82"/>
  <c r="ER8" i="82" s="1"/>
  <c r="ER7" i="82" s="1"/>
  <c r="ER10" i="82" s="1"/>
  <c r="ER12" i="82" s="1"/>
  <c r="DM5" i="82"/>
  <c r="EQ8" i="82" s="1"/>
  <c r="EQ7" i="82" s="1"/>
  <c r="EQ10" i="82" s="1"/>
  <c r="EQ12" i="82" s="1"/>
  <c r="E8" i="68"/>
  <c r="H9" i="68"/>
  <c r="H8" i="68" s="1"/>
  <c r="BZ44" i="23"/>
  <c r="DC26" i="23"/>
  <c r="DF27" i="23"/>
  <c r="DF26" i="23" s="1"/>
  <c r="CC70" i="23"/>
  <c r="BZ6" i="23"/>
  <c r="CC7" i="23"/>
  <c r="CC6" i="23" s="1"/>
  <c r="BZ24" i="23"/>
  <c r="H20" i="59"/>
  <c r="BS41" i="23"/>
  <c r="H16" i="59"/>
  <c r="BP28" i="23"/>
  <c r="I16" i="59"/>
  <c r="E16" i="59"/>
  <c r="BO29" i="23"/>
  <c r="BO41" i="23"/>
  <c r="BR41" i="23"/>
  <c r="BV18" i="82"/>
  <c r="BQ28" i="23"/>
  <c r="CJ5" i="82"/>
  <c r="CK5" i="82" s="1"/>
  <c r="BR45" i="23"/>
  <c r="CU4" i="23"/>
  <c r="E3" i="58"/>
  <c r="E4" i="59"/>
  <c r="BO5" i="23"/>
  <c r="I4" i="59"/>
  <c r="BK29" i="82"/>
  <c r="BK28" i="82" s="1"/>
  <c r="BK27" i="82" s="1"/>
  <c r="H3" i="58"/>
  <c r="I3" i="58"/>
  <c r="BM28" i="23"/>
  <c r="BK5" i="82"/>
  <c r="BV6" i="82"/>
  <c r="BV33" i="82" s="1"/>
  <c r="BV32" i="82" s="1"/>
  <c r="BV31" i="82" s="1"/>
  <c r="H4" i="59"/>
  <c r="BN29" i="82"/>
  <c r="BW5" i="82"/>
  <c r="CG5" i="82"/>
  <c r="C4" i="67"/>
  <c r="C3" i="67" s="1"/>
  <c r="CT4" i="23"/>
  <c r="G3" i="59"/>
  <c r="C3" i="59"/>
  <c r="BR5" i="23"/>
  <c r="BT5" i="82"/>
  <c r="BU5" i="82"/>
  <c r="BX5" i="82"/>
  <c r="BR29" i="23"/>
  <c r="BS5" i="23"/>
  <c r="CV4" i="23"/>
  <c r="E4" i="67"/>
  <c r="E3" i="67" s="1"/>
  <c r="BS29" i="23"/>
  <c r="H6" i="48"/>
  <c r="E7" i="48"/>
  <c r="C51" i="52"/>
  <c r="D148" i="52"/>
  <c r="C52" i="52"/>
  <c r="D136" i="52"/>
  <c r="D168" i="52"/>
  <c r="C97" i="52"/>
  <c r="D104" i="52"/>
  <c r="D120" i="52"/>
  <c r="D156" i="52"/>
  <c r="D192" i="52"/>
  <c r="C148" i="52"/>
  <c r="D184" i="52"/>
  <c r="D158" i="52"/>
  <c r="C74" i="52"/>
  <c r="D138" i="52"/>
  <c r="C113" i="52"/>
  <c r="D145" i="52"/>
  <c r="C106" i="52"/>
  <c r="C160" i="52"/>
  <c r="D80" i="52"/>
  <c r="C59" i="52"/>
  <c r="AB20" i="82"/>
  <c r="C62" i="52"/>
  <c r="C126" i="52"/>
  <c r="C195" i="52"/>
  <c r="C164" i="52"/>
  <c r="L5" i="23"/>
  <c r="D68" i="52"/>
  <c r="C100" i="52"/>
  <c r="C116" i="52"/>
  <c r="C132" i="52"/>
  <c r="C75" i="52"/>
  <c r="D123" i="52"/>
  <c r="C191" i="52"/>
  <c r="D165" i="52"/>
  <c r="D101" i="52"/>
  <c r="D169" i="52"/>
  <c r="D64" i="52"/>
  <c r="C96" i="52"/>
  <c r="D112" i="52"/>
  <c r="C128" i="52"/>
  <c r="C144" i="52"/>
  <c r="D160" i="52"/>
  <c r="C180" i="52"/>
  <c r="D132" i="52"/>
  <c r="D116" i="52"/>
  <c r="D180" i="52"/>
  <c r="D144" i="52"/>
  <c r="D128" i="52"/>
  <c r="C68" i="52"/>
  <c r="C189" i="52"/>
  <c r="C138" i="52"/>
  <c r="C165" i="52"/>
  <c r="C58" i="52"/>
  <c r="D90" i="52"/>
  <c r="D154" i="52"/>
  <c r="C152" i="52"/>
  <c r="C168" i="52"/>
  <c r="C188" i="52"/>
  <c r="D24" i="52"/>
  <c r="D133" i="52"/>
  <c r="D76" i="52"/>
  <c r="C156" i="52"/>
  <c r="C192" i="52"/>
  <c r="D62" i="52"/>
  <c r="AB32" i="82"/>
  <c r="D106" i="52"/>
  <c r="D96" i="52"/>
  <c r="D83" i="52"/>
  <c r="D161" i="52"/>
  <c r="C83" i="52"/>
  <c r="D185" i="52"/>
  <c r="D32" i="52"/>
  <c r="D88" i="52"/>
  <c r="C120" i="52"/>
  <c r="AR23" i="82"/>
  <c r="D125" i="52"/>
  <c r="C94" i="52"/>
  <c r="C158" i="52"/>
  <c r="D189" i="52"/>
  <c r="D84" i="52"/>
  <c r="D100" i="52"/>
  <c r="C110" i="52"/>
  <c r="C176" i="52"/>
  <c r="C64" i="52"/>
  <c r="D117" i="52"/>
  <c r="D56" i="52"/>
  <c r="D53" i="52"/>
  <c r="D59" i="52"/>
  <c r="C185" i="52"/>
  <c r="D35" i="52"/>
  <c r="AR9" i="82"/>
  <c r="D40" i="52"/>
  <c r="D89" i="52"/>
  <c r="C26" i="52"/>
  <c r="AA30" i="82"/>
  <c r="AA27" i="82"/>
  <c r="AA19" i="82"/>
  <c r="D23" i="52"/>
  <c r="AB35" i="82"/>
  <c r="C12" i="52"/>
  <c r="D28" i="52"/>
  <c r="C121" i="52"/>
  <c r="D57" i="52"/>
  <c r="C84" i="52"/>
  <c r="D126" i="52"/>
  <c r="AB25" i="82"/>
  <c r="C73" i="52"/>
  <c r="C137" i="52"/>
  <c r="D16" i="52"/>
  <c r="D72" i="52"/>
  <c r="C104" i="52"/>
  <c r="C31" i="52"/>
  <c r="D15" i="52"/>
  <c r="AB43" i="82"/>
  <c r="C37" i="52"/>
  <c r="AB49" i="82"/>
  <c r="D175" i="52"/>
  <c r="D162" i="52"/>
  <c r="D142" i="52"/>
  <c r="AR21" i="82"/>
  <c r="D58" i="52"/>
  <c r="AB36" i="82"/>
  <c r="C61" i="52"/>
  <c r="C125" i="52"/>
  <c r="D194" i="52"/>
  <c r="C54" i="52"/>
  <c r="C89" i="52"/>
  <c r="D153" i="52"/>
  <c r="C13" i="52"/>
  <c r="D46" i="52"/>
  <c r="C32" i="52"/>
  <c r="D193" i="49"/>
  <c r="AY8" i="82"/>
  <c r="AY17" i="82" s="1"/>
  <c r="C69" i="52"/>
  <c r="C133" i="52"/>
  <c r="C76" i="52"/>
  <c r="D92" i="52"/>
  <c r="C108" i="52"/>
  <c r="C172" i="52"/>
  <c r="AA17" i="82"/>
  <c r="AC12" i="23"/>
  <c r="L17" i="82"/>
  <c r="C93" i="52"/>
  <c r="C157" i="52"/>
  <c r="D109" i="52"/>
  <c r="C53" i="52"/>
  <c r="AB9" i="82"/>
  <c r="C8" i="52"/>
  <c r="C24" i="52"/>
  <c r="D52" i="52"/>
  <c r="C175" i="52"/>
  <c r="AA52" i="82"/>
  <c r="AA29" i="82"/>
  <c r="AA53" i="82"/>
  <c r="D5" i="52"/>
  <c r="C21" i="52"/>
  <c r="D49" i="52"/>
  <c r="C56" i="52"/>
  <c r="D4" i="52"/>
  <c r="AY19" i="82"/>
  <c r="AY28" i="82" s="1"/>
  <c r="D41" i="82"/>
  <c r="AR12" i="82"/>
  <c r="AA7" i="82"/>
  <c r="C181" i="52"/>
  <c r="D93" i="52"/>
  <c r="D69" i="52"/>
  <c r="C130" i="52"/>
  <c r="D94" i="52"/>
  <c r="D21" i="52"/>
  <c r="C72" i="52"/>
  <c r="AE50" i="23"/>
  <c r="AF50" i="23"/>
  <c r="D82" i="52"/>
  <c r="C14" i="52"/>
  <c r="D137" i="52"/>
  <c r="D121" i="52"/>
  <c r="D48" i="52"/>
  <c r="AB37" i="82"/>
  <c r="AC50" i="23"/>
  <c r="F51" i="23"/>
  <c r="C90" i="52"/>
  <c r="D81" i="52"/>
  <c r="D18" i="52"/>
  <c r="AB10" i="82"/>
  <c r="AB53" i="82"/>
  <c r="C5" i="52"/>
  <c r="D37" i="52"/>
  <c r="D114" i="52"/>
  <c r="D157" i="52"/>
  <c r="C182" i="52"/>
  <c r="D73" i="52"/>
  <c r="C194" i="52"/>
  <c r="C65" i="52"/>
  <c r="AB22" i="82"/>
  <c r="F33" i="23"/>
  <c r="AA26" i="82"/>
  <c r="C193" i="49"/>
  <c r="C92" i="52"/>
  <c r="AF7" i="23"/>
  <c r="E51" i="82"/>
  <c r="AE34" i="23"/>
  <c r="C60" i="52"/>
  <c r="AF52" i="23"/>
  <c r="AA28" i="82"/>
  <c r="C141" i="52"/>
  <c r="AB11" i="82"/>
  <c r="C4" i="52"/>
  <c r="C20" i="52"/>
  <c r="D36" i="52"/>
  <c r="AZ8" i="82"/>
  <c r="AZ17" i="82" s="1"/>
  <c r="AA16" i="82"/>
  <c r="K38" i="82"/>
  <c r="C153" i="52"/>
  <c r="D3" i="52"/>
  <c r="D110" i="52"/>
  <c r="AD53" i="23"/>
  <c r="D25" i="52"/>
  <c r="AB29" i="82"/>
  <c r="D12" i="52"/>
  <c r="C28" i="52"/>
  <c r="C45" i="52"/>
  <c r="AE53" i="23"/>
  <c r="AB50" i="82"/>
  <c r="C16" i="52"/>
  <c r="C49" i="52"/>
  <c r="C57" i="52"/>
  <c r="C117" i="52"/>
  <c r="D61" i="52"/>
  <c r="D176" i="52"/>
  <c r="AA47" i="82"/>
  <c r="D20" i="52"/>
  <c r="D45" i="52"/>
  <c r="D66" i="52"/>
  <c r="C78" i="52"/>
  <c r="D30" i="52"/>
  <c r="C11" i="52"/>
  <c r="AB38" i="82"/>
  <c r="AF53" i="23"/>
  <c r="AC9" i="23"/>
  <c r="C47" i="52"/>
  <c r="D27" i="52"/>
  <c r="AB34" i="82"/>
  <c r="AB15" i="82"/>
  <c r="D77" i="52"/>
  <c r="AB42" i="82"/>
  <c r="D44" i="52"/>
  <c r="AR24" i="82"/>
  <c r="C98" i="52"/>
  <c r="AF32" i="23"/>
  <c r="L48" i="82"/>
  <c r="D141" i="52"/>
  <c r="C36" i="52"/>
  <c r="D9" i="52"/>
  <c r="AR22" i="82"/>
  <c r="K28" i="82"/>
  <c r="L24" i="82"/>
  <c r="D8" i="52"/>
  <c r="D13" i="52"/>
  <c r="D29" i="52"/>
  <c r="C40" i="52"/>
  <c r="C46" i="52"/>
  <c r="AA25" i="82"/>
  <c r="L42" i="82"/>
  <c r="L28" i="82"/>
  <c r="AB8" i="82"/>
  <c r="AR20" i="82"/>
  <c r="D33" i="82"/>
  <c r="C17" i="52"/>
  <c r="D33" i="52"/>
  <c r="D50" i="52"/>
  <c r="C77" i="52"/>
  <c r="D195" i="52"/>
  <c r="D51" i="82"/>
  <c r="C43" i="52"/>
  <c r="C10" i="52"/>
  <c r="C29" i="52"/>
  <c r="C105" i="52"/>
  <c r="C114" i="52"/>
  <c r="D7" i="52"/>
  <c r="L38" i="82"/>
  <c r="AE11" i="23"/>
  <c r="AF17" i="23"/>
  <c r="AB28" i="82"/>
  <c r="K48" i="82"/>
  <c r="AE6" i="23"/>
  <c r="C50" i="52"/>
  <c r="C33" i="52"/>
  <c r="C6" i="52"/>
  <c r="AU7" i="23"/>
  <c r="C9" i="52"/>
  <c r="C25" i="52"/>
  <c r="AC18" i="23"/>
  <c r="AK42" i="23" s="1"/>
  <c r="AC26" i="23"/>
  <c r="D17" i="52"/>
  <c r="D13" i="82"/>
  <c r="AA39" i="82"/>
  <c r="E51" i="23"/>
  <c r="AA11" i="82"/>
  <c r="K5" i="82"/>
  <c r="D22" i="52"/>
  <c r="C44" i="52"/>
  <c r="AA8" i="82"/>
  <c r="AA34" i="82"/>
  <c r="AD14" i="23"/>
  <c r="AR19" i="82"/>
  <c r="AA21" i="82"/>
  <c r="AD8" i="23"/>
  <c r="AR10" i="82"/>
  <c r="AB39" i="82"/>
  <c r="L14" i="82"/>
  <c r="K24" i="82"/>
  <c r="D24" i="82"/>
  <c r="K42" i="82"/>
  <c r="AP7" i="82"/>
  <c r="AA31" i="82"/>
  <c r="AB21" i="82"/>
  <c r="AE27" i="23"/>
  <c r="AB14" i="82"/>
  <c r="AF38" i="23"/>
  <c r="C22" i="52"/>
  <c r="AE10" i="23"/>
  <c r="C146" i="52"/>
  <c r="E24" i="82"/>
  <c r="AF8" i="23"/>
  <c r="D186" i="52"/>
  <c r="D34" i="52"/>
  <c r="M48" i="23"/>
  <c r="E13" i="82"/>
  <c r="AE52" i="23"/>
  <c r="AZ19" i="82"/>
  <c r="AZ28" i="82" s="1"/>
  <c r="C118" i="52"/>
  <c r="AC42" i="23"/>
  <c r="AK39" i="23" s="1"/>
  <c r="C38" i="53" s="1"/>
  <c r="C35" i="53" s="1"/>
  <c r="AO7" i="82"/>
  <c r="K17" i="82"/>
  <c r="C38" i="52"/>
  <c r="AA42" i="82"/>
  <c r="C27" i="52"/>
  <c r="AA15" i="82"/>
  <c r="AA6" i="82"/>
  <c r="AV11" i="23"/>
  <c r="AA38" i="82"/>
  <c r="AF11" i="23"/>
  <c r="AD52" i="23"/>
  <c r="AF9" i="23"/>
  <c r="L5" i="82"/>
  <c r="D97" i="52"/>
  <c r="R18" i="82"/>
  <c r="V18" i="82" s="1"/>
  <c r="L48" i="23"/>
  <c r="AR15" i="23"/>
  <c r="AS15" i="23"/>
  <c r="AQ15" i="82"/>
  <c r="AO15" i="82"/>
  <c r="AA10" i="82"/>
  <c r="AE14" i="23"/>
  <c r="AA48" i="82"/>
  <c r="AB48" i="82"/>
  <c r="AC15" i="23"/>
  <c r="AR16" i="82"/>
  <c r="AC52" i="23"/>
  <c r="AB7" i="82"/>
  <c r="M17" i="23"/>
  <c r="AH5" i="82"/>
  <c r="AN15" i="82"/>
  <c r="R8" i="82"/>
  <c r="R17" i="82" s="1"/>
  <c r="D11" i="52"/>
  <c r="AC53" i="23"/>
  <c r="AE48" i="23"/>
  <c r="AC31" i="23"/>
  <c r="E5" i="23"/>
  <c r="AD11" i="23"/>
  <c r="AE12" i="23"/>
  <c r="AR7" i="23"/>
  <c r="AE9" i="23"/>
  <c r="AE8" i="23"/>
  <c r="AE28" i="23"/>
  <c r="AC16" i="23"/>
  <c r="AK41" i="23" s="1"/>
  <c r="C40" i="53" s="1"/>
  <c r="AR14" i="82"/>
  <c r="AB6" i="82"/>
  <c r="AB12" i="82"/>
  <c r="AC22" i="23"/>
  <c r="E5" i="82"/>
  <c r="F5" i="23"/>
  <c r="AH17" i="82"/>
  <c r="AT15" i="23"/>
  <c r="AT6" i="23" s="1"/>
  <c r="M5" i="23"/>
  <c r="E41" i="82"/>
  <c r="AB44" i="82"/>
  <c r="AC19" i="23"/>
  <c r="D38" i="52"/>
  <c r="D4" i="53"/>
  <c r="E24" i="23"/>
  <c r="AF42" i="23"/>
  <c r="AF18" i="23"/>
  <c r="AD39" i="23"/>
  <c r="AC49" i="23"/>
  <c r="M42" i="23"/>
  <c r="AC32" i="23"/>
  <c r="C18" i="52"/>
  <c r="AF43" i="23"/>
  <c r="C39" i="52"/>
  <c r="AN7" i="82"/>
  <c r="AF12" i="23"/>
  <c r="C81" i="52"/>
  <c r="AG17" i="82"/>
  <c r="L38" i="23"/>
  <c r="E41" i="23"/>
  <c r="AF41" i="23" s="1"/>
  <c r="AD43" i="23"/>
  <c r="L28" i="23"/>
  <c r="C4" i="53"/>
  <c r="AE42" i="23"/>
  <c r="AV19" i="23"/>
  <c r="AV15" i="23" s="1"/>
  <c r="AD29" i="23"/>
  <c r="AC43" i="23"/>
  <c r="F13" i="23"/>
  <c r="AK5" i="23"/>
  <c r="AC21" i="23"/>
  <c r="AE49" i="23"/>
  <c r="E13" i="23"/>
  <c r="AF49" i="23"/>
  <c r="AD32" i="23"/>
  <c r="AE18" i="23"/>
  <c r="D166" i="52"/>
  <c r="AD19" i="23"/>
  <c r="E33" i="23"/>
  <c r="M28" i="23"/>
  <c r="AU15" i="23"/>
  <c r="L17" i="23"/>
  <c r="AS7" i="23"/>
  <c r="BC8" i="23"/>
  <c r="BC17" i="23" s="1"/>
  <c r="BC6" i="23" s="1"/>
  <c r="BC29" i="23" s="1"/>
  <c r="C145" i="52"/>
  <c r="AF36" i="23"/>
  <c r="C34" i="52"/>
  <c r="AG5" i="82"/>
  <c r="C16" i="53"/>
  <c r="D16" i="53"/>
  <c r="D13" i="23"/>
  <c r="D4" i="23" s="1"/>
  <c r="AF30" i="23"/>
  <c r="AE36" i="23"/>
  <c r="AD30" i="23"/>
  <c r="AC47" i="23"/>
  <c r="D60" i="52"/>
  <c r="AC30" i="23"/>
  <c r="AD44" i="23"/>
  <c r="D5" i="82"/>
  <c r="D51" i="52"/>
  <c r="AD36" i="23"/>
  <c r="AD49" i="23"/>
  <c r="D41" i="23"/>
  <c r="AC36" i="23"/>
  <c r="L42" i="23"/>
  <c r="D24" i="23"/>
  <c r="G29" i="54"/>
  <c r="AQ7" i="82"/>
  <c r="F24" i="23"/>
  <c r="AA35" i="82"/>
  <c r="AC39" i="23"/>
  <c r="D33" i="23"/>
  <c r="AK17" i="23"/>
  <c r="AF39" i="23"/>
  <c r="AF26" i="23"/>
  <c r="AC25" i="23"/>
  <c r="AC35" i="23"/>
  <c r="AE26" i="23"/>
  <c r="AP15" i="82"/>
  <c r="G20" i="54"/>
  <c r="G21" i="54"/>
  <c r="G25" i="54"/>
  <c r="BD19" i="23"/>
  <c r="BD28" i="23" s="1"/>
  <c r="C161" i="52"/>
  <c r="C102" i="52"/>
  <c r="C23" i="52"/>
  <c r="C7" i="52"/>
  <c r="E33" i="82"/>
  <c r="AD37" i="23"/>
  <c r="AF19" i="23"/>
  <c r="AL17" i="23"/>
  <c r="AL5" i="23"/>
  <c r="G22" i="54"/>
  <c r="G26" i="54"/>
  <c r="G30" i="54"/>
  <c r="AD20" i="23"/>
  <c r="L14" i="23"/>
  <c r="G8" i="54"/>
  <c r="G12" i="54"/>
  <c r="G16" i="54"/>
  <c r="D207" i="50"/>
  <c r="G13" i="54"/>
  <c r="G17" i="54"/>
  <c r="G24" i="54"/>
  <c r="G28" i="54"/>
  <c r="F3" i="55"/>
  <c r="F26" i="55" s="1"/>
  <c r="E3" i="55"/>
  <c r="E26" i="55" s="1"/>
  <c r="DO14" i="82"/>
  <c r="DO58" i="82"/>
  <c r="BY22" i="82"/>
  <c r="FB27" i="82"/>
  <c r="FB26" i="82" s="1"/>
  <c r="EY26" i="82"/>
  <c r="DJ5" i="82"/>
  <c r="EP8" i="82" s="1"/>
  <c r="EP7" i="82" s="1"/>
  <c r="EP10" i="82" s="1"/>
  <c r="EP12" i="82" s="1"/>
  <c r="DL14" i="82"/>
  <c r="DL44" i="82"/>
  <c r="DO45" i="82"/>
  <c r="DO44" i="82" s="1"/>
  <c r="EW6" i="82"/>
  <c r="EW5" i="82" s="1"/>
  <c r="DO35" i="82"/>
  <c r="DO34" i="82" s="1"/>
  <c r="DL34" i="82"/>
  <c r="BY6" i="82"/>
  <c r="FB8" i="82"/>
  <c r="FB7" i="82" s="1"/>
  <c r="EY7" i="82"/>
  <c r="BN5" i="82"/>
  <c r="BO5" i="82" s="1"/>
  <c r="DO70" i="82"/>
  <c r="BN35" i="82"/>
  <c r="DL58" i="82"/>
  <c r="DO54" i="82"/>
  <c r="BN32" i="82"/>
  <c r="BO32" i="82" s="1"/>
  <c r="CU10" i="82"/>
  <c r="CR8" i="82"/>
  <c r="CR7" i="82" s="1"/>
  <c r="CR6" i="82" s="1"/>
  <c r="CR5" i="82" s="1"/>
  <c r="CR4" i="82" s="1"/>
  <c r="DL24" i="82"/>
  <c r="DO25" i="82"/>
  <c r="DO24" i="82" s="1"/>
  <c r="FB11" i="82"/>
  <c r="FB10" i="82" s="1"/>
  <c r="EY10" i="82"/>
  <c r="DL6" i="82"/>
  <c r="EY31" i="82"/>
  <c r="FB32" i="82"/>
  <c r="FB31" i="82" s="1"/>
  <c r="DL54" i="82"/>
  <c r="EY23" i="82"/>
  <c r="FB25" i="82"/>
  <c r="FB23" i="82" s="1"/>
  <c r="DO6" i="82"/>
  <c r="BY18" i="82"/>
  <c r="BZ18" i="82" s="1"/>
  <c r="AL41" i="23"/>
  <c r="C13" i="51"/>
  <c r="C23" i="51" s="1"/>
  <c r="G4" i="51"/>
  <c r="C93" i="84" l="1"/>
  <c r="H92" i="84"/>
  <c r="A96" i="84"/>
  <c r="N4" i="23"/>
  <c r="N23" i="23"/>
  <c r="W12" i="87"/>
  <c r="W11" i="87" s="1"/>
  <c r="H6" i="91"/>
  <c r="H5" i="91" s="1"/>
  <c r="H4" i="91" s="1"/>
  <c r="H15" i="91" s="1"/>
  <c r="E5" i="91"/>
  <c r="E9" i="91"/>
  <c r="F5" i="91"/>
  <c r="B4" i="91"/>
  <c r="F76" i="90"/>
  <c r="E76" i="90"/>
  <c r="F44" i="90"/>
  <c r="F56" i="90" s="1"/>
  <c r="E44" i="90"/>
  <c r="E56" i="90" s="1"/>
  <c r="C44" i="90"/>
  <c r="C59" i="90" s="1"/>
  <c r="B44" i="90"/>
  <c r="B59" i="90" s="1"/>
  <c r="BD6" i="23"/>
  <c r="BD29" i="23" s="1"/>
  <c r="BN28" i="82"/>
  <c r="BO28" i="82" s="1"/>
  <c r="BO29" i="82"/>
  <c r="BZ22" i="82"/>
  <c r="BY39" i="82"/>
  <c r="BZ39" i="82" s="1"/>
  <c r="BN34" i="82"/>
  <c r="BO34" i="82" s="1"/>
  <c r="BO35" i="82"/>
  <c r="BZ6" i="82"/>
  <c r="BY33" i="82"/>
  <c r="AC51" i="23"/>
  <c r="D23" i="82"/>
  <c r="AU6" i="23"/>
  <c r="AU25" i="23" s="1"/>
  <c r="Q11" i="87"/>
  <c r="Q20" i="87" s="1"/>
  <c r="J83" i="87"/>
  <c r="T12" i="87"/>
  <c r="I83" i="87"/>
  <c r="U11" i="87"/>
  <c r="U20" i="87" s="1"/>
  <c r="T16" i="87"/>
  <c r="J51" i="87"/>
  <c r="J63" i="87" s="1"/>
  <c r="F51" i="87"/>
  <c r="F66" i="87" s="1"/>
  <c r="I51" i="87"/>
  <c r="I63" i="87" s="1"/>
  <c r="E51" i="87"/>
  <c r="E66" i="87" s="1"/>
  <c r="AV7" i="23"/>
  <c r="AV6" i="23" s="1"/>
  <c r="CU9" i="82"/>
  <c r="CU8" i="82" s="1"/>
  <c r="CU7" i="82" s="1"/>
  <c r="CU6" i="82" s="1"/>
  <c r="CU5" i="82" s="1"/>
  <c r="CU4" i="82" s="1"/>
  <c r="C174" i="52"/>
  <c r="CV7" i="23"/>
  <c r="CV10" i="23" s="1"/>
  <c r="CV12" i="23" s="1"/>
  <c r="E3" i="63"/>
  <c r="H3" i="63"/>
  <c r="E9" i="67"/>
  <c r="E11" i="67" s="1"/>
  <c r="C7" i="67"/>
  <c r="C6" i="67" s="1"/>
  <c r="C9" i="67" s="1"/>
  <c r="C11" i="67" s="1"/>
  <c r="D174" i="52"/>
  <c r="BV5" i="82"/>
  <c r="I3" i="59"/>
  <c r="H3" i="62"/>
  <c r="CU7" i="23"/>
  <c r="CU10" i="23" s="1"/>
  <c r="CU12" i="23" s="1"/>
  <c r="E3" i="61"/>
  <c r="BN27" i="82"/>
  <c r="BO27" i="82" s="1"/>
  <c r="BS28" i="23"/>
  <c r="E3" i="59"/>
  <c r="C178" i="49"/>
  <c r="C173" i="49" s="1"/>
  <c r="C193" i="52"/>
  <c r="E19" i="51"/>
  <c r="E18" i="51" s="1"/>
  <c r="G18" i="51" s="1"/>
  <c r="H3" i="61"/>
  <c r="H3" i="59"/>
  <c r="AG42" i="82"/>
  <c r="AR6" i="23"/>
  <c r="AG41" i="82"/>
  <c r="L4" i="82"/>
  <c r="AG39" i="82"/>
  <c r="AG36" i="82" s="1"/>
  <c r="AE33" i="23"/>
  <c r="AA51" i="82"/>
  <c r="CT10" i="23"/>
  <c r="CT12" i="23" s="1"/>
  <c r="E4" i="68"/>
  <c r="E3" i="68" s="1"/>
  <c r="CC5" i="23"/>
  <c r="H4" i="68"/>
  <c r="H3" i="68" s="1"/>
  <c r="BZ5" i="23"/>
  <c r="DC6" i="23"/>
  <c r="DC5" i="23" s="1"/>
  <c r="DF6" i="23"/>
  <c r="DF5" i="23" s="1"/>
  <c r="BO28" i="23"/>
  <c r="BR28" i="23"/>
  <c r="AD51" i="23"/>
  <c r="H7" i="48"/>
  <c r="E8" i="48"/>
  <c r="F23" i="23"/>
  <c r="D4" i="82"/>
  <c r="AZ6" i="82"/>
  <c r="AZ29" i="82" s="1"/>
  <c r="D193" i="52"/>
  <c r="AF51" i="23"/>
  <c r="AA13" i="82"/>
  <c r="AY6" i="82"/>
  <c r="AY29" i="82" s="1"/>
  <c r="AB33" i="82"/>
  <c r="AB24" i="82"/>
  <c r="AB51" i="82"/>
  <c r="AF33" i="23"/>
  <c r="AA24" i="82"/>
  <c r="AG34" i="82"/>
  <c r="AG4" i="82" s="1"/>
  <c r="K23" i="82"/>
  <c r="AR15" i="82"/>
  <c r="K4" i="82"/>
  <c r="AB13" i="82"/>
  <c r="L23" i="82"/>
  <c r="AA41" i="82"/>
  <c r="D33" i="53"/>
  <c r="AE5" i="23"/>
  <c r="AP6" i="82"/>
  <c r="AE51" i="23"/>
  <c r="AR7" i="82"/>
  <c r="AQ6" i="82"/>
  <c r="AB41" i="82"/>
  <c r="E4" i="82"/>
  <c r="AL42" i="23"/>
  <c r="D41" i="53" s="1"/>
  <c r="AF5" i="23"/>
  <c r="AC5" i="23"/>
  <c r="AN6" i="82"/>
  <c r="AD5" i="23"/>
  <c r="AC33" i="23"/>
  <c r="M23" i="23"/>
  <c r="E4" i="23"/>
  <c r="AC4" i="23" s="1"/>
  <c r="AH34" i="82"/>
  <c r="AH4" i="82" s="1"/>
  <c r="AO6" i="82"/>
  <c r="AS6" i="23"/>
  <c r="E23" i="82"/>
  <c r="M4" i="23"/>
  <c r="R27" i="82"/>
  <c r="V8" i="82"/>
  <c r="F4" i="23"/>
  <c r="E23" i="23"/>
  <c r="BC31" i="23" s="1"/>
  <c r="AD13" i="23"/>
  <c r="AF13" i="23"/>
  <c r="AE24" i="23"/>
  <c r="AD33" i="23"/>
  <c r="AC24" i="23"/>
  <c r="AE13" i="23"/>
  <c r="AK40" i="23"/>
  <c r="L23" i="23"/>
  <c r="AE41" i="23"/>
  <c r="AC13" i="23"/>
  <c r="C33" i="53"/>
  <c r="AD24" i="23"/>
  <c r="AF24" i="23"/>
  <c r="AA33" i="82"/>
  <c r="AK34" i="23"/>
  <c r="AK4" i="23" s="1"/>
  <c r="AC41" i="23"/>
  <c r="AA5" i="82"/>
  <c r="AL39" i="23"/>
  <c r="D38" i="53" s="1"/>
  <c r="D35" i="53" s="1"/>
  <c r="AB5" i="82"/>
  <c r="L4" i="23"/>
  <c r="D23" i="23"/>
  <c r="BD31" i="23" s="1"/>
  <c r="AD41" i="23"/>
  <c r="AL34" i="23"/>
  <c r="AL4" i="23" s="1"/>
  <c r="D179" i="49"/>
  <c r="D9" i="51"/>
  <c r="AK36" i="23"/>
  <c r="C41" i="53"/>
  <c r="C39" i="53" s="1"/>
  <c r="C43" i="53" s="1"/>
  <c r="DO5" i="82"/>
  <c r="FB6" i="82"/>
  <c r="FB5" i="82" s="1"/>
  <c r="DL5" i="82"/>
  <c r="BY5" i="82"/>
  <c r="BZ5" i="82" s="1"/>
  <c r="EY6" i="82"/>
  <c r="EY5" i="82" s="1"/>
  <c r="D40" i="53"/>
  <c r="AH41" i="82"/>
  <c r="C94" i="84" l="1"/>
  <c r="H93" i="84"/>
  <c r="A97" i="84"/>
  <c r="N57" i="23"/>
  <c r="F46" i="23" s="1"/>
  <c r="F45" i="23" s="1"/>
  <c r="F40" i="23" s="1"/>
  <c r="F54" i="23" s="1"/>
  <c r="E78" i="90"/>
  <c r="E4" i="91"/>
  <c r="E15" i="91" s="1"/>
  <c r="F4" i="91"/>
  <c r="U22" i="87"/>
  <c r="F13" i="91"/>
  <c r="Q22" i="87"/>
  <c r="B13" i="91"/>
  <c r="B15" i="91" s="1"/>
  <c r="F78" i="90"/>
  <c r="AB23" i="82"/>
  <c r="BZ33" i="82"/>
  <c r="BY32" i="82"/>
  <c r="AR25" i="23"/>
  <c r="J85" i="87"/>
  <c r="J89" i="87" s="1"/>
  <c r="AE4" i="23"/>
  <c r="T11" i="87"/>
  <c r="T22" i="87" s="1"/>
  <c r="I85" i="87"/>
  <c r="I89" i="87" s="1"/>
  <c r="AL40" i="23"/>
  <c r="L57" i="82"/>
  <c r="E46" i="82" s="1"/>
  <c r="E45" i="82" s="1"/>
  <c r="E40" i="82" s="1"/>
  <c r="E23" i="51"/>
  <c r="G19" i="51"/>
  <c r="AG40" i="82"/>
  <c r="AG44" i="82" s="1"/>
  <c r="AG35" i="82" s="1"/>
  <c r="M57" i="23"/>
  <c r="U13" i="23" s="1"/>
  <c r="AB4" i="82"/>
  <c r="AD4" i="23"/>
  <c r="AV25" i="23" s="1"/>
  <c r="AA23" i="82"/>
  <c r="AA4" i="82"/>
  <c r="AF4" i="23"/>
  <c r="AH42" i="82"/>
  <c r="AH40" i="82" s="1"/>
  <c r="AE23" i="23"/>
  <c r="AF23" i="23"/>
  <c r="H8" i="48"/>
  <c r="E9" i="48"/>
  <c r="K57" i="82"/>
  <c r="D46" i="82" s="1"/>
  <c r="AR6" i="82"/>
  <c r="L57" i="23"/>
  <c r="AC23" i="23"/>
  <c r="AK44" i="23"/>
  <c r="AK35" i="23" s="1"/>
  <c r="AL36" i="23"/>
  <c r="AH39" i="82"/>
  <c r="AH36" i="82" s="1"/>
  <c r="AD23" i="23"/>
  <c r="G9" i="51"/>
  <c r="D8" i="51"/>
  <c r="C179" i="52"/>
  <c r="D179" i="52"/>
  <c r="D178" i="49"/>
  <c r="D39" i="53"/>
  <c r="D43" i="53" s="1"/>
  <c r="D46" i="23" l="1"/>
  <c r="V23" i="23"/>
  <c r="U12" i="23"/>
  <c r="X13" i="23"/>
  <c r="C95" i="84"/>
  <c r="H94" i="84"/>
  <c r="A98" i="84"/>
  <c r="F15" i="91"/>
  <c r="BZ32" i="82"/>
  <c r="BY31" i="82"/>
  <c r="BZ31" i="82" s="1"/>
  <c r="E46" i="23"/>
  <c r="AE46" i="23" s="1"/>
  <c r="AL50" i="23" s="1"/>
  <c r="E10" i="48"/>
  <c r="E11" i="48" s="1"/>
  <c r="H9" i="48"/>
  <c r="AL44" i="23"/>
  <c r="AL35" i="23" s="1"/>
  <c r="S13" i="82"/>
  <c r="V13" i="82" s="1"/>
  <c r="T23" i="82"/>
  <c r="V23" i="82" s="1"/>
  <c r="D45" i="82"/>
  <c r="D40" i="82" s="1"/>
  <c r="AB40" i="82" s="1"/>
  <c r="AA46" i="82"/>
  <c r="AG50" i="82" s="1"/>
  <c r="AG46" i="82" s="1"/>
  <c r="AB46" i="82"/>
  <c r="AG55" i="82" s="1"/>
  <c r="AG51" i="82" s="1"/>
  <c r="D45" i="23"/>
  <c r="D40" i="23" s="1"/>
  <c r="AH44" i="82"/>
  <c r="AH35" i="82" s="1"/>
  <c r="G8" i="51"/>
  <c r="G13" i="51" s="1"/>
  <c r="G23" i="51" s="1"/>
  <c r="D13" i="51"/>
  <c r="D23" i="51" s="1"/>
  <c r="D173" i="49"/>
  <c r="C178" i="52"/>
  <c r="D178" i="52"/>
  <c r="E54" i="82"/>
  <c r="U17" i="23" l="1"/>
  <c r="U27" i="23" s="1"/>
  <c r="X12" i="23"/>
  <c r="X17" i="23" s="1"/>
  <c r="V22" i="23"/>
  <c r="X23" i="23"/>
  <c r="C96" i="84"/>
  <c r="H95" i="84"/>
  <c r="A99" i="84"/>
  <c r="AC46" i="23"/>
  <c r="AK50" i="23" s="1"/>
  <c r="C49" i="53" s="1"/>
  <c r="C45" i="53" s="1"/>
  <c r="E45" i="23"/>
  <c r="E40" i="23" s="1"/>
  <c r="AC40" i="23" s="1"/>
  <c r="AD46" i="23"/>
  <c r="AK55" i="23" s="1"/>
  <c r="AK51" i="23" s="1"/>
  <c r="AF46" i="23"/>
  <c r="H10" i="48"/>
  <c r="E12" i="48"/>
  <c r="H11" i="48"/>
  <c r="S12" i="82"/>
  <c r="S17" i="82" s="1"/>
  <c r="S27" i="82" s="1"/>
  <c r="T22" i="82"/>
  <c r="V22" i="82" s="1"/>
  <c r="AA40" i="82"/>
  <c r="AA54" i="82" s="1"/>
  <c r="D54" i="82"/>
  <c r="AB45" i="82"/>
  <c r="AG56" i="82"/>
  <c r="AG57" i="82" s="1"/>
  <c r="AG60" i="82" s="1"/>
  <c r="AA45" i="82"/>
  <c r="C173" i="52"/>
  <c r="D173" i="52"/>
  <c r="D49" i="53"/>
  <c r="D45" i="53" s="1"/>
  <c r="AH50" i="82"/>
  <c r="AH46" i="82" s="1"/>
  <c r="AL46" i="23"/>
  <c r="D54" i="23"/>
  <c r="V27" i="23" l="1"/>
  <c r="X22" i="23"/>
  <c r="X27" i="23" s="1"/>
  <c r="X29" i="23" s="1"/>
  <c r="X28" i="23"/>
  <c r="C97" i="84"/>
  <c r="H96" i="84"/>
  <c r="A100" i="84"/>
  <c r="E54" i="23"/>
  <c r="AD40" i="23"/>
  <c r="AC54" i="23" s="1"/>
  <c r="AC45" i="23"/>
  <c r="AF45" i="23"/>
  <c r="AD45" i="23"/>
  <c r="AK46" i="23"/>
  <c r="AK56" i="23" s="1"/>
  <c r="AK57" i="23" s="1"/>
  <c r="AK60" i="23" s="1"/>
  <c r="AE45" i="23"/>
  <c r="AE40" i="23"/>
  <c r="AF40" i="23"/>
  <c r="AL55" i="23"/>
  <c r="AH55" i="82" s="1"/>
  <c r="AH51" i="82" s="1"/>
  <c r="AH56" i="82" s="1"/>
  <c r="E13" i="48"/>
  <c r="H12" i="48"/>
  <c r="C54" i="53"/>
  <c r="C50" i="53" s="1"/>
  <c r="C55" i="53" s="1"/>
  <c r="V12" i="82"/>
  <c r="V17" i="82" s="1"/>
  <c r="V27" i="82" s="1"/>
  <c r="V29" i="82" s="1"/>
  <c r="T27" i="82"/>
  <c r="AG45" i="82"/>
  <c r="H97" i="84" l="1"/>
  <c r="C98" i="84"/>
  <c r="A101" i="84"/>
  <c r="H13" i="48"/>
  <c r="E14" i="48"/>
  <c r="E15" i="48" s="1"/>
  <c r="AE54" i="23"/>
  <c r="AL51" i="23"/>
  <c r="AL56" i="23" s="1"/>
  <c r="AL45" i="23" s="1"/>
  <c r="D54" i="53"/>
  <c r="D50" i="53" s="1"/>
  <c r="D55" i="53" s="1"/>
  <c r="D56" i="53" s="1"/>
  <c r="C56" i="53"/>
  <c r="AK45" i="23"/>
  <c r="V28" i="82"/>
  <c r="AH45" i="82"/>
  <c r="AH57" i="82"/>
  <c r="AH60" i="82" s="1"/>
  <c r="C99" i="84" l="1"/>
  <c r="H98" i="84"/>
  <c r="E16" i="48"/>
  <c r="E17" i="48" s="1"/>
  <c r="H15" i="48"/>
  <c r="A102" i="84"/>
  <c r="H14" i="48"/>
  <c r="AL57" i="23"/>
  <c r="AL60" i="23" s="1"/>
  <c r="C100" i="84" l="1"/>
  <c r="H99" i="84"/>
  <c r="E18" i="48"/>
  <c r="H18" i="48" s="1"/>
  <c r="H17" i="48"/>
  <c r="A103" i="84"/>
  <c r="C101" i="84" l="1"/>
  <c r="H100" i="84"/>
  <c r="A104" i="84"/>
  <c r="H101" i="84" l="1"/>
  <c r="C102" i="84"/>
  <c r="A105" i="84"/>
  <c r="C103" i="84" l="1"/>
  <c r="H102" i="84"/>
  <c r="A106" i="84"/>
  <c r="C104" i="84" l="1"/>
  <c r="H103" i="84"/>
  <c r="A107" i="84"/>
  <c r="C105" i="84" l="1"/>
  <c r="H104" i="84"/>
  <c r="A108" i="84"/>
  <c r="C106" i="84" l="1"/>
  <c r="H105" i="84"/>
  <c r="A109" i="84"/>
  <c r="C107" i="84" l="1"/>
  <c r="H106" i="84"/>
  <c r="A110" i="84"/>
  <c r="C108" i="84" l="1"/>
  <c r="H107" i="84"/>
  <c r="A111" i="84"/>
  <c r="C109" i="84" l="1"/>
  <c r="H108" i="84"/>
  <c r="A112" i="84"/>
  <c r="C110" i="84" l="1"/>
  <c r="H109" i="84"/>
  <c r="A113" i="84"/>
  <c r="C111" i="84" l="1"/>
  <c r="H110" i="84"/>
  <c r="A114" i="84"/>
  <c r="A115" i="84" s="1"/>
  <c r="C112" i="84" l="1"/>
  <c r="H111" i="84"/>
  <c r="A116" i="84"/>
  <c r="A117" i="84" s="1"/>
  <c r="A118" i="84" s="1"/>
  <c r="C113" i="84" l="1"/>
  <c r="H112" i="84"/>
  <c r="A119" i="84"/>
  <c r="C114" i="84" l="1"/>
  <c r="H113" i="84"/>
  <c r="A120" i="84"/>
  <c r="H114" i="84" l="1"/>
  <c r="C115" i="84"/>
  <c r="A121" i="84"/>
  <c r="C116" i="84" l="1"/>
  <c r="H115" i="84"/>
  <c r="A122" i="84"/>
  <c r="C117" i="84" l="1"/>
  <c r="H116" i="84"/>
  <c r="A123" i="84"/>
  <c r="C118" i="84" l="1"/>
  <c r="H117" i="84"/>
  <c r="A124" i="84"/>
  <c r="C119" i="84" l="1"/>
  <c r="H118" i="84"/>
  <c r="A125" i="84"/>
  <c r="H119" i="84" l="1"/>
  <c r="C120" i="84"/>
  <c r="A126" i="84"/>
  <c r="C121" i="84" l="1"/>
  <c r="H120" i="84"/>
  <c r="A127" i="84"/>
  <c r="C122" i="84" l="1"/>
  <c r="H121" i="84"/>
  <c r="A128" i="84"/>
  <c r="H122" i="84" l="1"/>
  <c r="C123" i="84"/>
  <c r="A129" i="84"/>
  <c r="H123" i="84" l="1"/>
  <c r="C124" i="84"/>
  <c r="A130" i="84"/>
  <c r="C125" i="84" l="1"/>
  <c r="H124" i="84"/>
  <c r="A131" i="84"/>
  <c r="H125" i="84" l="1"/>
  <c r="C126" i="84"/>
  <c r="H131" i="84"/>
  <c r="A132" i="84"/>
  <c r="C132" i="84" s="1"/>
  <c r="C127" i="84" l="1"/>
  <c r="H126" i="84"/>
  <c r="C133" i="84"/>
  <c r="H132" i="84"/>
  <c r="A133" i="84"/>
  <c r="C128" i="84" l="1"/>
  <c r="H127" i="84"/>
  <c r="C134" i="84"/>
  <c r="H133" i="84"/>
  <c r="A134" i="84"/>
  <c r="H128" i="84" l="1"/>
  <c r="C129" i="84"/>
  <c r="C135" i="84"/>
  <c r="H134" i="84"/>
  <c r="A135" i="84"/>
  <c r="H129" i="84" l="1"/>
  <c r="C130" i="84"/>
  <c r="C136" i="84"/>
  <c r="H135" i="84"/>
  <c r="A136" i="84"/>
  <c r="C131" i="84" l="1"/>
  <c r="H130" i="84"/>
  <c r="C137" i="84"/>
  <c r="H136" i="84"/>
  <c r="A137" i="84"/>
  <c r="C138" i="84" l="1"/>
  <c r="H137" i="84"/>
  <c r="A138" i="84"/>
  <c r="C139" i="84" l="1"/>
  <c r="H138" i="84"/>
  <c r="A139" i="84"/>
  <c r="C140" i="84" l="1"/>
  <c r="H139" i="84"/>
  <c r="A140" i="84"/>
  <c r="C141" i="84" l="1"/>
  <c r="H141" i="84" s="1"/>
  <c r="H140" i="84"/>
  <c r="A141" i="84"/>
  <c r="A142" i="84" s="1"/>
  <c r="C142" i="84" l="1"/>
  <c r="A143" i="84"/>
  <c r="A144" i="84" s="1"/>
  <c r="A145" i="84" s="1"/>
  <c r="C143" i="84" l="1"/>
  <c r="H142" i="84"/>
  <c r="A146" i="84"/>
  <c r="C144" i="84" l="1"/>
  <c r="H143" i="84"/>
  <c r="A147" i="84"/>
  <c r="C145" i="84" l="1"/>
  <c r="H144" i="84"/>
  <c r="A148" i="84"/>
  <c r="C146" i="84" l="1"/>
  <c r="H145" i="84"/>
  <c r="A149" i="84"/>
  <c r="C147" i="84" l="1"/>
  <c r="H146" i="84"/>
  <c r="A150" i="84"/>
  <c r="H147" i="84" l="1"/>
  <c r="C148" i="84"/>
  <c r="A151" i="84"/>
  <c r="H148" i="84" l="1"/>
  <c r="C149" i="84"/>
  <c r="A152" i="84"/>
  <c r="C150" i="84" l="1"/>
  <c r="H149" i="84"/>
  <c r="A153" i="84"/>
  <c r="C151" i="84" l="1"/>
  <c r="C152" i="84" s="1"/>
  <c r="H152" i="84" s="1"/>
  <c r="H150" i="84"/>
  <c r="H151" i="84"/>
  <c r="A154" i="84"/>
  <c r="C153" i="84" l="1"/>
  <c r="A155" i="84"/>
  <c r="C154" i="84" l="1"/>
  <c r="H153" i="84"/>
  <c r="A156" i="84"/>
  <c r="C155" i="84" l="1"/>
  <c r="H154" i="84"/>
  <c r="A157" i="84"/>
  <c r="C156" i="84" l="1"/>
  <c r="H156" i="84" s="1"/>
  <c r="H155" i="84"/>
  <c r="A158" i="84"/>
  <c r="C157" i="84" l="1"/>
  <c r="A159" i="84"/>
  <c r="H157" i="84" l="1"/>
  <c r="C158" i="84"/>
  <c r="A160" i="84"/>
  <c r="C159" i="84" l="1"/>
  <c r="H158" i="84"/>
  <c r="H160" i="84"/>
  <c r="A161" i="84"/>
  <c r="C161" i="84" s="1"/>
  <c r="C160" i="84" l="1"/>
  <c r="H159" i="84"/>
  <c r="C162" i="84"/>
  <c r="H161" i="84"/>
  <c r="A162" i="84"/>
  <c r="C163" i="84" l="1"/>
  <c r="H162" i="84"/>
  <c r="A163" i="84"/>
  <c r="C164" i="84" l="1"/>
  <c r="H163" i="84"/>
  <c r="A164" i="84"/>
  <c r="C165" i="84" l="1"/>
  <c r="H164" i="84"/>
  <c r="A165" i="84"/>
  <c r="C166" i="84" l="1"/>
  <c r="H165" i="84"/>
  <c r="A166" i="84"/>
  <c r="C167" i="84" l="1"/>
  <c r="H166" i="84"/>
  <c r="A167" i="84"/>
  <c r="C168" i="84" l="1"/>
  <c r="H167" i="84"/>
  <c r="A168" i="84"/>
  <c r="C169" i="84" l="1"/>
  <c r="H168" i="84"/>
  <c r="A169" i="84"/>
  <c r="C170" i="84" l="1"/>
  <c r="H169" i="84"/>
  <c r="A170" i="84"/>
  <c r="C171" i="84" l="1"/>
  <c r="H170" i="84"/>
  <c r="A171" i="84"/>
  <c r="C172" i="84" l="1"/>
  <c r="H171" i="84"/>
  <c r="A172" i="84"/>
  <c r="C173" i="84" l="1"/>
  <c r="H172" i="84"/>
  <c r="A173" i="84"/>
  <c r="C174" i="84" l="1"/>
  <c r="H173" i="84"/>
  <c r="A174" i="84"/>
  <c r="C175" i="84" l="1"/>
  <c r="H174" i="84"/>
  <c r="A175" i="84"/>
  <c r="C176" i="84" l="1"/>
  <c r="H175" i="84"/>
  <c r="A176" i="84"/>
  <c r="C177" i="84" l="1"/>
  <c r="H176" i="84"/>
  <c r="A177" i="84"/>
  <c r="C178" i="84" l="1"/>
  <c r="H177" i="84"/>
  <c r="A178" i="84"/>
  <c r="C179" i="84" l="1"/>
  <c r="H178" i="84"/>
  <c r="A179" i="84"/>
  <c r="C180" i="84" l="1"/>
  <c r="H179" i="84"/>
  <c r="A180" i="84"/>
  <c r="C181" i="84" l="1"/>
  <c r="H181" i="84" s="1"/>
  <c r="H180" i="84"/>
  <c r="A181" i="84"/>
  <c r="A182" i="84" s="1"/>
  <c r="C182" i="84" l="1"/>
  <c r="A183" i="84"/>
  <c r="A184" i="84" s="1"/>
  <c r="A185" i="84" s="1"/>
  <c r="C183" i="84" l="1"/>
  <c r="H182" i="84"/>
  <c r="A186" i="84"/>
  <c r="C184" i="84" l="1"/>
  <c r="H183" i="84"/>
  <c r="A187" i="84"/>
  <c r="C185" i="84" l="1"/>
  <c r="H184" i="84"/>
  <c r="A188" i="84"/>
  <c r="C186" i="84" l="1"/>
  <c r="H185" i="84"/>
  <c r="A189" i="84"/>
  <c r="H186" i="84" l="1"/>
  <c r="C187" i="84"/>
  <c r="A190" i="84"/>
  <c r="C188" i="84" l="1"/>
  <c r="H187" i="84"/>
  <c r="A191" i="84"/>
  <c r="H188" i="84" l="1"/>
  <c r="C189" i="84"/>
  <c r="A192" i="84"/>
  <c r="A193" i="84" s="1"/>
  <c r="C190" i="84" l="1"/>
  <c r="H189" i="84"/>
  <c r="A194" i="84"/>
  <c r="A195" i="84" s="1"/>
  <c r="A196" i="84" s="1"/>
  <c r="C191" i="84" l="1"/>
  <c r="H190" i="84"/>
  <c r="A197" i="84"/>
  <c r="C192" i="84" l="1"/>
  <c r="H191" i="84"/>
  <c r="A198" i="84"/>
  <c r="H192" i="84" l="1"/>
  <c r="C193" i="84"/>
  <c r="A199" i="84"/>
  <c r="C194" i="84" l="1"/>
  <c r="H193" i="84"/>
  <c r="A200" i="84"/>
  <c r="C195" i="84" l="1"/>
  <c r="H194" i="84"/>
  <c r="A201" i="84"/>
  <c r="C196" i="84" l="1"/>
  <c r="H195" i="84"/>
  <c r="A202" i="84"/>
  <c r="C197" i="84" l="1"/>
  <c r="H196" i="84"/>
  <c r="A203" i="84"/>
  <c r="C198" i="84" l="1"/>
  <c r="H197" i="84"/>
  <c r="A204" i="84"/>
  <c r="C199" i="84" l="1"/>
  <c r="H198" i="84"/>
  <c r="A205" i="84"/>
  <c r="C200" i="84" l="1"/>
  <c r="H199" i="84"/>
  <c r="A206" i="84"/>
  <c r="H200" i="84" l="1"/>
  <c r="C201" i="84"/>
  <c r="A207" i="84"/>
  <c r="H201" i="84" l="1"/>
  <c r="C202" i="84"/>
  <c r="A208" i="84"/>
  <c r="C203" i="84" l="1"/>
  <c r="H202" i="84"/>
  <c r="A209" i="84"/>
  <c r="C204" i="84" l="1"/>
  <c r="H203" i="84"/>
  <c r="A210" i="84"/>
  <c r="H204" i="84" l="1"/>
  <c r="C205" i="84"/>
  <c r="A211" i="84"/>
  <c r="C206" i="84" l="1"/>
  <c r="H205" i="84"/>
  <c r="A212" i="84"/>
  <c r="C207" i="84" l="1"/>
  <c r="H206" i="84"/>
  <c r="A213" i="84"/>
  <c r="H207" i="84" l="1"/>
  <c r="C208" i="84"/>
  <c r="A214" i="84"/>
  <c r="H208" i="84" l="1"/>
  <c r="C209" i="84"/>
  <c r="H214" i="84"/>
  <c r="A215" i="84"/>
  <c r="C210" i="84" l="1"/>
  <c r="H209" i="84"/>
  <c r="A216" i="84"/>
  <c r="A217" i="84" s="1"/>
  <c r="A218" i="84" s="1"/>
  <c r="A219" i="84" s="1"/>
  <c r="A220" i="84" s="1"/>
  <c r="A221" i="84" s="1"/>
  <c r="A222" i="84" s="1"/>
  <c r="A223" i="84" s="1"/>
  <c r="A224" i="84" s="1"/>
  <c r="A225" i="84" s="1"/>
  <c r="A226" i="84" s="1"/>
  <c r="A227" i="84" s="1"/>
  <c r="A228" i="84" s="1"/>
  <c r="A229" i="84" s="1"/>
  <c r="A230" i="84" s="1"/>
  <c r="A231" i="84" s="1"/>
  <c r="A232" i="84" s="1"/>
  <c r="A233" i="84" s="1"/>
  <c r="A234" i="84" s="1"/>
  <c r="A235" i="84" s="1"/>
  <c r="A236" i="84" s="1"/>
  <c r="A237" i="84" s="1"/>
  <c r="A238" i="84" s="1"/>
  <c r="A239" i="84" s="1"/>
  <c r="A240" i="84" s="1"/>
  <c r="A241" i="84" s="1"/>
  <c r="A242" i="84" s="1"/>
  <c r="A243" i="84" s="1"/>
  <c r="A244" i="84" s="1"/>
  <c r="A245" i="84" s="1"/>
  <c r="A246" i="84" s="1"/>
  <c r="A247" i="84" s="1"/>
  <c r="A248" i="84" s="1"/>
  <c r="A249" i="84" s="1"/>
  <c r="A250" i="84" s="1"/>
  <c r="A251" i="84" s="1"/>
  <c r="A252" i="84" s="1"/>
  <c r="A253" i="84" s="1"/>
  <c r="A254" i="84" s="1"/>
  <c r="A255" i="84" s="1"/>
  <c r="A256" i="84" s="1"/>
  <c r="A257" i="84" s="1"/>
  <c r="A258" i="84" s="1"/>
  <c r="A259" i="84" s="1"/>
  <c r="A260" i="84" s="1"/>
  <c r="A261" i="84" s="1"/>
  <c r="C211" i="84" l="1"/>
  <c r="H210" i="84"/>
  <c r="C212" i="84" l="1"/>
  <c r="C213" i="84" s="1"/>
  <c r="H211" i="84"/>
  <c r="H212" i="84"/>
  <c r="H213" i="84" l="1"/>
  <c r="C214" i="84"/>
  <c r="C215" i="84" s="1"/>
  <c r="C216" i="84" l="1"/>
  <c r="H215" i="84"/>
  <c r="H219" i="84"/>
  <c r="H216" i="84" l="1"/>
  <c r="C217" i="84"/>
  <c r="C218" i="84" l="1"/>
  <c r="H217" i="84"/>
  <c r="C222" i="84"/>
  <c r="H221" i="84"/>
  <c r="C219" i="84" l="1"/>
  <c r="C220" i="84" s="1"/>
  <c r="H218" i="84"/>
  <c r="C223" i="84"/>
  <c r="H222" i="84"/>
  <c r="C221" i="84" l="1"/>
  <c r="H220" i="84"/>
  <c r="C224" i="84"/>
  <c r="H223" i="84"/>
  <c r="C225" i="84" l="1"/>
  <c r="H224" i="84"/>
  <c r="C226" i="84" l="1"/>
  <c r="H225" i="84"/>
  <c r="C227" i="84" l="1"/>
  <c r="H226" i="84"/>
  <c r="C228" i="84" l="1"/>
  <c r="H227" i="84"/>
  <c r="C229" i="84" l="1"/>
  <c r="H228" i="84"/>
  <c r="C230" i="84" l="1"/>
  <c r="H229" i="84"/>
  <c r="C231" i="84" l="1"/>
  <c r="H230" i="84"/>
  <c r="C232" i="84" l="1"/>
  <c r="H231" i="84"/>
  <c r="C233" i="84" l="1"/>
  <c r="H232" i="84"/>
  <c r="H233" i="84" l="1"/>
  <c r="C234" i="84"/>
  <c r="C235" i="84" l="1"/>
  <c r="H234" i="84"/>
  <c r="C236" i="84" l="1"/>
  <c r="H235" i="84"/>
  <c r="C237" i="84" l="1"/>
  <c r="H236" i="84"/>
  <c r="C238" i="84" l="1"/>
  <c r="H237" i="84"/>
  <c r="C239" i="84" l="1"/>
  <c r="H238" i="84"/>
  <c r="C240" i="84" l="1"/>
  <c r="H239" i="84"/>
  <c r="C241" i="84" l="1"/>
  <c r="H240" i="84"/>
  <c r="C242" i="84" l="1"/>
  <c r="H241" i="84"/>
  <c r="C243" i="84" l="1"/>
  <c r="H242" i="84"/>
  <c r="C244" i="84" l="1"/>
  <c r="H243" i="84"/>
  <c r="C245" i="84" l="1"/>
  <c r="H244" i="84"/>
  <c r="C246" i="84" l="1"/>
  <c r="H245" i="84"/>
  <c r="C247" i="84" l="1"/>
  <c r="H246" i="84"/>
  <c r="C248" i="84" l="1"/>
  <c r="H247" i="84"/>
  <c r="C249" i="84" l="1"/>
  <c r="H248" i="84"/>
  <c r="C250" i="84" l="1"/>
  <c r="H249" i="84"/>
  <c r="C251" i="84" l="1"/>
  <c r="H250" i="84"/>
  <c r="C252" i="84" l="1"/>
  <c r="H251" i="84"/>
  <c r="H252" i="84" l="1"/>
  <c r="C253" i="84"/>
  <c r="C254" i="84" l="1"/>
  <c r="H253" i="84"/>
  <c r="C255" i="84" l="1"/>
  <c r="H254" i="84"/>
  <c r="C256" i="84" l="1"/>
  <c r="H255" i="84"/>
  <c r="C257" i="84" l="1"/>
  <c r="H256" i="84"/>
  <c r="C258" i="84" l="1"/>
  <c r="H257" i="84"/>
  <c r="C259" i="84" l="1"/>
  <c r="H258" i="84"/>
  <c r="C260" i="84" l="1"/>
  <c r="H259" i="84"/>
  <c r="C261" i="84" l="1"/>
  <c r="H261" i="84" s="1"/>
  <c r="H260" i="84"/>
</calcChain>
</file>

<file path=xl/comments1.xml><?xml version="1.0" encoding="utf-8"?>
<comments xmlns="http://schemas.openxmlformats.org/spreadsheetml/2006/main">
  <authors>
    <author>Cornelio Rico</author>
  </authors>
  <commentList>
    <comment ref="F2" authorId="0">
      <text>
        <r>
          <rPr>
            <b/>
            <sz val="9"/>
            <color indexed="81"/>
            <rFont val="Tahoma"/>
            <family val="2"/>
          </rPr>
          <t>Cuenta balance CAP</t>
        </r>
      </text>
    </comment>
    <comment ref="G2" authorId="0">
      <text>
        <r>
          <rPr>
            <b/>
            <sz val="9"/>
            <color indexed="81"/>
            <rFont val="Tahoma"/>
            <family val="2"/>
          </rPr>
          <t>Activo fijo</t>
        </r>
      </text>
    </comment>
    <comment ref="H2" authorId="0">
      <text>
        <r>
          <rPr>
            <b/>
            <sz val="9"/>
            <color indexed="81"/>
            <rFont val="Tahoma"/>
            <family val="2"/>
          </rPr>
          <t>Denominación</t>
        </r>
      </text>
    </comment>
    <comment ref="I2" authorId="0">
      <text>
        <r>
          <rPr>
            <b/>
            <sz val="9"/>
            <color indexed="81"/>
            <rFont val="Tahoma"/>
            <family val="2"/>
          </rPr>
          <t xml:space="preserve">      Val.cont.</t>
        </r>
      </text>
    </comment>
    <comment ref="J2" authorId="0">
      <text>
        <r>
          <rPr>
            <b/>
            <sz val="9"/>
            <color indexed="81"/>
            <rFont val="Tahoma"/>
            <family val="2"/>
          </rPr>
          <t xml:space="preserve">      Val.adq.</t>
        </r>
      </text>
    </comment>
    <comment ref="K2" authorId="0">
      <text>
        <r>
          <rPr>
            <b/>
            <sz val="9"/>
            <color indexed="81"/>
            <rFont val="Tahoma"/>
            <family val="2"/>
          </rPr>
          <t xml:space="preserve">      Amo acum.</t>
        </r>
      </text>
    </comment>
    <comment ref="L2" authorId="0">
      <text>
        <r>
          <rPr>
            <b/>
            <sz val="9"/>
            <color indexed="81"/>
            <rFont val="Tahoma"/>
            <family val="2"/>
          </rPr>
          <t>Sociedad</t>
        </r>
      </text>
    </comment>
    <comment ref="M2" authorId="0">
      <text>
        <r>
          <rPr>
            <b/>
            <sz val="9"/>
            <color indexed="81"/>
            <rFont val="Tahoma"/>
            <family val="2"/>
          </rPr>
          <t>División</t>
        </r>
      </text>
    </comment>
    <comment ref="N2" authorId="0">
      <text>
        <r>
          <rPr>
            <b/>
            <sz val="9"/>
            <color indexed="81"/>
            <rFont val="Tahoma"/>
            <family val="2"/>
          </rPr>
          <t>Capitalizado el</t>
        </r>
      </text>
    </comment>
  </commentList>
</comments>
</file>

<file path=xl/sharedStrings.xml><?xml version="1.0" encoding="utf-8"?>
<sst xmlns="http://schemas.openxmlformats.org/spreadsheetml/2006/main" count="8392" uniqueCount="3043">
  <si>
    <t>ÍNDICE</t>
  </si>
  <si>
    <t>NOMBRE</t>
  </si>
  <si>
    <t>NOTA</t>
  </si>
  <si>
    <t>ACTIVO</t>
  </si>
  <si>
    <t>ACTIVO CIRCULANTE</t>
  </si>
  <si>
    <t>Efectivo y equivalentes</t>
  </si>
  <si>
    <t>Derechos a recibir efectivo o equivalentes</t>
  </si>
  <si>
    <t>ESF-03</t>
  </si>
  <si>
    <t>Derechos a recibir bienes o servicios</t>
  </si>
  <si>
    <t>Inventarios</t>
  </si>
  <si>
    <t>ESF-05</t>
  </si>
  <si>
    <t>Almacenes</t>
  </si>
  <si>
    <t>Estimación por pérdidas o deterioro de activos circulantes</t>
  </si>
  <si>
    <t>Otros activos circulantes</t>
  </si>
  <si>
    <t>ESF-11</t>
  </si>
  <si>
    <t>ACTIVO NO CIRCULANTE</t>
  </si>
  <si>
    <t>Inversiones financieras a largo plazo</t>
  </si>
  <si>
    <t>Derechos a recibir efectivo o equivalentes a largo plazo</t>
  </si>
  <si>
    <t>Bienes inmuebles, infraestructura y construcciones en proceso</t>
  </si>
  <si>
    <t>ESF-08</t>
  </si>
  <si>
    <t>Bienes muebles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</si>
  <si>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</si>
  <si>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</si>
  <si>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</si>
  <si>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</si>
  <si>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</si>
  <si>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</si>
  <si>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</si>
  <si>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Activos intangibles</t>
  </si>
  <si>
    <t>ESF-09</t>
  </si>
  <si>
    <t>Depreciación, deterioro y amortización acumulada de bienes</t>
  </si>
  <si>
    <t>Activos diferidos</t>
  </si>
  <si>
    <t>Estimación por pérdida o deterioro de activos no circulantes</t>
  </si>
  <si>
    <t>ESF-10</t>
  </si>
  <si>
    <t>Otros activos no circulantes</t>
  </si>
  <si>
    <t>PASIVO</t>
  </si>
  <si>
    <t>PASIVO CIRCULANTE</t>
  </si>
  <si>
    <t>Cuentas por pagar a corto plazo</t>
  </si>
  <si>
    <t>ESF-12</t>
  </si>
  <si>
    <t>Documentos por pagar a corto plazo</t>
  </si>
  <si>
    <t>Porción a corto plazo de la deuda pública a largo plazo</t>
  </si>
  <si>
    <t>Títulos y valores a corto plazo</t>
  </si>
  <si>
    <t>Pasivos diferidos a corto plazo</t>
  </si>
  <si>
    <t>ESF-14</t>
  </si>
  <si>
    <t>Fondos y bienes de terceros en garantía y/o administración a corto plazo</t>
  </si>
  <si>
    <t>ESF-13</t>
  </si>
  <si>
    <t>Provisiones a corto plazo</t>
  </si>
  <si>
    <t>Otros pasivos a corto plazo</t>
  </si>
  <si>
    <t>PASIVO NO CIRCULANTE</t>
  </si>
  <si>
    <t>Cuentas por pagar a largo plazo</t>
  </si>
  <si>
    <t>Documentos por pagar a largo plazo</t>
  </si>
  <si>
    <t>Deuda pública a largo plazo</t>
  </si>
  <si>
    <t>ESF-15</t>
  </si>
  <si>
    <t>Pasivos diferidos a largo plazo</t>
  </si>
  <si>
    <t>Fondos y bienes de terceros en garantía y/o en administración a largo plazo</t>
  </si>
  <si>
    <t>Provisiones a largo plazo</t>
  </si>
  <si>
    <t>HACIENDA PÚBLICA/ PATRIMONIO</t>
  </si>
  <si>
    <t>HACIENDA PÚBLICA/PATRIMONIO CONTRIBUIDO</t>
  </si>
  <si>
    <t>VHP-01</t>
  </si>
  <si>
    <t>Aportaciones</t>
  </si>
  <si>
    <t>Donaciones de capital</t>
  </si>
  <si>
    <t>Actualización de la hacienda pública/patrimonio</t>
  </si>
  <si>
    <t>HACIENDA PÚBLICA /PATRIMONIO GENERADO</t>
  </si>
  <si>
    <t>VHP-02</t>
  </si>
  <si>
    <t>Resultados del ejercicio (ahorro/ desahorro)</t>
  </si>
  <si>
    <t>Resultados de ejercicios anteriores</t>
  </si>
  <si>
    <t>Revalúos</t>
  </si>
  <si>
    <t>Reservas</t>
  </si>
  <si>
    <t>Rectificaciones de resultados de ejercicios anteriores</t>
  </si>
  <si>
    <t>Resultado por posición monetaria</t>
  </si>
  <si>
    <t>Resultado por tenencia de activos no monetarios</t>
  </si>
  <si>
    <t>CONCEPTO</t>
  </si>
  <si>
    <t>JUICIOS</t>
  </si>
  <si>
    <t>GARANTÍAS</t>
  </si>
  <si>
    <t>AVALES</t>
  </si>
  <si>
    <t>PENSIONES Y JUBILACIONES</t>
  </si>
  <si>
    <t xml:space="preserve">MONEDA DE CONTRATACIÓN  </t>
  </si>
  <si>
    <t>INSTITUCIÓN O PAÍS ACREEDOR
NOTA ESF-15</t>
  </si>
  <si>
    <t>SALDO INICIAL DEL PERIODO</t>
  </si>
  <si>
    <t>SALDO FINAL DEL PERIODO</t>
  </si>
  <si>
    <t>DEUDA PÚBLICA</t>
  </si>
  <si>
    <t xml:space="preserve">Corto Plazo               </t>
  </si>
  <si>
    <t>Deuda Interna</t>
  </si>
  <si>
    <t>Instituciones de Crédito</t>
  </si>
  <si>
    <t>Títulos y Valores</t>
  </si>
  <si>
    <t>Arrendamientos Financieros</t>
  </si>
  <si>
    <t>Deuda Externa</t>
  </si>
  <si>
    <t>Organismos Financieros Internacionales</t>
  </si>
  <si>
    <t>Deuda Bilateral</t>
  </si>
  <si>
    <t>Subtotal a Corto Plazo</t>
  </si>
  <si>
    <t xml:space="preserve">Largo Plazo           </t>
  </si>
  <si>
    <t>Subtotal a Largo Plazo</t>
  </si>
  <si>
    <t>OTROS PASIVOS</t>
  </si>
  <si>
    <t>Total Deuda y Otros Pasivos</t>
  </si>
  <si>
    <t>SALDO INICIAL
(A)</t>
  </si>
  <si>
    <t>CARGOS DEL PERIODO</t>
  </si>
  <si>
    <t>ABONOS DEL PERIODO</t>
  </si>
  <si>
    <t>SALDO FINAL
(B)</t>
  </si>
  <si>
    <t>VARIACIÓN DEL PERIODO
(B-A)</t>
  </si>
  <si>
    <t>ACTIVIDADES DE OPERACIÓN</t>
  </si>
  <si>
    <t>EFE-3</t>
  </si>
  <si>
    <t>ORIGEN</t>
  </si>
  <si>
    <t>Impuestos</t>
  </si>
  <si>
    <t>Cuotas y Aportaciones de Seguridad Social</t>
  </si>
  <si>
    <t>Contribuciones de mejoras</t>
  </si>
  <si>
    <t>Derechos</t>
  </si>
  <si>
    <t>Productos de tipo corriente</t>
  </si>
  <si>
    <t>Aprovechamientos de tipo corriente</t>
  </si>
  <si>
    <t>Ingresos por venta de bienes y servicios</t>
  </si>
  <si>
    <t>Ingresos no comprendidas en las fracciones de la ley de ingresos causadas en ejercicios fiscales anteriores pendientes de liquidación o pago</t>
  </si>
  <si>
    <t>Participaciones y aportaciones</t>
  </si>
  <si>
    <t>Transferencias, asignaciones, subsidios y otras ayudas</t>
  </si>
  <si>
    <t>Otros origenes de operación</t>
  </si>
  <si>
    <t>APLICACIÓN</t>
  </si>
  <si>
    <t>Servicios personales</t>
  </si>
  <si>
    <t>Materiales y suministros</t>
  </si>
  <si>
    <t>Servicios generales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</si>
  <si>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</si>
  <si>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</si>
  <si>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</si>
  <si>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</si>
  <si>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</si>
  <si>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</si>
  <si>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</si>
  <si>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</si>
  <si>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</si>
  <si>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Participaciones</t>
  </si>
  <si>
    <t>Convenios</t>
  </si>
  <si>
    <t>Otras aplicaciones de operación</t>
  </si>
  <si>
    <t>FLUJO NETO DE EFECTIVO DE LAS ACTIVIDADES DE OPERACIÓN</t>
  </si>
  <si>
    <t>ACTIVIDADES DE INVERSIÓN</t>
  </si>
  <si>
    <t>Otros origenes de inversión</t>
  </si>
  <si>
    <t>EFE-02</t>
  </si>
  <si>
    <t>1240-1250</t>
  </si>
  <si>
    <t>Otras aplicaciones de inversión</t>
  </si>
  <si>
    <t>FLUJO NETO DE EFECTIVO DE LAS ACTIVIDADES DE INVERSIÓN</t>
  </si>
  <si>
    <t>ACTIVIDADES DE FINANCIAMIENTO</t>
  </si>
  <si>
    <t>Endeudamiento Neto</t>
  </si>
  <si>
    <t>Interno</t>
  </si>
  <si>
    <t>Externo</t>
  </si>
  <si>
    <t>Otros origenes de financiamiento</t>
  </si>
  <si>
    <t>Servicios de la Deuda</t>
  </si>
  <si>
    <t>Otras aplicaciones de financiamiento</t>
  </si>
  <si>
    <t>FLUJO NETO DE EFECTIVO DE LAS ACTIVIDADES DE FINANCIAMIENTO</t>
  </si>
  <si>
    <t>INCREMENTO/DISMINUCIÓN NETA EN EL EFECTIVO Y EQUIVALENTES AL EFECTIVO</t>
  </si>
  <si>
    <t>EFECTIVO Y EQUIVALENTES AL EFECTIVO AL INICIO DEL PERIODO</t>
  </si>
  <si>
    <t>EFE-01</t>
  </si>
  <si>
    <t>EFECTIVO Y EQUIVALENTES AL EFECTIVO AL FINAL DEL PERIODO</t>
  </si>
  <si>
    <t>Resultados del ejercicio (ahorro/desahorro)</t>
  </si>
  <si>
    <t>EXCESO O INSUFICIENCIA EN LA ACTUALIZACIÓN DE LA HACIENDA PÚBLICA/PATRIMONIO</t>
  </si>
  <si>
    <r>
      <t xml:space="preserve">CONCEPTO
</t>
    </r>
    <r>
      <rPr>
        <sz val="8"/>
        <color indexed="9"/>
        <rFont val="Arial"/>
        <family val="2"/>
      </rPr>
      <t>NOTAS</t>
    </r>
  </si>
  <si>
    <r>
      <t xml:space="preserve">HACIENDA PÚBLICA / PATRIMONIO CONTRIBUIDO
</t>
    </r>
    <r>
      <rPr>
        <sz val="8"/>
        <color indexed="9"/>
        <rFont val="Arial"/>
        <family val="2"/>
      </rPr>
      <t>VHP-01</t>
    </r>
  </si>
  <si>
    <r>
      <t xml:space="preserve">HACIENDA PÚBLICA / PATRIMONIO GENERADO DE EJERCICIOS ANTERIORES
</t>
    </r>
    <r>
      <rPr>
        <sz val="8"/>
        <color indexed="9"/>
        <rFont val="Arial"/>
        <family val="2"/>
      </rPr>
      <t>VHP-02</t>
    </r>
  </si>
  <si>
    <r>
      <t xml:space="preserve">HACIENDA PÚBLICA / PATRIMONIO GENERADO DE EJERCICIO
</t>
    </r>
    <r>
      <rPr>
        <sz val="8"/>
        <color indexed="9"/>
        <rFont val="Arial"/>
        <family val="2"/>
      </rPr>
      <t>VHP-02</t>
    </r>
  </si>
  <si>
    <t>AJUSTES POR CAMBIOS DE VALOR</t>
  </si>
  <si>
    <r>
      <t xml:space="preserve">TOTAL
</t>
    </r>
    <r>
      <rPr>
        <sz val="8"/>
        <color indexed="9"/>
        <rFont val="Arial"/>
        <family val="2"/>
      </rPr>
      <t>VHP-01 / VHP-02</t>
    </r>
  </si>
  <si>
    <t>Rectificaciones de Resultados de Ejercicios Anteriores</t>
  </si>
  <si>
    <t>Patrimonio Neto Inicial Ajustado del Ejercicio</t>
  </si>
  <si>
    <t>Variaciones de la Hacienda Pública/Patrimonio Neto del Ejercicio</t>
  </si>
  <si>
    <t>Hacienda Pública/Patrimonio Neto Final del Ejercicio Anterior</t>
  </si>
  <si>
    <t>Cambios en la Hacienda Pública/Patrimonio Neto del Ejercicio Actual</t>
  </si>
  <si>
    <t>Aportaciones Periodo Actual</t>
  </si>
  <si>
    <t>Donaciones de capital Periodo Actual</t>
  </si>
  <si>
    <t>Actualización de la hacienda pública/patrimonio Periodo Actual</t>
  </si>
  <si>
    <t>Variaciones de la Hacienda Pública/Patrimonio Neto del Ejercicio Periodo Actual</t>
  </si>
  <si>
    <t>Resultados del ejercicio (ahorro/ desahorro) Periodo Actual</t>
  </si>
  <si>
    <t>Resultados de ejercicios anteriores Periodo Actual</t>
  </si>
  <si>
    <t>Revalúos Periodo Actual</t>
  </si>
  <si>
    <t>Reservas Periodo Actual</t>
  </si>
  <si>
    <t>Saldo Neto en la Hacienda Pública / Patrimonio Periodo Actual</t>
  </si>
  <si>
    <t>INGRESOS Y OTROS BENEFICIOS</t>
  </si>
  <si>
    <t>INGRESOS DE GESTIÓN</t>
  </si>
  <si>
    <t>EA-01</t>
  </si>
  <si>
    <t>Cuotas y aportaciones de seguridad social</t>
  </si>
  <si>
    <t>PARTICIPACIONES, APORTACIONES, TRANSFERENCIAS, ASIGNACIONES, SUBSIDIOS Y OTRAS AYUDAS</t>
  </si>
  <si>
    <t>OTROS INGRESOS Y BENEFICIOS</t>
  </si>
  <si>
    <t>EA-02</t>
  </si>
  <si>
    <t>Ingresos financieros</t>
  </si>
  <si>
    <t>Incremento por variación de inventarios</t>
  </si>
  <si>
    <t>Disminución del exceso de estimaciones por pérdida o deterioro u obsolescencia</t>
  </si>
  <si>
    <t>Disminución del exceso de provisiones</t>
  </si>
  <si>
    <t>Otros ingresos</t>
  </si>
  <si>
    <t>GASTOS Y OTRAS PÉRDIDAS</t>
  </si>
  <si>
    <t>EA-03</t>
  </si>
  <si>
    <t>GASTOS DE FUNCIONAMIENTO</t>
  </si>
  <si>
    <t>Remuneraciones al personal de carácter permanente</t>
  </si>
  <si>
    <t>Remuneraciones al personal de carácter transitorio</t>
  </si>
  <si>
    <t>Remuneraciones adicionales y especiales</t>
  </si>
  <si>
    <t>Otras prestaciones sociales y económicas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</si>
  <si>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</si>
  <si>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</si>
  <si>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</si>
  <si>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</si>
  <si>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</si>
  <si>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</si>
  <si>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</si>
  <si>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</si>
  <si>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</si>
  <si>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</si>
  <si>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</si>
  <si>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</si>
  <si>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</si>
  <si>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</si>
  <si>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</si>
  <si>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</si>
  <si>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</si>
  <si>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</si>
  <si>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</si>
  <si>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PARTICIPACIONES Y APORTACIONES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</si>
  <si>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</si>
  <si>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</si>
  <si>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</si>
  <si>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</si>
  <si>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</si>
  <si>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</si>
  <si>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</si>
  <si>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</si>
  <si>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</si>
  <si>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</si>
  <si>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u obsolescencia</t>
  </si>
  <si>
    <t>Aumento por insuficiencia de provisiones</t>
  </si>
  <si>
    <t>Otros gastos</t>
  </si>
  <si>
    <t>INVERSIÓN PÚBLICA</t>
  </si>
  <si>
    <t>Inversión pública no capitalizable</t>
  </si>
  <si>
    <t>RESULTADOS DEL EJERCICIO (AHORRO/ DESAHORRO)</t>
  </si>
  <si>
    <t>CFF</t>
  </si>
  <si>
    <t>CE</t>
  </si>
  <si>
    <t>CRI</t>
  </si>
  <si>
    <t>ESTIMADO</t>
  </si>
  <si>
    <t>AMPLIACIONES Y REDUCCIONES</t>
  </si>
  <si>
    <t>MODIFICADO</t>
  </si>
  <si>
    <t>DEVENGADO</t>
  </si>
  <si>
    <t>RECAUDADO</t>
  </si>
  <si>
    <t>DIFERENCIA</t>
  </si>
  <si>
    <t>EXCEDENTES</t>
  </si>
  <si>
    <t>PRESUPUESTO DE INGRESOS</t>
  </si>
  <si>
    <t>Contribuciones de Mejoras</t>
  </si>
  <si>
    <t>Productos</t>
  </si>
  <si>
    <t>Corriente</t>
  </si>
  <si>
    <t>Capital</t>
  </si>
  <si>
    <t>Aprovechamientos</t>
  </si>
  <si>
    <t>Ingresos por Ventas de Bienes y Servicios</t>
  </si>
  <si>
    <t>Participaciones y Aportaciones</t>
  </si>
  <si>
    <t>Transferencias, Asignaciones, Subsidios y Otras Ayudas</t>
  </si>
  <si>
    <t>00</t>
  </si>
  <si>
    <t>Ingresos Derivados de Financiamientos</t>
  </si>
  <si>
    <t>Ingresos del Gobierno</t>
  </si>
  <si>
    <t>Ingresos de Organismos y Empresas</t>
  </si>
  <si>
    <t>Ingresos derivados de financiamiento</t>
  </si>
  <si>
    <t>CFG</t>
  </si>
  <si>
    <t>CP</t>
  </si>
  <si>
    <t>CTG</t>
  </si>
  <si>
    <t>COG</t>
  </si>
  <si>
    <t>APROBADO</t>
  </si>
  <si>
    <t>AMPLIACIONES / REDUCCIONES</t>
  </si>
  <si>
    <t>PAGADO</t>
  </si>
  <si>
    <t>SUBEJERCICIO</t>
  </si>
  <si>
    <t>PRESUPUESTO DE EGRESOS</t>
  </si>
  <si>
    <t>SERVICIOS PERSONALES</t>
  </si>
  <si>
    <t>Seguridad Social</t>
  </si>
  <si>
    <t>Previsiones</t>
  </si>
  <si>
    <t>MATERIALES Y SUMINISTROS</t>
  </si>
  <si>
    <t>SERVICIOS GENERALES</t>
  </si>
  <si>
    <t>Servicios profesionales, científicos, técnicos y otros servicios</t>
  </si>
  <si>
    <t>Transferencias a fideicomisos, mandatos y otros análogos</t>
  </si>
  <si>
    <t>BIENES MUEBLES, INMUEBLES E INTANGIBLES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</si>
  <si>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</si>
  <si>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</si>
  <si>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</si>
  <si>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</si>
  <si>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</si>
  <si>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</si>
  <si>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</si>
  <si>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</si>
  <si>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</si>
  <si>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</si>
  <si>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</si>
  <si>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</si>
  <si>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Amortización de la deuda pública</t>
  </si>
  <si>
    <t>Adeudos de ejercicios fiscales anteriores (ADEFAS)</t>
  </si>
  <si>
    <t>CA</t>
  </si>
  <si>
    <t>IDENTIFICACIÓN DE CRÉDITO O INSTRUMENTO</t>
  </si>
  <si>
    <t>CONTRATACIÓN
(A)</t>
  </si>
  <si>
    <t>AMORTIZACIÓN
(B)</t>
  </si>
  <si>
    <t>ENDEUDAMIENTO NETO
(A-B)</t>
  </si>
  <si>
    <t>Creditos Bancarios</t>
  </si>
  <si>
    <t xml:space="preserve"> </t>
  </si>
  <si>
    <t>Total Créditos Bancarios</t>
  </si>
  <si>
    <t>Otros Instrumentos de Deuda</t>
  </si>
  <si>
    <t>Total Otros Instrumentos de Deuda</t>
  </si>
  <si>
    <t>TOTAL</t>
  </si>
  <si>
    <t>ESTIMADO / APROBADO</t>
  </si>
  <si>
    <t>RECAUDADO / PAGADO</t>
  </si>
  <si>
    <t>I. Ingresos Presupuestarios (I=1+2)</t>
  </si>
  <si>
    <t>1. Ingresos del Gobierno de la Entidad Federativa / Municipio</t>
  </si>
  <si>
    <t>2. Ingresos del Sector Paraestatal / Paramunicipal</t>
  </si>
  <si>
    <t>II. Egresos Presupuestarios (II=3+4)</t>
  </si>
  <si>
    <t>3. Egresos del Gobierno de la Entidad Federativa / Municipio</t>
  </si>
  <si>
    <t>4. Egresos del Sector Paraestatal / Paramunicipal</t>
  </si>
  <si>
    <t>III. Balance Presupuestario (Superávit o Déficit) (III = I - II)</t>
  </si>
  <si>
    <t>IV. Intereses, Comisiones y Gastos de la Deuda</t>
  </si>
  <si>
    <t>V. Balance Primario (Superávit o Déficit) (V= III - IV)</t>
  </si>
  <si>
    <t>A. Financiamiento</t>
  </si>
  <si>
    <t>B.  Amortización de la deuda</t>
  </si>
  <si>
    <t>C. Endeudamiento ó desendeudamiento (C = A - B)</t>
  </si>
  <si>
    <t>Programas</t>
  </si>
  <si>
    <t>Subsidios: Sector Social y Privado o Entidades Federativas y Municipios</t>
  </si>
  <si>
    <t>S</t>
  </si>
  <si>
    <t>Sujetos a Reglas de Operación</t>
  </si>
  <si>
    <t>U</t>
  </si>
  <si>
    <t>Otros Subsidios</t>
  </si>
  <si>
    <t>Desempeño de las Funciones</t>
  </si>
  <si>
    <t>E</t>
  </si>
  <si>
    <t>Prestación de Servicios Públicos</t>
  </si>
  <si>
    <t>B</t>
  </si>
  <si>
    <t>Provisión de Bienes Públicos</t>
  </si>
  <si>
    <t>P</t>
  </si>
  <si>
    <t>Planeación, seguimiento y evaluación de políticas públicas</t>
  </si>
  <si>
    <t>F</t>
  </si>
  <si>
    <t>Promoción y fomento</t>
  </si>
  <si>
    <t>G</t>
  </si>
  <si>
    <t>Regulación y supervisión</t>
  </si>
  <si>
    <t>A</t>
  </si>
  <si>
    <t>Funciones de las Fuerzas Armadas (Únicamente Gobierno Federal)</t>
  </si>
  <si>
    <t>R</t>
  </si>
  <si>
    <t>Específicos</t>
  </si>
  <si>
    <t>K</t>
  </si>
  <si>
    <t>Proyectos de Inversión</t>
  </si>
  <si>
    <t>Administrativos y de Apoyo</t>
  </si>
  <si>
    <t>M</t>
  </si>
  <si>
    <t>Apoyo al proceso presupuestario y para mejorar la eficiencia institucional</t>
  </si>
  <si>
    <t>O</t>
  </si>
  <si>
    <t>Apoyo a la función pública y al mejoramiento de la gestión</t>
  </si>
  <si>
    <t>W</t>
  </si>
  <si>
    <t>Operaciones ajenas</t>
  </si>
  <si>
    <t>Compromisos</t>
  </si>
  <si>
    <t>L</t>
  </si>
  <si>
    <t>Obligaciones de cumplimiento de resolución jurisdiccional</t>
  </si>
  <si>
    <t>N</t>
  </si>
  <si>
    <t>Desastres Naturales</t>
  </si>
  <si>
    <t>Obligaciones</t>
  </si>
  <si>
    <t>J</t>
  </si>
  <si>
    <t>T</t>
  </si>
  <si>
    <t>Aportaciones a la seguridad social</t>
  </si>
  <si>
    <t>Y</t>
  </si>
  <si>
    <t>Aportaciones a fondos de estabilización</t>
  </si>
  <si>
    <t>Z</t>
  </si>
  <si>
    <t>Aportaciones a fondos de inversión y reestructura de pensiones</t>
  </si>
  <si>
    <t>Programas de Gasto Federalizado</t>
  </si>
  <si>
    <t>I</t>
  </si>
  <si>
    <t>Gasto Federalizado</t>
  </si>
  <si>
    <t>C</t>
  </si>
  <si>
    <t>Participaciones a entidades federativas y municipios</t>
  </si>
  <si>
    <t>D</t>
  </si>
  <si>
    <t>Costo financiero, deuda o apoyos a deudores y ahorradores de la banca</t>
  </si>
  <si>
    <t>H</t>
  </si>
  <si>
    <t>Adeudos de ejercicios fiscales anteriores</t>
  </si>
  <si>
    <t>Aprobado</t>
  </si>
  <si>
    <t>Modificado</t>
  </si>
  <si>
    <t>Devengado</t>
  </si>
  <si>
    <t>CUENTA</t>
  </si>
  <si>
    <t>Bajo protesta de decir verdad declaramos que los Estados Financieros y sus notas, son razonablemente correctos y son responsabilidad del emisor.</t>
  </si>
  <si>
    <t>Bajo protesta de decir verdad declaramos que los Estados Financieros y sus notas, son razonablemente correctos y son responsabilidad del emisor</t>
  </si>
  <si>
    <t>Fondos y bienes de terceros en garantía y/o en administración a LP</t>
  </si>
  <si>
    <t>Fondos y bienes de terceros en garantía y/o administración a CP</t>
  </si>
  <si>
    <t>Ingresos no comprendidas en las fracciones de la ley de ingresos</t>
  </si>
  <si>
    <t>2014</t>
  </si>
  <si>
    <t>2015C</t>
  </si>
  <si>
    <t>2015</t>
  </si>
  <si>
    <t>2016C</t>
  </si>
  <si>
    <t>2016</t>
  </si>
  <si>
    <t>Ente:</t>
  </si>
  <si>
    <t>Fecha:</t>
  </si>
  <si>
    <t>PC</t>
  </si>
  <si>
    <t>ESF</t>
  </si>
  <si>
    <t>EA</t>
  </si>
  <si>
    <t>EVHP</t>
  </si>
  <si>
    <t>ECSF</t>
  </si>
  <si>
    <t>EFE</t>
  </si>
  <si>
    <t>EAA</t>
  </si>
  <si>
    <t>EADOP</t>
  </si>
  <si>
    <t>NO APLICA</t>
  </si>
  <si>
    <t>IPC</t>
  </si>
  <si>
    <t>EAI</t>
  </si>
  <si>
    <t>Concepto</t>
  </si>
  <si>
    <t>Estimado</t>
  </si>
  <si>
    <t>Amp/Red</t>
  </si>
  <si>
    <t>Recaudado</t>
  </si>
  <si>
    <t>*** EAIP</t>
  </si>
  <si>
    <t>**  1 Recursos Fiscales</t>
  </si>
  <si>
    <t xml:space="preserve">    914141  Servicios Personales</t>
  </si>
  <si>
    <t xml:space="preserve">    914142  Mat y Suministros</t>
  </si>
  <si>
    <t xml:space="preserve">    914143  Servicios Generales</t>
  </si>
  <si>
    <t xml:space="preserve">    914144  Ayudas</t>
  </si>
  <si>
    <t xml:space="preserve">    914145  Bienes M Inm e Int</t>
  </si>
  <si>
    <t>Comprometido</t>
  </si>
  <si>
    <t>Ejercido</t>
  </si>
  <si>
    <t>Pagado</t>
  </si>
  <si>
    <t>Efectivo</t>
  </si>
  <si>
    <t>Bancos/tesorería</t>
  </si>
  <si>
    <t>Bancos/dependencias y otros</t>
  </si>
  <si>
    <t>Inversiones temporales (hasta 3 meses)</t>
  </si>
  <si>
    <t>ESF-01</t>
  </si>
  <si>
    <t>Fondos con afectación específica</t>
  </si>
  <si>
    <t>Depósitos de fondos de terceros en garantía y/o administración</t>
  </si>
  <si>
    <t>Otros efectivos y equivalentes</t>
  </si>
  <si>
    <t>Inversiones financieras de corto plazo</t>
  </si>
  <si>
    <t>Cuentas por cobrar a corto plazo</t>
  </si>
  <si>
    <t>ESF-02</t>
  </si>
  <si>
    <t>Deudores diversos por cobrar a corto plazo</t>
  </si>
  <si>
    <t>Ingresos por recuperar a corto plazo</t>
  </si>
  <si>
    <t>Deudores por anticipos de la tesorería a corto plazo</t>
  </si>
  <si>
    <t>Préstamos otorgados a corto plazo</t>
  </si>
  <si>
    <t>Otros derechos a recibir efectivo o equivalentes a corto plazo</t>
  </si>
  <si>
    <t>Anticipo a proveedores por adquisición de bienes y prestación de servicios a corto plazo</t>
  </si>
  <si>
    <t>Anticipo a proveedores por adquisición de bienes inmuebles y muebles a corto plazo</t>
  </si>
  <si>
    <t>Anticipo a proveedores por adquisición de bienes intangibles a corto plazo</t>
  </si>
  <si>
    <t>Anticipo a contratistas por obras públicas a corto plazo</t>
  </si>
  <si>
    <t>Otros derechos a recibir bienes o servicios a corto plazo</t>
  </si>
  <si>
    <t>Inventario de mercancías para venta</t>
  </si>
  <si>
    <t>Inventario de mercancías terminadas</t>
  </si>
  <si>
    <t>Inventario de mercancías en proceso de elaboración</t>
  </si>
  <si>
    <t>Inventario de materias primas, materiales y suministros para producción</t>
  </si>
  <si>
    <t>Bienes en tránsito</t>
  </si>
  <si>
    <t>Almacén de materiales y suministros de consumo</t>
  </si>
  <si>
    <t>Estimaciones para cuentas incobrables por derechos a recibir efectivo o equivalentes</t>
  </si>
  <si>
    <t>Estimación por deterioro de inventarios</t>
  </si>
  <si>
    <t>Valores en garantía</t>
  </si>
  <si>
    <t>Bienes en garantía (excluye depósitos de fondos)</t>
  </si>
  <si>
    <t>Bienes derivados de embargos, decomisos, aseguramientos y dación en pago</t>
  </si>
  <si>
    <t>Inversiones a largo plazo</t>
  </si>
  <si>
    <t>Títulos y valores a largo plazo</t>
  </si>
  <si>
    <t>Fideicomisos, mandatos y contratos análogos</t>
  </si>
  <si>
    <t>ESF-06</t>
  </si>
  <si>
    <t>Participaciones y aportaciones de capital</t>
  </si>
  <si>
    <t>ESF-07</t>
  </si>
  <si>
    <t>Documentos por cobrar a largo plazo</t>
  </si>
  <si>
    <t>Deudores diversos a largo plazo</t>
  </si>
  <si>
    <t>Ingresos por recuperar a largo plazo</t>
  </si>
  <si>
    <t>Préstamos otorgados a largo plazo</t>
  </si>
  <si>
    <t>Otros derechos a recibir efectivo o equivalentes a largo plazo</t>
  </si>
  <si>
    <t>Terrenos</t>
  </si>
  <si>
    <t>Viviendas</t>
  </si>
  <si>
    <t>Edificios no habitacionales</t>
  </si>
  <si>
    <t>Infraestructura</t>
  </si>
  <si>
    <t>Construcciones en proceso en bienes de dominio público</t>
  </si>
  <si>
    <t>Construcciones en proceso en bienes propios</t>
  </si>
  <si>
    <t>Otros bienes inmuebles</t>
  </si>
  <si>
    <t>Colecciones, obras de arte y objetos valiosos</t>
  </si>
  <si>
    <t>Software</t>
  </si>
  <si>
    <t>Patentes, marcas y derechos</t>
  </si>
  <si>
    <t>Concesiones y franquicias</t>
  </si>
  <si>
    <t>Licencias</t>
  </si>
  <si>
    <t>Otros activos intangibles</t>
  </si>
  <si>
    <t>Depreciación acumulada de bienes inmuebles</t>
  </si>
  <si>
    <t>Depreciación acumulada de infraestructura</t>
  </si>
  <si>
    <t>Depreciación acumulada de bienes muebles</t>
  </si>
  <si>
    <t>Deterioro acumulado de activos biológicos</t>
  </si>
  <si>
    <t>Amortización acumulada de activos intangibles</t>
  </si>
  <si>
    <t>Estudios, formulación y evaluación de proyectos</t>
  </si>
  <si>
    <t>Derechos sobre bienes en régimen de arrendamiento financiero</t>
  </si>
  <si>
    <t>Gastos pagados por adelantado a largo plazo</t>
  </si>
  <si>
    <t>Anticipos a largo plazo</t>
  </si>
  <si>
    <t>Beneficios al retiro de empleados pagados por adelantado</t>
  </si>
  <si>
    <t>Otros activos diferidos</t>
  </si>
  <si>
    <t>Estimaciones por pérdida de cuentas incobrables de documentos por cobrar a largo plazo</t>
  </si>
  <si>
    <t>Estimaciones por pérdida de cuentas incobrables de deudores diversos por cobrar a largo plazo</t>
  </si>
  <si>
    <t>Estimaciones por pérdida de cuentas incobrables de ingresos por cobrar a largo plazo</t>
  </si>
  <si>
    <t>Estimaciones por pérdida de cuentas incobrables de préstamos otorgados a largo plazo</t>
  </si>
  <si>
    <t>Estimaciones por pérdida de otras cuentas incobrables a largo plazo</t>
  </si>
  <si>
    <t>Bienes en concesión</t>
  </si>
  <si>
    <t>Bienes en arrendamiento financiero</t>
  </si>
  <si>
    <t>Bienes en comodato</t>
  </si>
  <si>
    <t>Servicios personales por pagar a corto plazo</t>
  </si>
  <si>
    <t>Proveedores por pagar a corto plazo</t>
  </si>
  <si>
    <t>Contratistas por obras públicas por pagar a corto plazo</t>
  </si>
  <si>
    <t>Participaciones y aportaciones por pagar a corto plazo</t>
  </si>
  <si>
    <t>Transferencias otorgadas por pagar a corto plazo</t>
  </si>
  <si>
    <t>Intereses, comisiones y otros gastos de la deuda pública por pagar a corto plazo</t>
  </si>
  <si>
    <t>Retenciones y contribuciones por pagar a corto plazo</t>
  </si>
  <si>
    <t>Devoluciones de la ley de ingresos por pagar a corto plazo</t>
  </si>
  <si>
    <t>Otras cuentas por pagar a corto plazo</t>
  </si>
  <si>
    <t>Documentos comerciales por pagar a corto plazo</t>
  </si>
  <si>
    <t>Documentos con contratistas por obras públicas por pagar a corto plazo</t>
  </si>
  <si>
    <t>Otros documentos por pagar a corto plazo</t>
  </si>
  <si>
    <t>Porción a corto plazo de la deuda pública interna</t>
  </si>
  <si>
    <t>Porción a corto plazo de la deuda pública externa</t>
  </si>
  <si>
    <t>Porción a corto plazo de arrendamiento financiero</t>
  </si>
  <si>
    <t>Títulos y valores de la deuda pública interna a corto plazo</t>
  </si>
  <si>
    <t>Títulos y valores de la deuda pública externa a corto plazo</t>
  </si>
  <si>
    <t>Ingresos cobrados por adelantado a corto plazo</t>
  </si>
  <si>
    <t>Intereses cobrados por adelantado a corto plazo</t>
  </si>
  <si>
    <t>Otros pasivos diferidos a corto plazo</t>
  </si>
  <si>
    <t>Fondos en garantía a corto plazo</t>
  </si>
  <si>
    <t>Fondos en administración a corto plazo</t>
  </si>
  <si>
    <t>Fondos contingentes a corto plazo</t>
  </si>
  <si>
    <t>Fondos de fideicomisos, mandatos y contratos análogos a corto plazo</t>
  </si>
  <si>
    <t>Otros fondos de terceros en garantía y/o administración a corto plazo</t>
  </si>
  <si>
    <t>Valores y bienes en garantía a corto plazo</t>
  </si>
  <si>
    <t>Provisión para demandas y juicios a corto plazo</t>
  </si>
  <si>
    <t>Provisión para contingencias a corto plazo</t>
  </si>
  <si>
    <t>Otras provisiones a corto plazo</t>
  </si>
  <si>
    <t>Ingresos por clasificar</t>
  </si>
  <si>
    <t>Recaudación por participar</t>
  </si>
  <si>
    <t>Otros pasivos circulantes</t>
  </si>
  <si>
    <t>Proveedores por pagar a largo plazo</t>
  </si>
  <si>
    <t>Contratistas por obras públicas por pagar a largo plazo</t>
  </si>
  <si>
    <t>Documentos comerciales por pagar a largo plazo</t>
  </si>
  <si>
    <t>Documentos con contratistas por obras públicas por pagar a largo plazo</t>
  </si>
  <si>
    <t>Otros documentos por pagar a largo plazo</t>
  </si>
  <si>
    <t>Títulos y valores de la deuda pública interna a largo plazo</t>
  </si>
  <si>
    <t>Títulos y valores de la deuda pública externa a largo plazo</t>
  </si>
  <si>
    <t>Préstamos de la deuda pública interna por pagar a largo plazo</t>
  </si>
  <si>
    <t>Préstamos de la deuda pública externa por pagar a largo plazo</t>
  </si>
  <si>
    <t>Arrendamiento financiero por pagar a largo plazo</t>
  </si>
  <si>
    <t>Créditos diferidos a largo plazo</t>
  </si>
  <si>
    <t>Intereses cobrados por adelantado a largo plazo</t>
  </si>
  <si>
    <t>Otros pasivos diferidos a largo plazo</t>
  </si>
  <si>
    <t>Fondos en garantía a largo plazo</t>
  </si>
  <si>
    <t>Fondos en administración a largo plazo</t>
  </si>
  <si>
    <t>Fondos contingentes a largo plazo</t>
  </si>
  <si>
    <t>Fondos de fideicomisos, mandatos y contratos análogos a largo plazo</t>
  </si>
  <si>
    <t>Otros fondos de terceros en garantía y/o administración a largo plazo</t>
  </si>
  <si>
    <t>Valores y bienes en garantía a largo plazo</t>
  </si>
  <si>
    <t>Provisión para demandas y juicios a largo plazo</t>
  </si>
  <si>
    <t>Provisión para pensiones a largo plazo</t>
  </si>
  <si>
    <t>Provisión para contingencias a largo plazo</t>
  </si>
  <si>
    <t>Otras provisiones a largo plazo</t>
  </si>
  <si>
    <t>Revalúo de bienes inmuebles</t>
  </si>
  <si>
    <t>Revalúo de bienes muebles</t>
  </si>
  <si>
    <t>Revalúo de bienes intangibles</t>
  </si>
  <si>
    <t>Otros revalúos</t>
  </si>
  <si>
    <t>Reservas de patrimonio</t>
  </si>
  <si>
    <t>Reservas territoriales</t>
  </si>
  <si>
    <t>Reservas por contingencias</t>
  </si>
  <si>
    <t>Cambios en políticas contables</t>
  </si>
  <si>
    <t>Cambios por errores contables</t>
  </si>
  <si>
    <t>EXCESO O INSUFICIENCIA EN LA ACTUALIZACIÓN DE LA HACIENDA PÚBLICA/ PATRIMONIO</t>
  </si>
  <si>
    <t>Impuesto sobre los ingresos</t>
  </si>
  <si>
    <t>Impuestos sobre el patrimonio</t>
  </si>
  <si>
    <t>Impuesto sobre la producción, el consumo y las transacciones</t>
  </si>
  <si>
    <t>Impuestos al comercio exterior</t>
  </si>
  <si>
    <t>Impuestos sobre nóminas y asimilables</t>
  </si>
  <si>
    <t>Impuestos ecológicos</t>
  </si>
  <si>
    <t>Accesorios de impuestos</t>
  </si>
  <si>
    <t>Otros impuestos</t>
  </si>
  <si>
    <t>Aportaciones para fondos de vivienda</t>
  </si>
  <si>
    <t>Cuotas para el seguro social</t>
  </si>
  <si>
    <t>Cuotas de ahorro para el retiro</t>
  </si>
  <si>
    <t>Accesorios de cuotas y aportaciones de seguridad social</t>
  </si>
  <si>
    <t>Otras cuotas y aportaciones para la seguridad social</t>
  </si>
  <si>
    <t>Contribución de mejoras por obras públicas</t>
  </si>
  <si>
    <t>Derechos por el uso, goce, aprovechamiento o explotación de bienes de dominio público</t>
  </si>
  <si>
    <t>Derechos a los hidrocarburos</t>
  </si>
  <si>
    <t>Derechos por prestación de servicios</t>
  </si>
  <si>
    <t>Accesorios de derechos</t>
  </si>
  <si>
    <t>Otros derechos</t>
  </si>
  <si>
    <t>Productos derivados del uso y aprovechamiento de bienes no sujetos a régimen de dominio público</t>
  </si>
  <si>
    <t>Enajenación de bienes muebles no sujetos a ser inventariados</t>
  </si>
  <si>
    <t>Accesorios de productos</t>
  </si>
  <si>
    <t>Otros productos que generan ingresos corrientes</t>
  </si>
  <si>
    <t>Incentivos derivados de la colaboración fiscal</t>
  </si>
  <si>
    <t>Multas</t>
  </si>
  <si>
    <t>Indemnizaciones</t>
  </si>
  <si>
    <t>Reintegros</t>
  </si>
  <si>
    <t>Aprovechamientos provenientes de obras públicas</t>
  </si>
  <si>
    <t>Aprovechamientos por participaciones derivadas de la aplicación de leyes</t>
  </si>
  <si>
    <t>Aprovechamientos por aportaciones y cooperaciones</t>
  </si>
  <si>
    <t>Accesorios de aprovechamientos</t>
  </si>
  <si>
    <t>Otros aprovechamientos</t>
  </si>
  <si>
    <t>Ingresos por venta de mercancías</t>
  </si>
  <si>
    <t>Ingresos por venta de bienes y servicios producidos en establecimientos del gobierno</t>
  </si>
  <si>
    <t>Ingresos por venta de bienes y servicios de organismos descentralizados</t>
  </si>
  <si>
    <t>Ingresos de operación de entidades paraestatales empresariales no financieras</t>
  </si>
  <si>
    <t>Impuestos no comprendidas en las fracciones de la ley de ingresos causadas en ejercicios fiscales anteriores pendientes de liquidación o pago</t>
  </si>
  <si>
    <t>Contribuciones de mejoras, derechos, productos y aprovechamientos no comprendidas en las fracciones de la ley de ingresos causadas en ejercicios fiscales anteriores pendientes de liquidación o pago</t>
  </si>
  <si>
    <t>Transferencias internas y asignaciones del sector público</t>
  </si>
  <si>
    <t>Transferencias del resto del sector público</t>
  </si>
  <si>
    <t>Transferencias del Exterior</t>
  </si>
  <si>
    <t>Intereses ganados de valores, créditos, bonos y otros</t>
  </si>
  <si>
    <t>Otros ingresos financieros</t>
  </si>
  <si>
    <t>Incremento por variación de inventarios de mercancías para venta</t>
  </si>
  <si>
    <t>Incremento por variación de inventarios de mercancías terminadas</t>
  </si>
  <si>
    <t>Incremento por variación de inventarios de mercancías en proceso de elaboración</t>
  </si>
  <si>
    <t>Incremento por variación de inventarios de materias primas, materiales y suministros para producción</t>
  </si>
  <si>
    <t>Incremento por variación de almacén de materias primas, materiales y suministros de consumo</t>
  </si>
  <si>
    <t>Otros ingresos de ejercicios anteriores</t>
  </si>
  <si>
    <t>Bonificaciones y descuentos obtenidos</t>
  </si>
  <si>
    <t>Diferencias por tipo de cambio a favor en efectivo y equivalentes</t>
  </si>
  <si>
    <t>Diferencias de cotización a favor en valores negociables</t>
  </si>
  <si>
    <t>Utilidades por participación patrimonial</t>
  </si>
  <si>
    <t>Otros ingresos y beneficios varios</t>
  </si>
  <si>
    <t>Seguridad social</t>
  </si>
  <si>
    <t>Servicios profesionales, científicos y técnicos y otros servicios</t>
  </si>
  <si>
    <t>Asignaciones al Sector Público</t>
  </si>
  <si>
    <t>Transferencias Internas al Sector Público</t>
  </si>
  <si>
    <t>Transferencias a Entidades Paraestatales</t>
  </si>
  <si>
    <t>Transferencias a Entidades Federativas</t>
  </si>
  <si>
    <t>Subsidios</t>
  </si>
  <si>
    <t>Subvenciones</t>
  </si>
  <si>
    <t>Ayudas sociales a personas</t>
  </si>
  <si>
    <t>Becas</t>
  </si>
  <si>
    <t>Ayudas sociales a instituciones</t>
  </si>
  <si>
    <t>Ayudas sociales por desastres naturales y otros siniestros</t>
  </si>
  <si>
    <t>Pensiones</t>
  </si>
  <si>
    <t>Jubilaciones</t>
  </si>
  <si>
    <t>Otras pensiones y jubilaciones</t>
  </si>
  <si>
    <t>Transferencias a Fideicomisos, Mandatos y Contratos Análogos al Gobierno</t>
  </si>
  <si>
    <t>Transferencias a fideicomisos, mandatos y contratos análogos a entidades paraestatales</t>
  </si>
  <si>
    <t>Transferencias por obligaciones de ley</t>
  </si>
  <si>
    <t>Donativos a instituciones sin fines de lucro</t>
  </si>
  <si>
    <t>Donativos a entidades federativas y municipios</t>
  </si>
  <si>
    <t>Donativos a fideicomisos, mandatos y contratos análogos privados</t>
  </si>
  <si>
    <t>Donativos a fideicomisos, mandatos y contratos análogos estatales</t>
  </si>
  <si>
    <t>Donativos internacionales</t>
  </si>
  <si>
    <t>Transferencias al exterior a gobiernos extranjeros y organismos internacionales</t>
  </si>
  <si>
    <t>Transferencias al sector privado externo</t>
  </si>
  <si>
    <t>Participaciones de la federación a entidades federativas y municipios</t>
  </si>
  <si>
    <t>Participaciones de las entidades federativas a los municipios</t>
  </si>
  <si>
    <t>Aportaciones de la federación a entidades federativas y municipios</t>
  </si>
  <si>
    <t>Aportaciones de las entidades federativas a los municipios</t>
  </si>
  <si>
    <t>Convenios de reasignación</t>
  </si>
  <si>
    <t>Convenios de descentralización y otros</t>
  </si>
  <si>
    <t>Intereses de la deuda pública interna</t>
  </si>
  <si>
    <t>Intereses de la deuda pública externa</t>
  </si>
  <si>
    <t>Comisiones de la deuda pública interna</t>
  </si>
  <si>
    <t>Comisiones de la deuda pública externa</t>
  </si>
  <si>
    <t>Gastos de la deuda pública interna</t>
  </si>
  <si>
    <t>Gastos de la deuda pública externa</t>
  </si>
  <si>
    <t>Apoyos Financieros a Intermediarios</t>
  </si>
  <si>
    <t>Apoyo Financieros a Ahorradores y Deudores del Sistema Financiero Nacional</t>
  </si>
  <si>
    <t>Estimaciones por pérdida o deterioro de activos circulantes</t>
  </si>
  <si>
    <t>Estimaciones por pérdida o deterioro de activos no circulantes</t>
  </si>
  <si>
    <t>Depreciación de bienes inmuebles</t>
  </si>
  <si>
    <t>Depreciación de infraestructura</t>
  </si>
  <si>
    <t>Depreciación de bienes muebles</t>
  </si>
  <si>
    <t>Deterioro de los activos biológicos</t>
  </si>
  <si>
    <t>Amortización de activos intangibles</t>
  </si>
  <si>
    <t>Disminución de Bienes por pérdida, obsolescencia y deterioro</t>
  </si>
  <si>
    <t>Provisiones de pasivos a corto plazo</t>
  </si>
  <si>
    <t>Provisiones de pasivos a largo plazo</t>
  </si>
  <si>
    <t>Disminución de inventarios de mercancías para venta</t>
  </si>
  <si>
    <t>Disminución de inventarios de mercancías terminadas</t>
  </si>
  <si>
    <t>Disminución de inventarios de mercancías en proceso de elaboración</t>
  </si>
  <si>
    <t>Disminución de inventarios de materias primas, materiales y suministros para producción</t>
  </si>
  <si>
    <t>Disminución de almacén de materiales y suministros de consumo</t>
  </si>
  <si>
    <t>Gastos de ejercicios anteriores</t>
  </si>
  <si>
    <t>Pérdidas por responsabilidades</t>
  </si>
  <si>
    <t>Bonificaciones y descuentos otorgados</t>
  </si>
  <si>
    <t>Diferencias por tipo de cambio negativas en efectivo y equivalentes</t>
  </si>
  <si>
    <t>Diferencias de cotizaciones negativas en valores negociables</t>
  </si>
  <si>
    <t>Pérdidas por participación patrimonial</t>
  </si>
  <si>
    <t>Otros gastos varios</t>
  </si>
  <si>
    <t>Construcción en bienes no capitalizable</t>
  </si>
  <si>
    <t>Vehículos y Equipo de Transporte</t>
  </si>
  <si>
    <t>CA-UR</t>
  </si>
  <si>
    <t>COMPROMETIDO</t>
  </si>
  <si>
    <t>EJERCIDO</t>
  </si>
  <si>
    <t>Gasto Corriente</t>
  </si>
  <si>
    <t>Gasto de Capital</t>
  </si>
  <si>
    <t>Amortización de la Deuda y Disminución de Pasivos</t>
  </si>
  <si>
    <t>Pensiones y Jubilaciones</t>
  </si>
  <si>
    <t>Gobierno</t>
  </si>
  <si>
    <t>Legislacion</t>
  </si>
  <si>
    <t>Justicia</t>
  </si>
  <si>
    <t>Coordinacion de la Politica de Gobierno</t>
  </si>
  <si>
    <t>Relaciones Exteriores</t>
  </si>
  <si>
    <t>Asuntos Financieros y Hacendarios</t>
  </si>
  <si>
    <t>Seguridad Nacional</t>
  </si>
  <si>
    <t>Asuntos de Orden Publico y de Seguridad Interior</t>
  </si>
  <si>
    <t>Otros Servicios Generales</t>
  </si>
  <si>
    <t>Desarrollo Social</t>
  </si>
  <si>
    <t>Proteccion Ambiental</t>
  </si>
  <si>
    <t>Vivienda y Servicios a la Comunidad</t>
  </si>
  <si>
    <t>Salud</t>
  </si>
  <si>
    <t>Recreacion, Cultura y Otras Manifestaciones Sociales</t>
  </si>
  <si>
    <t>Educacion</t>
  </si>
  <si>
    <t>Proteccion Social</t>
  </si>
  <si>
    <t>Otros Asuntos Sociales</t>
  </si>
  <si>
    <t>Desarrollo Economico</t>
  </si>
  <si>
    <t>Asuntos Económicos, Comerciales y Laborales en General</t>
  </si>
  <si>
    <t>Agropecuaria, Silvicultura, Pesca y Caza</t>
  </si>
  <si>
    <t>Combustibles y Energía</t>
  </si>
  <si>
    <t>Mineria, Manufacturas y Construccion</t>
  </si>
  <si>
    <t>Transporte</t>
  </si>
  <si>
    <t>Comunicaciones</t>
  </si>
  <si>
    <t>Turismo</t>
  </si>
  <si>
    <t>Ciencia, Tecnologia e Innovacion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</si>
  <si>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</si>
  <si>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</si>
  <si>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</si>
  <si>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</si>
  <si>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</si>
  <si>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</si>
  <si>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Inversión</t>
  </si>
  <si>
    <t>Metas</t>
  </si>
  <si>
    <t>% Avance Financiero</t>
  </si>
  <si>
    <t>% Avance Metas</t>
  </si>
  <si>
    <t>Clave del Programa/ Proyecto</t>
  </si>
  <si>
    <t>Nombre</t>
  </si>
  <si>
    <t>Descripción</t>
  </si>
  <si>
    <t>UR</t>
  </si>
  <si>
    <t>Programado</t>
  </si>
  <si>
    <t>Alcanzado</t>
  </si>
  <si>
    <t>Devengado/ Aprobado</t>
  </si>
  <si>
    <t>Devengado/ Modificado</t>
  </si>
  <si>
    <t>Alcanzado/ Programado</t>
  </si>
  <si>
    <t>Alcanzado/ Modificado</t>
  </si>
  <si>
    <t>Componentes</t>
  </si>
  <si>
    <t>Actividades</t>
  </si>
  <si>
    <t>Nombre del Ente Público
RELACIÓN DE BIENES MUEBLES QUE COMPONEN EL PATRIMONIO
AL XXX DE 2016</t>
  </si>
  <si>
    <t>Código</t>
  </si>
  <si>
    <t>Descripción del Bien Mueble</t>
  </si>
  <si>
    <t>Valor en libros</t>
  </si>
  <si>
    <t>Nombre del Ente Público
RELACIÓN DE BIENES INMUEBLES QUE COMPONEN EL PATRIMONIO
AL XXX DE 2016</t>
  </si>
  <si>
    <t>Descripción del Bien Inmueble</t>
  </si>
  <si>
    <t>Descripción del Bien</t>
  </si>
  <si>
    <t>Tipo de Bien</t>
  </si>
  <si>
    <t>Importe</t>
  </si>
  <si>
    <t>NOMBRE DE LA CUENTA</t>
  </si>
  <si>
    <t>SALDO INICIAL</t>
  </si>
  <si>
    <t>CARGOS</t>
  </si>
  <si>
    <t>ABONOS</t>
  </si>
  <si>
    <t>SALDO FINAL</t>
  </si>
  <si>
    <t>FLUJO</t>
  </si>
  <si>
    <t>AYUDA A</t>
  </si>
  <si>
    <t>SUBSIDIO</t>
  </si>
  <si>
    <t>SECTOR
(económico o social)</t>
  </si>
  <si>
    <t>BENEFICIARIO</t>
  </si>
  <si>
    <t>CURP</t>
  </si>
  <si>
    <t>RFC</t>
  </si>
  <si>
    <t>MONTO
PAGADO</t>
  </si>
  <si>
    <t>Fondo, Programa o Convenio</t>
  </si>
  <si>
    <t>Institución Bancaria</t>
  </si>
  <si>
    <t>Número de Cuenta</t>
  </si>
  <si>
    <t>PROGRAMA O FONDO</t>
  </si>
  <si>
    <t>DESTINO DE LOS RECURSOS</t>
  </si>
  <si>
    <t>REINTEGRO</t>
  </si>
  <si>
    <t>*   1.1.8    Transferencias Corrientes</t>
  </si>
  <si>
    <t>1</t>
  </si>
  <si>
    <t>1.1.8</t>
  </si>
  <si>
    <t>914141</t>
  </si>
  <si>
    <t>1/1.1.8/914141  Servicios Personales</t>
  </si>
  <si>
    <t>914142</t>
  </si>
  <si>
    <t>1/1.1.8/914142  Mat y Suministros</t>
  </si>
  <si>
    <t>914143</t>
  </si>
  <si>
    <t>1/1.1.8/914143  Servicios Generales</t>
  </si>
  <si>
    <t>914144</t>
  </si>
  <si>
    <t>1.2.4</t>
  </si>
  <si>
    <t>914145</t>
  </si>
  <si>
    <t>1.1.6</t>
  </si>
  <si>
    <t>3.1.3</t>
  </si>
  <si>
    <t>EAEPE</t>
  </si>
  <si>
    <t>2111</t>
  </si>
  <si>
    <t>2</t>
  </si>
  <si>
    <t>3611</t>
  </si>
  <si>
    <t>21</t>
  </si>
  <si>
    <t>211</t>
  </si>
  <si>
    <t xml:space="preserve">    NO FINANCIERO</t>
  </si>
  <si>
    <t xml:space="preserve">    SECTOR PÚBLICO DE LAS EF</t>
  </si>
  <si>
    <t xml:space="preserve">   GOBIERNO GENERAL ESTATAL</t>
  </si>
  <si>
    <t xml:space="preserve">   Gobierno Estatal</t>
  </si>
  <si>
    <t>PY</t>
  </si>
  <si>
    <t>INGRESOS</t>
  </si>
  <si>
    <t xml:space="preserve"> Ventas de bienes y servici</t>
  </si>
  <si>
    <t>INGRESOS CORRIENTES</t>
  </si>
  <si>
    <t>Transferencias, asignacion</t>
  </si>
  <si>
    <t>INGRESOS CAPITAL</t>
  </si>
  <si>
    <t>FINANCIAMIENTO</t>
  </si>
  <si>
    <t>FUENTES FINANCIERAS</t>
  </si>
  <si>
    <t>Inversión Publica</t>
  </si>
  <si>
    <t>Recursos Fiscales</t>
  </si>
  <si>
    <t>Financiamiento Externo</t>
  </si>
  <si>
    <t>Ingresos Propios</t>
  </si>
  <si>
    <t>Recursos Federales</t>
  </si>
  <si>
    <t>Recursos Estatales</t>
  </si>
  <si>
    <t>EAI-CE</t>
  </si>
  <si>
    <t>EAI-CFF</t>
  </si>
  <si>
    <t>EAI-CRI</t>
  </si>
  <si>
    <t>EAEPE-CA</t>
  </si>
  <si>
    <t>EAEPE-CTG</t>
  </si>
  <si>
    <t>EN</t>
  </si>
  <si>
    <t>EAEPE-CFG</t>
  </si>
  <si>
    <t>ID</t>
  </si>
  <si>
    <t>FF</t>
  </si>
  <si>
    <t>GCP</t>
  </si>
  <si>
    <t>7991</t>
  </si>
  <si>
    <t>****  1000     Activo</t>
  </si>
  <si>
    <t>***   1100     Activo Circulante</t>
  </si>
  <si>
    <t>*     1112     Bancos/Tesorería</t>
  </si>
  <si>
    <t>***   1200     Activo No Circulante</t>
  </si>
  <si>
    <t>**    1240     Bienes Muebles</t>
  </si>
  <si>
    <t>*     1244     Equipo de Transporte</t>
  </si>
  <si>
    <t>**    1250     Activos Intangibles</t>
  </si>
  <si>
    <t>**    1270     Activos Diferidos</t>
  </si>
  <si>
    <t>****  2000     Pasivo</t>
  </si>
  <si>
    <t>***   2100     Pasivo Circulante</t>
  </si>
  <si>
    <t>***   2200     Pasivo No Circulante</t>
  </si>
  <si>
    <t>****  3000     Hacienda Pública</t>
  </si>
  <si>
    <t>**    3110     Aportaciones</t>
  </si>
  <si>
    <t>*     3110     Aportaciones</t>
  </si>
  <si>
    <t>***   3200     Patrimonio Generado</t>
  </si>
  <si>
    <t>**    3210     Ahorro/ Desahorro</t>
  </si>
  <si>
    <t>*     3210     Ahorro/ Desahorro</t>
  </si>
  <si>
    <t>**    5110     Servicios Personales</t>
  </si>
  <si>
    <t>*     5114     Seguridad Social</t>
  </si>
  <si>
    <t>**    5130     Servicios Generales</t>
  </si>
  <si>
    <t>*     5131     Servicios Básicos</t>
  </si>
  <si>
    <t>*     5138     Servicios Oficiales</t>
  </si>
  <si>
    <t>2015A</t>
  </si>
  <si>
    <t>2016A</t>
  </si>
  <si>
    <t>Cuenta balance CAP</t>
  </si>
  <si>
    <t>Activo fijo</t>
  </si>
  <si>
    <t>Denominación</t>
  </si>
  <si>
    <t xml:space="preserve">      Val.cont.</t>
  </si>
  <si>
    <t xml:space="preserve">      Val.adq.</t>
  </si>
  <si>
    <t xml:space="preserve">      Amo acum.</t>
  </si>
  <si>
    <t>Sociedad</t>
  </si>
  <si>
    <t>División</t>
  </si>
  <si>
    <t>Capitalizado el</t>
  </si>
  <si>
    <t>Descripcion</t>
  </si>
  <si>
    <t>VL</t>
  </si>
  <si>
    <t>Clase</t>
  </si>
  <si>
    <t>Adquisición con fondos de terceros</t>
  </si>
  <si>
    <t>Diferencia</t>
  </si>
  <si>
    <t>Excedentes</t>
  </si>
  <si>
    <t xml:space="preserve">    914147  Invers. Financieras</t>
  </si>
  <si>
    <t>Clave</t>
  </si>
  <si>
    <t>MONTO</t>
  </si>
  <si>
    <t>90</t>
  </si>
  <si>
    <t>180</t>
  </si>
  <si>
    <t>365</t>
  </si>
  <si>
    <t>+365</t>
  </si>
  <si>
    <t>ESF-08 BIENES MUEBLES E INMUEBLES</t>
  </si>
  <si>
    <t>CRITERIO</t>
  </si>
  <si>
    <t>*  MUEBLES</t>
  </si>
  <si>
    <t>*  DEPRECIACION</t>
  </si>
  <si>
    <t>** ESF-08 TOTAL</t>
  </si>
  <si>
    <t>ESF-09 INTANGIBLES Y DIFERIDOS</t>
  </si>
  <si>
    <t>Criterio</t>
  </si>
  <si>
    <t>*  INTANGIBLES</t>
  </si>
  <si>
    <t>*  DIFERIDOS</t>
  </si>
  <si>
    <t>** ESF-09 TOTAL</t>
  </si>
  <si>
    <t>ESF-12 CUENTAS Y DOC. POR PAGAR</t>
  </si>
  <si>
    <t>*  CUENTAS X PAGAR CP</t>
  </si>
  <si>
    <t>** ESF-12 TOTAL</t>
  </si>
  <si>
    <t>TIPO</t>
  </si>
  <si>
    <t>NATURALEZA</t>
  </si>
  <si>
    <t>CARACTERISTICAS</t>
  </si>
  <si>
    <t>*  PARTICIPACIONES, APORTACIONES</t>
  </si>
  <si>
    <t>%GASTO</t>
  </si>
  <si>
    <t>EXPLICACION</t>
  </si>
  <si>
    <t>VHP-01 PATRIMONIO CONTRIBUIDO</t>
  </si>
  <si>
    <t>INICIAL</t>
  </si>
  <si>
    <t>FINAL</t>
  </si>
  <si>
    <t>MODIFICACION</t>
  </si>
  <si>
    <t>* VHP-01 TOTAL</t>
  </si>
  <si>
    <t>VHP-02 PATRIMONIO GENERADO</t>
  </si>
  <si>
    <t xml:space="preserve">   321000001 Ahorro/ Desahorro</t>
  </si>
  <si>
    <t>*  Subtotal</t>
  </si>
  <si>
    <t>** VHP-02 Total</t>
  </si>
  <si>
    <t>EFE-01 FLUJO DE EFECTIVO</t>
  </si>
  <si>
    <t>*  1112     Bancos/Tesorería</t>
  </si>
  <si>
    <t>** EFE-01 TOTAL</t>
  </si>
  <si>
    <t>EFE-03 Conc. EFE.</t>
  </si>
  <si>
    <t>Actual</t>
  </si>
  <si>
    <t>Anterior</t>
  </si>
  <si>
    <t xml:space="preserve">  5510 Estimaciones, Depreciaciones, Det.</t>
  </si>
  <si>
    <t>* EFE-03 Total</t>
  </si>
  <si>
    <t>Conciliacion Ingreso</t>
  </si>
  <si>
    <t>** 1. Ingresos Presupuestarios</t>
  </si>
  <si>
    <t>*  2. Mas Ingreso contable no presupuestal</t>
  </si>
  <si>
    <t xml:space="preserve">   4320 Incr. por Variación de Inventarios</t>
  </si>
  <si>
    <t xml:space="preserve">   4330 Dism. del Exceso de Estimaciones</t>
  </si>
  <si>
    <t xml:space="preserve">   4340 Dism. del Exceso de Provisiones</t>
  </si>
  <si>
    <t xml:space="preserve">   4390 Otros Ingresos</t>
  </si>
  <si>
    <t xml:space="preserve">   4310 Ingresos Financieros</t>
  </si>
  <si>
    <t>*  3. Menos Ingreso presupuestal no contab.</t>
  </si>
  <si>
    <t xml:space="preserve">   5200 Productos de Capital</t>
  </si>
  <si>
    <t xml:space="preserve">   6200 Aprovechamientos de Capital</t>
  </si>
  <si>
    <t xml:space="preserve">   2233 Deuda Pública Interna</t>
  </si>
  <si>
    <t xml:space="preserve">   3110 Otros Ingresos pres no cont</t>
  </si>
  <si>
    <t xml:space="preserve">   4. Ingreso Contable (4=1+2-3)</t>
  </si>
  <si>
    <t>Conciliacion Egreso</t>
  </si>
  <si>
    <t>** 1. Egreso Presupuestarios</t>
  </si>
  <si>
    <t>*  2. Menos Egreso presupuestal no contab.</t>
  </si>
  <si>
    <t xml:space="preserve">   5100 Mobiliario y equipo de admon.</t>
  </si>
  <si>
    <t xml:space="preserve">   5200 Mobiliario y equipo educacional y r</t>
  </si>
  <si>
    <t xml:space="preserve">   5300 Equipo e instrumental médico y de l</t>
  </si>
  <si>
    <t xml:space="preserve">   5400 Vehículos y equipo de transporte</t>
  </si>
  <si>
    <t xml:space="preserve">   5500 Equipo de defensa y seguridad</t>
  </si>
  <si>
    <t xml:space="preserve">   5600 Maquinaria, otros equipos y herrami</t>
  </si>
  <si>
    <t xml:space="preserve">   5700 Activos biológicos</t>
  </si>
  <si>
    <t xml:space="preserve">   5800 Bienes inmuebles</t>
  </si>
  <si>
    <t xml:space="preserve">   5900 Activos intangibles</t>
  </si>
  <si>
    <t xml:space="preserve">   6200 Obra pública en bienes propios</t>
  </si>
  <si>
    <t xml:space="preserve">   7200 Acciones y participaciones de capit</t>
  </si>
  <si>
    <t xml:space="preserve">   7300 Compra de títulos y valores</t>
  </si>
  <si>
    <t xml:space="preserve">   7500 Inversiones en fideicomisos, mandat</t>
  </si>
  <si>
    <t xml:space="preserve">   7900 Provisiones para contingencias y ot</t>
  </si>
  <si>
    <t xml:space="preserve">   9100 Amortización de la deuda pública</t>
  </si>
  <si>
    <t xml:space="preserve">   9900 Adeudos de ejercicios fiscales ante</t>
  </si>
  <si>
    <t xml:space="preserve">   7400 Otros egresos presupuestales no con</t>
  </si>
  <si>
    <t>*  3. Mas Gasto contable no presupuestal</t>
  </si>
  <si>
    <t xml:space="preserve">   5510 Estimaciones, Depreciaciones, Det.</t>
  </si>
  <si>
    <t xml:space="preserve">   5520 Provisiones</t>
  </si>
  <si>
    <t xml:space="preserve">   5530 Disminución de Inventarios</t>
  </si>
  <si>
    <t xml:space="preserve">   5540 Aumento por Insuf. de Estimaciones</t>
  </si>
  <si>
    <t xml:space="preserve">   5550 Aumento por Insuf. de Provisiones</t>
  </si>
  <si>
    <t xml:space="preserve">   5590 Otros Gastos</t>
  </si>
  <si>
    <t xml:space="preserve">   5600 Inversion publica</t>
  </si>
  <si>
    <t xml:space="preserve">   4. Gasto Contable</t>
  </si>
  <si>
    <t>**    1110     Efectivo y Equivalen</t>
  </si>
  <si>
    <t>**    1120     Der. a recibir efvo.</t>
  </si>
  <si>
    <t>*     1122     Cuentas por Cobrar a</t>
  </si>
  <si>
    <t>*     1123     Deudores Diversos x</t>
  </si>
  <si>
    <t>**    1130     Der. a recibir biene</t>
  </si>
  <si>
    <t>*     1131     Ant. a prov. por adq</t>
  </si>
  <si>
    <t>*     1241     Mobiliario y Eq. de</t>
  </si>
  <si>
    <t>*     1246     Maquinaria, otros Eq</t>
  </si>
  <si>
    <t>*     1252     Patentes, Marcas y D</t>
  </si>
  <si>
    <t>**    1260     Dep., Det. y Amort.</t>
  </si>
  <si>
    <t>*     1263     Dep. Ac. de Bienes M</t>
  </si>
  <si>
    <t>**    2110     Cuentas por pagar a</t>
  </si>
  <si>
    <t>*     2111     Serv. Personales x p</t>
  </si>
  <si>
    <t>*     2112     Proveedores x pagar</t>
  </si>
  <si>
    <t>*     2117     Retenciones y Contri</t>
  </si>
  <si>
    <t>*     2119     Otras Cuentas x paga</t>
  </si>
  <si>
    <t>**    2260     Provisiones a Largo</t>
  </si>
  <si>
    <t>*     2269     Otras Provisiones a</t>
  </si>
  <si>
    <t>***   3100     Patrimonio Contribui</t>
  </si>
  <si>
    <t>**    3220     Res. de Ejercicios A</t>
  </si>
  <si>
    <t>*     3220     Res. de Ejercicios A</t>
  </si>
  <si>
    <t>****  4000     Ingresos y otros ben</t>
  </si>
  <si>
    <t>***   4200     Participaciones, Apo</t>
  </si>
  <si>
    <t>**    4220     Transferencias, Asig</t>
  </si>
  <si>
    <t>*     4221     Transferencias Inter</t>
  </si>
  <si>
    <t>****  5000     Gastos y Otras Pérdi</t>
  </si>
  <si>
    <t>***   5100     Gastos de Funcionami</t>
  </si>
  <si>
    <t>*     5111     Rem. al Pers. de car</t>
  </si>
  <si>
    <t>*     5113     Rem. Adicionales y E</t>
  </si>
  <si>
    <t>*     5115     Otras Prestaciones S</t>
  </si>
  <si>
    <t>**    5120     Materiales y Suminis</t>
  </si>
  <si>
    <t>*     5121     Materiales de Admini</t>
  </si>
  <si>
    <t>*     5122     Alimentos y Utensili</t>
  </si>
  <si>
    <t>*     5124     Mat. y Art. de Const</t>
  </si>
  <si>
    <t>*     5126     Combustibles, Lubric</t>
  </si>
  <si>
    <t>*     5129     Herramientas, Refacc</t>
  </si>
  <si>
    <t>*     5133     Serv. Profesionales,</t>
  </si>
  <si>
    <t>*     5135     Serv. de Instalación</t>
  </si>
  <si>
    <t>*     5137     Serv. de Traslado y</t>
  </si>
  <si>
    <t>*     5139     Otros Servicios Gene</t>
  </si>
  <si>
    <t>***   5500     Otros Gastos y Pérdi</t>
  </si>
  <si>
    <t>**    5510     Estimaciones, Deprec</t>
  </si>
  <si>
    <t>*     5515     Dep. de Bienes Muebl</t>
  </si>
  <si>
    <t>Notas</t>
  </si>
  <si>
    <t xml:space="preserve">NOTAS A LOS ESTADOS FINANCIEROS                             </t>
  </si>
  <si>
    <t>NOTAS</t>
  </si>
  <si>
    <t>DESCRIPCIÓN</t>
  </si>
  <si>
    <t>I. NOTAS DE DESGLOSE:</t>
  </si>
  <si>
    <t>INFORMACION CONTABLE</t>
  </si>
  <si>
    <t>FONDOS CON AFECTACIÓN ESPECÍFICA E INVERSIONES FINANCIERAS</t>
  </si>
  <si>
    <t>CONTRIBUCIONES POR RECUPERAR</t>
  </si>
  <si>
    <t>CONTRIBUCIONES POR RECUPERAR CORTO PLAZO</t>
  </si>
  <si>
    <t>ESF-04</t>
  </si>
  <si>
    <t>BIENES DISPONIBLES PARA SU TRANSFORMACIÓN ESTIMACIONES Y DETERIOROS</t>
  </si>
  <si>
    <t>INVENTARIO Y ALMACENES</t>
  </si>
  <si>
    <t>FIDEICOMISOS</t>
  </si>
  <si>
    <t>PARTICIPACIONES Y APORTACIONES DE CAPITAL</t>
  </si>
  <si>
    <t>BIENES MUEBLES E INMUEBLES</t>
  </si>
  <si>
    <t>INTANGIBLES Y DIFERIDOS</t>
  </si>
  <si>
    <t>ESTIMACIONES Y DETERIOROS</t>
  </si>
  <si>
    <t>OTROS ACTIVOS NO CIRCULANTES</t>
  </si>
  <si>
    <t>CUENTAS Y DOCUMENTOS POR PAGAR</t>
  </si>
  <si>
    <t>DIFERIDOS Y OTROS PASIVOS</t>
  </si>
  <si>
    <t>OTROS PASIVOS CIRCULANTES</t>
  </si>
  <si>
    <t>DEUDA PÚBLICA A LARGO PLAZO</t>
  </si>
  <si>
    <t>OTROS INGRESOS</t>
  </si>
  <si>
    <t>GASTOS</t>
  </si>
  <si>
    <t>PATRIMONIO CONTRIBUIDO</t>
  </si>
  <si>
    <t>PATRIMONIO GENERADO</t>
  </si>
  <si>
    <t>FLUJO DE EFECTIVO</t>
  </si>
  <si>
    <t>ADQ. BIENES MUEBLES E INMUEBLES</t>
  </si>
  <si>
    <t>EFE-03</t>
  </si>
  <si>
    <t>CONCILIACIÓN DEL FLUJO DE EFECTIVO</t>
  </si>
  <si>
    <t>Conciliacion_Ig</t>
  </si>
  <si>
    <t>CONCILIACIÓN ENTRE LOS INGRESOS PRESUPUESTARIOS Y CONTABLES</t>
  </si>
  <si>
    <t>Conciliacion_Eg</t>
  </si>
  <si>
    <t>CONCILIACIÓN ENTRE LOS EGRESOS PRESUPUESTARIOS Y LOS GASTOS CONTABLES</t>
  </si>
  <si>
    <t>II. DE MEMORIA (DE ORDEN):</t>
  </si>
  <si>
    <t>Memoria</t>
  </si>
  <si>
    <t>CONTABLES</t>
  </si>
  <si>
    <t>PRESUPUESTALES</t>
  </si>
  <si>
    <t>Cuenta</t>
  </si>
  <si>
    <t>EA-01 INGRESOS</t>
  </si>
  <si>
    <t>** EA-01 TOTAL</t>
  </si>
  <si>
    <t>EA-03 GASTOS</t>
  </si>
  <si>
    <t>* EA-03 TOTAL</t>
  </si>
  <si>
    <t>Estado de Situación Financiera Detallado - LDF</t>
  </si>
  <si>
    <t>Informe Analítico de la Deuda Pública y Otros Pasivos - LDF</t>
  </si>
  <si>
    <t>Informe Analítico de Obligaciones Diferentes de Financiamientos – LDF</t>
  </si>
  <si>
    <t>Balance Presupuestario - LDF</t>
  </si>
  <si>
    <t>Estado Analítico de Ingresos Detallado - LDF</t>
  </si>
  <si>
    <t>Estado Analítico del Ejercicio del Presupuesto de Egresos Detallado - LDF</t>
  </si>
  <si>
    <t xml:space="preserve">Clasificación por Objeto del Gasto (Capítulo y Concepto) </t>
  </si>
  <si>
    <t>Clasificación Administrativa</t>
  </si>
  <si>
    <t>Clasificación Funcional (Finalidad y Función)</t>
  </si>
  <si>
    <t>Clasificación de Servicios Personales por Categoría</t>
  </si>
  <si>
    <t>(Pesos)</t>
  </si>
  <si>
    <t>Concepto (c)</t>
  </si>
  <si>
    <t>Estimado/
Aprobado</t>
  </si>
  <si>
    <t>Recaudado/
Pagado</t>
  </si>
  <si>
    <t>Ingreso</t>
  </si>
  <si>
    <t>Egresos</t>
  </si>
  <si>
    <t>(k)</t>
  </si>
  <si>
    <t>(l)</t>
  </si>
  <si>
    <t>Concepto
(c)</t>
  </si>
  <si>
    <t>Estimado
 (d)</t>
  </si>
  <si>
    <t>Ampliaciones/
 (Reducciones)</t>
  </si>
  <si>
    <t>Diferencia
 (e)</t>
  </si>
  <si>
    <t>Concepto
 (c)</t>
  </si>
  <si>
    <t>Aprobado
 (d)</t>
  </si>
  <si>
    <t xml:space="preserve">Ampliaciones/
 (Reducciones) </t>
  </si>
  <si>
    <t xml:space="preserve">Modificado </t>
  </si>
  <si>
    <t xml:space="preserve">Pagado </t>
  </si>
  <si>
    <t>Subejercicio
 (e)</t>
  </si>
  <si>
    <t>A. Ingresos Totales (A = A1+A2+A3)</t>
  </si>
  <si>
    <t>I. Gasto No Etiquetado (I=A+B+C+D+E+F+G+H+I)</t>
  </si>
  <si>
    <t>I. Gasto No Etiquetado (I=A+B+C+D+E+F+G+H)</t>
  </si>
  <si>
    <t>I. Gasto No Etiquetado (I=A+B+C+D)</t>
  </si>
  <si>
    <t>I. Gasto No Etiquetado (I=A+B+C+D+E+F)</t>
  </si>
  <si>
    <t>Activo Circulante</t>
  </si>
  <si>
    <t>Pasivo Circulante</t>
  </si>
  <si>
    <t>1. Deuda Pública (1=A+B)</t>
  </si>
  <si>
    <t>A. Asociaciones Público Privadas (APP’s) (A=a+b+c+d)</t>
  </si>
  <si>
    <t>A1. Ingresos de Libre Disposición</t>
  </si>
  <si>
    <t>Ingresos de Libre Disposición</t>
  </si>
  <si>
    <t>A. Servicios Personales (A=a1+a2+a3+a4+a5+a6+a7)</t>
  </si>
  <si>
    <t>A. Gobierno (A=a1+a2+a3+a4+a5+a6+a7+a8)</t>
  </si>
  <si>
    <t>A. Personal Administrativo y de Servicio Público</t>
  </si>
  <si>
    <t>a. Efectivo y Equivalentes (a=a1+a2+a3+a4+a5+a6+a7)</t>
  </si>
  <si>
    <t>a. Cuentas por Pagar a Corto Plazo (a=a1+a2+a3+a4+a5+a6+a7+a8+a9)</t>
  </si>
  <si>
    <t>A. Corto Plazo (A=a1+a2+a3)</t>
  </si>
  <si>
    <t>a) APP 1</t>
  </si>
  <si>
    <t>A2. Transferencias Federales Etiquetadas</t>
  </si>
  <si>
    <t>A. Impuestos</t>
  </si>
  <si>
    <t>a1) Remuneraciones al Personal de Carácter Permanente</t>
  </si>
  <si>
    <t>a1) Legislación</t>
  </si>
  <si>
    <t>x</t>
  </si>
  <si>
    <t>B. Magisterio</t>
  </si>
  <si>
    <t>a1) Efectivo</t>
  </si>
  <si>
    <t>a1) Servicios Personales por Pagar a Corto Plazo</t>
  </si>
  <si>
    <t>a1) Instituciones de Crédito</t>
  </si>
  <si>
    <t>b) APP 2</t>
  </si>
  <si>
    <t>A3. Financiamiento Neto</t>
  </si>
  <si>
    <t>B. Cuotas y Aportaciones de Seguridad Social</t>
  </si>
  <si>
    <t>a2) Remuneraciones al Personal de Carácter Transitorio</t>
  </si>
  <si>
    <t>a2) Justicia</t>
  </si>
  <si>
    <t>C. Servicios de Salud (C=c1+c2)</t>
  </si>
  <si>
    <t>a2) Bancos/Tesorería</t>
  </si>
  <si>
    <t>a2) Proveedores por Pagar a Corto Plazo</t>
  </si>
  <si>
    <t>a2) Títulos y Valores</t>
  </si>
  <si>
    <t>c) APP 3</t>
  </si>
  <si>
    <t>C. Contribuciones de Mejoras</t>
  </si>
  <si>
    <t>a3) Remuneraciones Adicionales y Especiales</t>
  </si>
  <si>
    <t>a3) Coordinación de la Política de Gobierno</t>
  </si>
  <si>
    <t>c1) Personal Administrativo</t>
  </si>
  <si>
    <t>a3) Bancos/Dependencias y Otros</t>
  </si>
  <si>
    <t>a3) Contratistas por Obras Públicas por Pagar a Corto Plazo</t>
  </si>
  <si>
    <t>a3) Arrendamientos Financieros</t>
  </si>
  <si>
    <t>d) APP XX</t>
  </si>
  <si>
    <r>
      <t>B. Egresos Presupuestarios</t>
    </r>
    <r>
      <rPr>
        <b/>
        <vertAlign val="superscript"/>
        <sz val="9"/>
        <color theme="1"/>
        <rFont val="Arial"/>
        <family val="2"/>
      </rPr>
      <t>1</t>
    </r>
    <r>
      <rPr>
        <b/>
        <sz val="9"/>
        <color theme="1"/>
        <rFont val="Arial"/>
        <family val="2"/>
      </rPr>
      <t xml:space="preserve"> (B = B1+B2)</t>
    </r>
  </si>
  <si>
    <t>D. Derechos</t>
  </si>
  <si>
    <t>a4) Seguridad Social</t>
  </si>
  <si>
    <t>a4) Relaciones Exteriores</t>
  </si>
  <si>
    <t>c2) Personal Médico, Paramédico y afín</t>
  </si>
  <si>
    <t>a4) Inversiones Temporales (Hasta 3 meses)</t>
  </si>
  <si>
    <t>a4) Participaciones y Aportaciones por Pagar a Corto Plazo</t>
  </si>
  <si>
    <t>B. Largo Plazo (B=b1+b2+b3)</t>
  </si>
  <si>
    <t>B1. Gasto No Etiquetado (sin incluir Amortización de la Deuda Pública)</t>
  </si>
  <si>
    <t>E. Productos</t>
  </si>
  <si>
    <t>a5) Otras Prestaciones Sociales y Económicas</t>
  </si>
  <si>
    <t>F. Dependencia o Unidad Administrativa 6</t>
  </si>
  <si>
    <t>a5) Asuntos Financieros y Hacendarios</t>
  </si>
  <si>
    <t>D. Seguridad Pública</t>
  </si>
  <si>
    <t>a5) Fondos con Afectación Específica</t>
  </si>
  <si>
    <t>a5) Transferencias Otorgadas por Pagar a Corto Plazo</t>
  </si>
  <si>
    <t>b1) Instituciones de Crédito</t>
  </si>
  <si>
    <t>B. Otros Instrumentos (B=a+b+c+d)</t>
  </si>
  <si>
    <t xml:space="preserve">B2. Gasto Etiquetado (sin incluir Amortización de la Deuda Pública) </t>
  </si>
  <si>
    <t>F. Aprovechamientos</t>
  </si>
  <si>
    <t>a6) Previsiones</t>
  </si>
  <si>
    <t>G. Dependencia o Unidad Administrativa 7</t>
  </si>
  <si>
    <t>a6) Seguridad Nacional</t>
  </si>
  <si>
    <t>E. Gastos asociados a la implementación de nuevas leyes federales o reformas a las mismas (E = e1 + e2)</t>
  </si>
  <si>
    <t>a6) Depósitos de Fondos de Terceros en Garantía y/o Administración</t>
  </si>
  <si>
    <t>a6) Intereses, Comisiones y Otros Gastos de la Deuda Pública por Pagar a Corto Plazo</t>
  </si>
  <si>
    <t>b2) Títulos y Valores</t>
  </si>
  <si>
    <t>a) Otro Instrumento 1</t>
  </si>
  <si>
    <t>G. Ingresos por Ventas de Bienes y Servicios</t>
  </si>
  <si>
    <t>a7) Pago de Estímulos a Servidores Públicos</t>
  </si>
  <si>
    <t>H. Dependencia o Unidad Administrativa xx</t>
  </si>
  <si>
    <t>a7) Asuntos de Orden Público y de Seguridad Interior</t>
  </si>
  <si>
    <t>e1) Nombre del Programa o Ley 1</t>
  </si>
  <si>
    <t>a7) Otros Efectivos y Equivalentes</t>
  </si>
  <si>
    <t>a7) Retenciones y Contribuciones por Pagar a Corto Plazo</t>
  </si>
  <si>
    <t>b3) Arrendamientos Financieros</t>
  </si>
  <si>
    <t>b) Otro Instrumento 2</t>
  </si>
  <si>
    <t>C. Remanentes del Ejercicio Anterior ( C = C1 + C2 )</t>
  </si>
  <si>
    <t>H. Participaciones (H=h1+h2+h3+h4+h5+h6+h7+h8+h9+h10+h11)</t>
  </si>
  <si>
    <t>B. Materiales y Suministros (B=b1+b2+b3+b4+b5+b6+b7+b8+b9)</t>
  </si>
  <si>
    <t>a8) Otros Servicios Generales</t>
  </si>
  <si>
    <t>e2) Nombre del Programa o Ley 2</t>
  </si>
  <si>
    <t>b. Derechos a Recibir Efectivo o Equivalentes (b=b1+b2+b3+b4+b5+b6+b7)</t>
  </si>
  <si>
    <t>a8) Devoluciones de la Ley de Ingresos por Pagar a Corto Plazo</t>
  </si>
  <si>
    <t xml:space="preserve">2. Otros Pasivos </t>
  </si>
  <si>
    <t>c) Otro Instrumento 3</t>
  </si>
  <si>
    <t>C1. Remanentes de Ingresos de Libre Disposición aplicados en el periodo</t>
  </si>
  <si>
    <t xml:space="preserve">h1) Fondo General de Participaciones </t>
  </si>
  <si>
    <t>b1) Materiales de Administración, Emisión de Documentos y Artículos Oficiales</t>
  </si>
  <si>
    <t>II. Gasto Etiquetado (II=A+B+C+D+E+F+G+H+I)</t>
  </si>
  <si>
    <t>F. Sentencias laborales definitivas</t>
  </si>
  <si>
    <t>b1) Inversiones Financieras de Corto Plazo</t>
  </si>
  <si>
    <t>a9) Otras Cuentas por Pagar a Corto Plazo</t>
  </si>
  <si>
    <t>d) Otro Instrumento XX</t>
  </si>
  <si>
    <t>C2. Remanentes de Transferencias Federales Etiquetadas aplicados en el periodo</t>
  </si>
  <si>
    <t>h2) Fondo de Fomento Municipal</t>
  </si>
  <si>
    <t>b2) Alimentos y Utensilios</t>
  </si>
  <si>
    <t>A. Dependencia o Unidad Administrativa 1</t>
  </si>
  <si>
    <t>B. Desarrollo Social (B=b1+b2+b3+b4+b5+b6+b7)</t>
  </si>
  <si>
    <t>b2) Cuentas por Cobrar a Corto Plazo</t>
  </si>
  <si>
    <t>b. Documentos por Pagar a Corto Plazo (b=b1+b2+b3)</t>
  </si>
  <si>
    <t>3. Total de la Deuda Pública y Otros Pasivos (3=1+2)</t>
  </si>
  <si>
    <t>h3) Fondo de Fiscalización y Recaudación</t>
  </si>
  <si>
    <t>b3) Materias Primas y Materiales de Producción y Comercialización</t>
  </si>
  <si>
    <t>B. Dependencia o Unidad Administrativa 2</t>
  </si>
  <si>
    <t>b1) Protección Ambiental</t>
  </si>
  <si>
    <t>II. Gasto Etiquetado (II=A+B+C+D+E+F)</t>
  </si>
  <si>
    <t>b3) Deudores Diversos por Cobrar a Corto Plazo</t>
  </si>
  <si>
    <t>b1) Documentos Comerciales por Pagar a Corto Plazo</t>
  </si>
  <si>
    <t>C. Total de Obligaciones Diferentes de Financiamiento (C=A+B)</t>
  </si>
  <si>
    <t xml:space="preserve">I. Balance Presupuestario (I = A – B + C)  </t>
  </si>
  <si>
    <t>h4) Fondo de Compensación</t>
  </si>
  <si>
    <t>b4) Materiales y Artículos de Construcción y de Reparación</t>
  </si>
  <si>
    <t>C. Dependencia o Unidad Administrativa 3</t>
  </si>
  <si>
    <t>b2) Vivienda y Servicios a la Comunidad</t>
  </si>
  <si>
    <t>b4) Ingresos por Recuperar a Corto Plazo</t>
  </si>
  <si>
    <t>b2) Documentos con Contratistas por Obras Públicas por Pagar a Corto Plazo</t>
  </si>
  <si>
    <t>4. Deuda Contingente 1 (informativo)</t>
  </si>
  <si>
    <t>II. Balance Presupuestario sin Financiamiento Neto (II = I - A3)</t>
  </si>
  <si>
    <t>h5) Fondo de Extracción de Hidrocarburos</t>
  </si>
  <si>
    <t>b5) Productos Químicos, Farmacéuticos y de Laboratorio</t>
  </si>
  <si>
    <t>D. Dependencia o Unidad Administrativa 4</t>
  </si>
  <si>
    <t>b3) Salud</t>
  </si>
  <si>
    <t>b5) Deudores por Anticipos de la Tesorería a Corto Plazo</t>
  </si>
  <si>
    <t>b3) Otros Documentos por Pagar a Corto Plazo</t>
  </si>
  <si>
    <t>A. Deuda Contingente 1</t>
  </si>
  <si>
    <t>III. Balance Presupuestario sin Financiamiento Neto y sin Remanentes del Ejercicio Anterior (III= II - C)</t>
  </si>
  <si>
    <t>h6) Impuesto Especial Sobre Producción y Servicios</t>
  </si>
  <si>
    <t>b6) Combustibles, Lubricantes y Aditivos</t>
  </si>
  <si>
    <t>E. Dependencia o Unidad Administrativa 5</t>
  </si>
  <si>
    <t>b4) Recreación, Cultura y Otras Manifestaciones Sociales</t>
  </si>
  <si>
    <t>b6) Préstamos Otorgados a Corto Plazo</t>
  </si>
  <si>
    <t>c. Porción a Corto Plazo de la Deuda Pública a Largo Plazo (c=c1+c2)</t>
  </si>
  <si>
    <t>B. Deuda Contingente 2</t>
  </si>
  <si>
    <t>h7) 0.136% de la Recaudación Federal Participable</t>
  </si>
  <si>
    <t>b7) Vestuario, Blancos, Prendas de Protección y Artículos Deportivos</t>
  </si>
  <si>
    <t>b5) Educación</t>
  </si>
  <si>
    <t>b7) Otros Derechos a Recibir Efectivo o Equivalentes a Corto Plazo</t>
  </si>
  <si>
    <t>c1) Porción a Corto Plazo de la Deuda Pública</t>
  </si>
  <si>
    <t>C. Deuda Contingente XX</t>
  </si>
  <si>
    <t>h8) 3.17% Sobre Extracción de Petróleo</t>
  </si>
  <si>
    <t>b8) Materiales y Suministros Para Seguridad</t>
  </si>
  <si>
    <t>b6) Protección Social</t>
  </si>
  <si>
    <t>c. Derechos a Recibir Bienes o Servicios (c=c1+c2+c3+c4+c5)</t>
  </si>
  <si>
    <t>c2) Porción a Corto Plazo de Arrendamiento Financiero</t>
  </si>
  <si>
    <t>h9) Gasolinas y Diésel</t>
  </si>
  <si>
    <t>b9) Herramientas, Refacciones y Accesorios Menores</t>
  </si>
  <si>
    <t>b7) Otros Asuntos Sociales</t>
  </si>
  <si>
    <t>c1) Anticipo a Proveedores por Adquisición de Bienes y Prestación de Servicios a Corto Plazo</t>
  </si>
  <si>
    <t>d. Títulos y Valores a Corto Plazo</t>
  </si>
  <si>
    <t>5. Valor de Instrumentos Bono Cupón Cero 2 (Informativo)</t>
  </si>
  <si>
    <t>h10) Fondo del Impuesto Sobre la Renta</t>
  </si>
  <si>
    <t>C. Servicios Generales (C=c1+c2+c3+c4+c5+c6+c7+c8+c9)</t>
  </si>
  <si>
    <t>c2) Anticipo a Proveedores por Adquisición de Bienes Inmuebles y Muebles a Corto Plazo</t>
  </si>
  <si>
    <t>e. Pasivos Diferidos a Corto Plazo (e=e1+e2+e3)</t>
  </si>
  <si>
    <t>A. Instrumento Bono Cupón Cero 1</t>
  </si>
  <si>
    <t>E. Intereses, Comisiones y Gastos de la Deuda (E = E1+E2)</t>
  </si>
  <si>
    <t>h11) Fondo de Estabilización de los Ingresos de las Entidades Federativas</t>
  </si>
  <si>
    <t>c1) Servicios Básicos</t>
  </si>
  <si>
    <t>III. Total de Egresos (III = I + II)</t>
  </si>
  <si>
    <t>C. Desarrollo Económico (C=c1+c2+c3+c4+c5+c6+c7+c8+c9)</t>
  </si>
  <si>
    <t>c3) Anticipo a Proveedores por Adquisición de Bienes Intangibles a Corto Plazo</t>
  </si>
  <si>
    <t>e1) Ingresos Cobrados por Adelantado a Corto Plazo</t>
  </si>
  <si>
    <t>B. Instrumento Bono Cupón Cero 2</t>
  </si>
  <si>
    <t>E1. Intereses, Comisiones y Gastos de la Deuda con Gasto No Etiquetado</t>
  </si>
  <si>
    <t>I. Incentivos Derivados de la Colaboración Fiscal (I=i1+i2+i3+i4+i5)</t>
  </si>
  <si>
    <t>c2) Servicios de Arrendamiento</t>
  </si>
  <si>
    <t>c1) Asuntos Económicos, Comerciales y Laborales en General</t>
  </si>
  <si>
    <t>c4) Anticipo a Contratistas por Obras Públicas a Corto Plazo</t>
  </si>
  <si>
    <t>e2) Intereses Cobrados por Adelantado a Corto Plazo</t>
  </si>
  <si>
    <t>C. Instrumento Bono Cupón Cero XX</t>
  </si>
  <si>
    <t>E2. Intereses, Comisiones y Gastos de la Deuda con Gasto Etiquetado</t>
  </si>
  <si>
    <t>i1) Tenencia o Uso de Vehículos</t>
  </si>
  <si>
    <t>c3) Servicios Profesionales, Científicos, Técnicos y Otros Servicios</t>
  </si>
  <si>
    <t>c2) Agropecuaria, Silvicultura, Pesca y Caza</t>
  </si>
  <si>
    <t>c5) Otros Derechos a Recibir Bienes o Servicios a Corto Plazo</t>
  </si>
  <si>
    <t>e3) Otros Pasivos Diferidos a Corto Plazo</t>
  </si>
  <si>
    <t>i2) Fondo de Compensación ISAN</t>
  </si>
  <si>
    <t>c4) Servicios Financieros, Bancarios y Comerciales</t>
  </si>
  <si>
    <t>c3) Combustibles y Energía</t>
  </si>
  <si>
    <t>d. Inventarios (d=d1+d2+d3+d4+d5)</t>
  </si>
  <si>
    <t>f. Fondos y Bienes de Terceros en Garantía y/o Administración a Corto Plazo (f=f1+f2+f3+f4+f5+f6)</t>
  </si>
  <si>
    <t>IV. Balance Primario (IV = III + E)</t>
  </si>
  <si>
    <t>i3) Impuesto Sobre Automóviles Nuevos</t>
  </si>
  <si>
    <t>c5) Servicios de Instalación, Reparación, Mantenimiento y Conservación</t>
  </si>
  <si>
    <t>c4) Minería, Manufacturas y Construcción</t>
  </si>
  <si>
    <t>III. Total del Gasto en Servicios Personales (III = I + II)</t>
  </si>
  <si>
    <t>d1) Inventario de Mercancías para Venta</t>
  </si>
  <si>
    <t>f1) Fondos en Garantía a Corto Plazo</t>
  </si>
  <si>
    <t>Obligaciones a Corto Plazo</t>
  </si>
  <si>
    <t>Monto
Contratado</t>
  </si>
  <si>
    <t>Plazo
Pactado</t>
  </si>
  <si>
    <t>Tasa de Interés</t>
  </si>
  <si>
    <t>Comisiones y Costos Relacionados</t>
  </si>
  <si>
    <t>Tasa Efectiva</t>
  </si>
  <si>
    <t>i4) Fondo de Compensación de Repecos-Intermedios</t>
  </si>
  <si>
    <t>c6) Servicios de Comunicación Social y Publicidad</t>
  </si>
  <si>
    <t>c5) Transporte</t>
  </si>
  <si>
    <t>d2) Inventario de Mercancías Terminadas</t>
  </si>
  <si>
    <t>f2) Fondos en Administración a Corto Plazo</t>
  </si>
  <si>
    <t>i5) Otros Incentivos Económicos</t>
  </si>
  <si>
    <t>c7) Servicios de Traslado y Viáticos</t>
  </si>
  <si>
    <t>c6) Comunicaciones</t>
  </si>
  <si>
    <t>d3) Inventario de Mercancías en Proceso de Elaboración</t>
  </si>
  <si>
    <t>f3) Fondos Contingentes a Corto Plazo</t>
  </si>
  <si>
    <t>J. Transferencias</t>
  </si>
  <si>
    <t>c8) Servicios Oficiales</t>
  </si>
  <si>
    <t>c7) Turismo</t>
  </si>
  <si>
    <t>d4) Inventario de Materias Primas, Materiales y Suministros para Producción</t>
  </si>
  <si>
    <t>f4) Fondos de Fideicomisos, Mandatos y Contratos Análogos a Corto Plazo</t>
  </si>
  <si>
    <t>(m)</t>
  </si>
  <si>
    <t>(n)</t>
  </si>
  <si>
    <t>(o)</t>
  </si>
  <si>
    <t>(p)</t>
  </si>
  <si>
    <t>K. Convenios</t>
  </si>
  <si>
    <t>c9) Otros Servicios Generales</t>
  </si>
  <si>
    <t>c8) Ciencia, Tecnología e Innovación</t>
  </si>
  <si>
    <t>d5) Bienes en Tránsito</t>
  </si>
  <si>
    <t>f5) Otros Fondos de Terceros en Garantía y/o Administración a Corto Plazo</t>
  </si>
  <si>
    <t>6. Obligaciones a Corto Plazo (Informativo)</t>
  </si>
  <si>
    <t>k1) Otros Convenios y Subsidios</t>
  </si>
  <si>
    <t>D. Transferencias, Asignaciones, Subsidios y Otras Ayudas (D=d1+d2+d3+d4+d5+d6+d7+d8+d9)</t>
  </si>
  <si>
    <t>c9) Otras Industrias y Otros Asuntos Económicos</t>
  </si>
  <si>
    <t>e. Almacenes</t>
  </si>
  <si>
    <t>f6) Valores y Bienes en Garantía a Corto Plazo</t>
  </si>
  <si>
    <t>A. Crédito 1</t>
  </si>
  <si>
    <t>F. Financiamiento (F = F1 + F2)</t>
  </si>
  <si>
    <t>L. Otros Ingresos de Libre Disposición (L=l1+l2)</t>
  </si>
  <si>
    <t>d1) Transferencias Internas y Asignaciones al Sector Público</t>
  </si>
  <si>
    <t>f. Estimación por Pérdida o Deterioro de Activos Circulantes (f=f1+f2)</t>
  </si>
  <si>
    <t>g. Provisiones a Corto Plazo (g=g1+g2+g3)</t>
  </si>
  <si>
    <t>B. Crédito 2</t>
  </si>
  <si>
    <t>F1. Financiamiento con Fuente de Pago de Ingresos de Libre Disposición</t>
  </si>
  <si>
    <t xml:space="preserve">l1) Participaciones en Ingresos Locales </t>
  </si>
  <si>
    <t>d2) Transferencias al Resto del Sector Público</t>
  </si>
  <si>
    <t>D. Otras No Clasificadas en Funciones Anteriores (D=d1+d2+d3+d4)</t>
  </si>
  <si>
    <t>f1) Estimaciones para Cuentas Incobrables por Derechos a Recibir Efectivo o Equivalentes</t>
  </si>
  <si>
    <t>g1) Provisión para Demandas y Juicios a Corto Plazo</t>
  </si>
  <si>
    <t>C. Crédito XX</t>
  </si>
  <si>
    <t>F2. Financiamiento con Fuente de Pago de Transferencias Federales Etiquetadas</t>
  </si>
  <si>
    <t>l2) Otros Ingresos de Libre Disposición</t>
  </si>
  <si>
    <t>d3) Subsidios y Subvenciones</t>
  </si>
  <si>
    <t>d1) Transacciones de la Deuda Publica / Costo Financiero de la Deuda</t>
  </si>
  <si>
    <t>f2) Estimación por Deterioro de Inventarios</t>
  </si>
  <si>
    <t>g2) Provisión para Contingencias a Corto Plazo</t>
  </si>
  <si>
    <t>G. Amortización de la Deuda (G = G1 + G2)</t>
  </si>
  <si>
    <t>I. Total de Ingresos de Libre Disposición (I=A+B+C+D+E+F+G+H+I+J+K+L)</t>
  </si>
  <si>
    <t>d4) Ayudas Sociales</t>
  </si>
  <si>
    <t>d2) Transferencias, Participaciones y Aportaciones Entre Diferentes Niveles y Ordenes de Gobierno</t>
  </si>
  <si>
    <t>g. Otros Activos Circulantes (g=g1+g2+g3+g4)</t>
  </si>
  <si>
    <t>g3) Otras Provisiones a Corto Plazo</t>
  </si>
  <si>
    <t>G1. Amortización de la Deuda Pública con Gasto No Etiquetado</t>
  </si>
  <si>
    <t>Ingresos Excedentes de Ingresos de Libre Disposición</t>
  </si>
  <si>
    <t>d5) Pensiones y Jubilaciones</t>
  </si>
  <si>
    <t>d3) Saneamiento del Sistema Financiero</t>
  </si>
  <si>
    <t>g1) Valores en Garantía</t>
  </si>
  <si>
    <t>h. Otros Pasivos a Corto Plazo (h=h1+h2+h3)</t>
  </si>
  <si>
    <t>G2. Amortización de la Deuda Pública con Gasto Etiquetado</t>
  </si>
  <si>
    <t>d6) Transferencias a Fideicomisos, Mandatos y Otros Análogos</t>
  </si>
  <si>
    <t>d4) Adeudos de Ejercicios Fiscales Anteriores</t>
  </si>
  <si>
    <t>g2) Bienes en Garantía (excluye depósitos de fondos)</t>
  </si>
  <si>
    <t>h1) Ingresos por Clasificar</t>
  </si>
  <si>
    <t xml:space="preserve">Transferencias Federales Etiquetadas </t>
  </si>
  <si>
    <t>d7) Transferencias a la Seguridad Social</t>
  </si>
  <si>
    <t>g3) Bienes Derivados de Embargos, Decomisos, Aseguramientos y Dación en Pago</t>
  </si>
  <si>
    <t>h2) Recaudación por Participar</t>
  </si>
  <si>
    <t>A3. Financiamiento Neto (A3 = F – G )</t>
  </si>
  <si>
    <t>A. Aportaciones (A=a1+a2+a3+a4+a5+a6+a7+a8)</t>
  </si>
  <si>
    <t>d8) Donativos</t>
  </si>
  <si>
    <t>II. Gasto Etiquetado (I=A+B+C+D)</t>
  </si>
  <si>
    <t>g4) Adquisición con Fondos de Terceros</t>
  </si>
  <si>
    <t>h3) Otros Pasivos Circulantes</t>
  </si>
  <si>
    <t>a1) Fondo de Aportaciones para la Nómina Educativa y Gasto Operativo</t>
  </si>
  <si>
    <t>d9) Transferencias al Exterior</t>
  </si>
  <si>
    <t>a2) Fondo de Aportaciones para los Servicios de Salud</t>
  </si>
  <si>
    <t>E. Bienes Muebles, Inmuebles e Intangibles (E=e1+e2+e3+e4+e5+e6+e7+e8+e9)</t>
  </si>
  <si>
    <t>IA. Total de Activos Circulantes (IA = a + b + c + d + e + f + g)</t>
  </si>
  <si>
    <t>IIA. Total de Pasivos Circulantes (IIA = a + b + c + d + e + f + g + h)</t>
  </si>
  <si>
    <t>a3) Fondo de Aportaciones para la Infraestructura Social</t>
  </si>
  <si>
    <t>e1) Mobiliario y Equipo de Administración</t>
  </si>
  <si>
    <t>a4) Fondo de Aportaciones para el Fortalecimiento de los Municipios y de las Demarcaciones Territoriales del Distrito Federal</t>
  </si>
  <si>
    <t>e2) Mobiliario y Equipo Educacional y Recreativo</t>
  </si>
  <si>
    <t>Activo No Circulante</t>
  </si>
  <si>
    <t>Pasivo No Circulante</t>
  </si>
  <si>
    <t>a5) Fondo de Aportaciones Múltiples</t>
  </si>
  <si>
    <t>e3) Equipo e Instrumental Médico y de Laboratorio</t>
  </si>
  <si>
    <t>a. Inversiones Financieras a Largo Plazo</t>
  </si>
  <si>
    <t>a. Cuentas por Pagar a Largo Plazo</t>
  </si>
  <si>
    <t xml:space="preserve">A1. Ingresos de Libre Disposición </t>
  </si>
  <si>
    <t>a6) Fondo de Aportaciones para la Educación Tecnológica y de Adultos</t>
  </si>
  <si>
    <t>e4) Vehículos y Equipo de Transporte</t>
  </si>
  <si>
    <t xml:space="preserve">b. Derechos a Recibir Efectivo o Equivalentes a Largo Plazo </t>
  </si>
  <si>
    <t>b. Documentos por Pagar a Largo Plazo</t>
  </si>
  <si>
    <t>A3.1 Financiamiento Neto con Fuente de Pago de Ingresos de Libre Disposición (A3.1 = F1 – G1)</t>
  </si>
  <si>
    <t>a7) Fondo de Aportaciones para la Seguridad Pública de los Estados y del Distrito Federal</t>
  </si>
  <si>
    <t>e5) Equipo de Defensa y Seguridad</t>
  </si>
  <si>
    <t xml:space="preserve">c. Bienes Inmuebles, Infraestructura y Construcciones en Proceso </t>
  </si>
  <si>
    <t>c. Deuda Pública a Largo Plazo</t>
  </si>
  <si>
    <t>a8) Fondo de Aportaciones para el Fortalecimiento de las Entidades Federativas</t>
  </si>
  <si>
    <t>e6) Maquinaria, Otros Equipos y Herramientas</t>
  </si>
  <si>
    <t xml:space="preserve">d. Bienes Muebles </t>
  </si>
  <si>
    <t>d. Pasivos Diferidos a Largo Plazo</t>
  </si>
  <si>
    <t>B. Convenios (B=b1+b2+b3+b4)</t>
  </si>
  <si>
    <t>e7) Activos Biológicos</t>
  </si>
  <si>
    <t xml:space="preserve">e. Activos Intangibles </t>
  </si>
  <si>
    <t>e. Fondos y Bienes de Terceros en Garantía y/o en Administración a Largo Plazo</t>
  </si>
  <si>
    <t>b1) Convenios de Protección Social en Salud</t>
  </si>
  <si>
    <t>e8) Bienes Inmuebles</t>
  </si>
  <si>
    <t xml:space="preserve">f. Depreciación, Deterioro y Amortización Acumulada de Bienes </t>
  </si>
  <si>
    <t>f. Provisiones a Largo Plazo</t>
  </si>
  <si>
    <t>b2) Convenios de Descentralización</t>
  </si>
  <si>
    <t>e9) Activos Intangibles</t>
  </si>
  <si>
    <t>g. Activos Diferidos</t>
  </si>
  <si>
    <t>b3) Convenios de Reasignación</t>
  </si>
  <si>
    <t>F. Inversión Pública (F=f1+f2+f3)</t>
  </si>
  <si>
    <t>h. Estimación por Pérdida o Deterioro de Activos no Circulantes</t>
  </si>
  <si>
    <t>IIB. Total de Pasivos No Circulantes (IIB = a + b + c + d + e + f)</t>
  </si>
  <si>
    <t>b4) Otros Convenios y Subsidios</t>
  </si>
  <si>
    <t>f1) Obra Pública en Bienes de Dominio Público</t>
  </si>
  <si>
    <t>i. Otros Activos no Circulantes</t>
  </si>
  <si>
    <t>C. Fondos Distintos de Aportaciones (C=c1+c2)</t>
  </si>
  <si>
    <t>f2) Obra Pública en Bienes Propios</t>
  </si>
  <si>
    <t>II. Total del Pasivo (II = IIA + IIB)</t>
  </si>
  <si>
    <t>V. Balance Presupuestario de Recursos Disponibles (V = A1 + A3.1 – B 1 + C1)</t>
  </si>
  <si>
    <t>c1) Fondo para Entidades Federativas y Municipios Productores de Hidrocarburos</t>
  </si>
  <si>
    <t>f3) Proyectos Productivos y Acciones de Fomento</t>
  </si>
  <si>
    <t>IB. Total de Activos No Circulantes (IB = a + b + c + d + e + f + g + h + i)</t>
  </si>
  <si>
    <t>VI. Balance Presupuestario de Recursos Disponibles sin Financiamiento Neto (VI = V – A3.1)</t>
  </si>
  <si>
    <t>c2) Fondo Minero</t>
  </si>
  <si>
    <t>G. Inversiones Financieras y Otras Provisiones (G=g1+g2+g3+g4+g5+g6+g7)</t>
  </si>
  <si>
    <t>HACIENDA PÚBLICA/PATRIMONIO</t>
  </si>
  <si>
    <t>D. Transferencias, Subsidios y Subvenciones, y Pensiones y Jubilaciones</t>
  </si>
  <si>
    <t>g1) Inversiones Para el Fomento de Actividades Productivas</t>
  </si>
  <si>
    <t>I. Total del Activo (I = IA + IB)</t>
  </si>
  <si>
    <t>E. Otras Transferencias Federales Etiquetadas</t>
  </si>
  <si>
    <t>g2) Acciones y Participaciones de Capital</t>
  </si>
  <si>
    <t>IIIA. Hacienda Pública/Patrimonio Contribuido (IIIA = a + b + c)</t>
  </si>
  <si>
    <t>II. Total de Transferencias Federales Etiquetadas (II = A + B + C + D + E)</t>
  </si>
  <si>
    <t>g3) Compra de Títulos y Valores</t>
  </si>
  <si>
    <t>a. Aportaciones</t>
  </si>
  <si>
    <t>g4) Concesión de Préstamos</t>
  </si>
  <si>
    <t>b. Donaciones de Capital</t>
  </si>
  <si>
    <t>III. Ingresos Derivados de Financiamientos (III = A)</t>
  </si>
  <si>
    <t>g5) Inversiones en Fideicomisos, Mandatos y Otros Análogos</t>
  </si>
  <si>
    <t>c. Actualización de la Hacienda Pública/Patrimonio</t>
  </si>
  <si>
    <t>Fideicomiso de Desastres Naturales (Informativo)</t>
  </si>
  <si>
    <t>A3.2 Financiamiento Neto con Fuente de Pago de Transferencias Federales Etiquetadas (A3.2 = F2 – G2)</t>
  </si>
  <si>
    <t>IV. Total de Ingresos (IV = I + II + III)</t>
  </si>
  <si>
    <t>g6) Otras Inversiones Financieras</t>
  </si>
  <si>
    <t>IIIB. Hacienda Pública/Patrimonio Generado (IIIB = a + b + c + d + e)</t>
  </si>
  <si>
    <t>g7) Provisiones para Contingencias y Otras Erogaciones Especiales</t>
  </si>
  <si>
    <t>a. Resultados del Ejercicio (Ahorro/ Desahorro)</t>
  </si>
  <si>
    <t>Datos Informativos</t>
  </si>
  <si>
    <t>H. Participaciones y Aportaciones (H=h1+h2+h3)</t>
  </si>
  <si>
    <t>b. Resultados de Ejercicios Anteriores</t>
  </si>
  <si>
    <t>1. Ingresos Derivados de Financiamientos con Fuente de Pago de Ingresos de Libre Disposición</t>
  </si>
  <si>
    <t>h1) Participaciones</t>
  </si>
  <si>
    <t>c. Revalúos</t>
  </si>
  <si>
    <t>B2. Gasto Etiquetado (sin incluir Amortización de la Deuda Pública)</t>
  </si>
  <si>
    <t>2. Ingresos Derivados de Financiamientos con Fuente de Pago de Transferencias Federales Etiquetadas</t>
  </si>
  <si>
    <t>h2) Aportaciones</t>
  </si>
  <si>
    <t>d. Reservas</t>
  </si>
  <si>
    <t>3. Ingresos Derivados de Financiamientos (3 = 1 + 2)</t>
  </si>
  <si>
    <t>h3) Convenios</t>
  </si>
  <si>
    <t>e. Rectificaciones de Resultados de Ejercicios Anteriores</t>
  </si>
  <si>
    <t>I. Deuda Pública (I=i1+i2+i3+i4+i5+i6+i7)</t>
  </si>
  <si>
    <t>i1) Amortización de la Deuda Pública</t>
  </si>
  <si>
    <t>IIIC. Exceso o Insuficiencia en la Actualización de la Hacienda Pública/Patrimonio (IIIC=a+b)</t>
  </si>
  <si>
    <t>VII. Balance Presupuestario de Recursos Etiquetados (VII = A2 + A3.2 – B2 + C2)</t>
  </si>
  <si>
    <t>i2) Intereses de la Deuda Pública</t>
  </si>
  <si>
    <t>a. Resultado por Posición Monetaria</t>
  </si>
  <si>
    <t>VIII. Balance Presupuestario de Recursos Etiquetados sin Financiamiento Neto (VIII = VII – A3.2)</t>
  </si>
  <si>
    <t>i3) Comisiones de la Deuda Pública</t>
  </si>
  <si>
    <t>b. Resultado por Tenencia de Activos no Monetarios</t>
  </si>
  <si>
    <t>i4) Gastos de la Deuda Pública</t>
  </si>
  <si>
    <t>i5) Costo por Coberturas</t>
  </si>
  <si>
    <t>III. Total Hacienda Pública/Patrimonio (III = IIIA + IIIB + IIIC)</t>
  </si>
  <si>
    <t>i6) Apoyos Financieros</t>
  </si>
  <si>
    <t>i7) Adeudos de Ejercicios Fiscales Anteriores (ADEFAS)</t>
  </si>
  <si>
    <t>2000+3000</t>
  </si>
  <si>
    <t>IV. Total del Pasivo y Hacienda Pública/Patrimonio (IV = II + III)</t>
  </si>
  <si>
    <t>Guía de Cumplimiento de la Ley de Disciplina Financiera de las Entidades Federativas y Municipios</t>
  </si>
  <si>
    <t>Indicadores de Observancia (c)</t>
  </si>
  <si>
    <t>Implementación</t>
  </si>
  <si>
    <t>Resultado</t>
  </si>
  <si>
    <t>Fundamento (h)</t>
  </si>
  <si>
    <t>Comentarios (i)</t>
  </si>
  <si>
    <t>SI</t>
  </si>
  <si>
    <t>NO</t>
  </si>
  <si>
    <t>Mecanismo de Verificación (d)</t>
  </si>
  <si>
    <t xml:space="preserve">Fecha estimada de cumplimiento (e) </t>
  </si>
  <si>
    <t>Monto o valor (f)</t>
  </si>
  <si>
    <t>Unidad (pesos/porcentaje) (g)</t>
  </si>
  <si>
    <t>INDICADORES PRESUPUESTARIOS</t>
  </si>
  <si>
    <t>A. INDICADORES CUANTITATIVOS</t>
  </si>
  <si>
    <t>Balance Presupuestario Sostenible (j)</t>
  </si>
  <si>
    <t>a.</t>
  </si>
  <si>
    <t>Propuesto</t>
  </si>
  <si>
    <t>Iniciativa de Ley de Ingresos y Proyecto de Presupuesto de Egresos</t>
  </si>
  <si>
    <t>pesos</t>
  </si>
  <si>
    <t>Art. 6 y 19 de la LDF</t>
  </si>
  <si>
    <t>b.</t>
  </si>
  <si>
    <t>Ley de Ingresos y Presupuesto de Egresos</t>
  </si>
  <si>
    <t>c.</t>
  </si>
  <si>
    <t>Cuenta Pública / Formato 4 LDF</t>
  </si>
  <si>
    <t>Balance Presupuestario de Recursos Disponibles Sostenible (k)</t>
  </si>
  <si>
    <t>Financiamiento Neto dentro del Techo de Financiamiento Neto (l)</t>
  </si>
  <si>
    <t>N.A.</t>
  </si>
  <si>
    <t xml:space="preserve">Iniciativa de Ley de Ingresos </t>
  </si>
  <si>
    <t>Art. 6, 19 y 46 de la LDF</t>
  </si>
  <si>
    <t>SOLO ES FACULTAD DEL PODER EJECUTIVO</t>
  </si>
  <si>
    <t xml:space="preserve">Ley de Ingresos </t>
  </si>
  <si>
    <t>Recursos destinados a la atención de desastres naturales</t>
  </si>
  <si>
    <t>Asignación al fideicomiso para desastres naturales (m)</t>
  </si>
  <si>
    <t>a.1 Aprobado</t>
  </si>
  <si>
    <t>Reporte Trim. Formato 6 a)</t>
  </si>
  <si>
    <t>Art. 9 de la LDF</t>
  </si>
  <si>
    <t>a.2 Pagado</t>
  </si>
  <si>
    <t>Cuenta Pública / Formato 6 a)</t>
  </si>
  <si>
    <t>Aportación promedio realizada por la Entidad Federativa durante los 5 ejercicios previos, para infraestructura dañada por desastres naturales (n)</t>
  </si>
  <si>
    <t>Autorizaciones de recursos aprobados por el FONDEN</t>
  </si>
  <si>
    <t>Saldo del fideicomiso para desastres naturales (o)</t>
  </si>
  <si>
    <t>Cuenta Pública / Auxiliar de Cuentas</t>
  </si>
  <si>
    <t>d.</t>
  </si>
  <si>
    <t>Costo promedio de los últimos 5 ejercicios de la reconstrucción de infraestructura dañada por desastres naturales (p)</t>
  </si>
  <si>
    <t>Techo para servicios personales (q)</t>
  </si>
  <si>
    <t xml:space="preserve">a. </t>
  </si>
  <si>
    <t>Asignación en el Presupuesto de Egresos</t>
  </si>
  <si>
    <t>Reporte Trim. Formato 6 d)</t>
  </si>
  <si>
    <t>Art. 10 y 21 de la LDF</t>
  </si>
  <si>
    <t xml:space="preserve">b. </t>
  </si>
  <si>
    <t>Art. 13 fracc. V y 21 de la LDF</t>
  </si>
  <si>
    <t xml:space="preserve">Previsiones de gasto para compromisos de pago derivados de APPs (r) </t>
  </si>
  <si>
    <t>Presupuesto de Egresos</t>
  </si>
  <si>
    <t>Art. 11 y 21 de la LDF</t>
  </si>
  <si>
    <t>Techo de ADEFAS para el ejercicio fiscal (s)</t>
  </si>
  <si>
    <t>Proyecto de Presupuesto de Egresos</t>
  </si>
  <si>
    <t>Art. 12 y 20 de la LDF</t>
  </si>
  <si>
    <t>NO SE PRESUPUESTA ESTE CONCEPTO</t>
  </si>
  <si>
    <t>B. INDICADORES CUALITATIVOS</t>
  </si>
  <si>
    <t>Objetivos anuales, estrategias y metas para el ejercicio fiscal (t)</t>
  </si>
  <si>
    <t>Art. 5 y 18 de la LDF</t>
  </si>
  <si>
    <t>Proyecciones de ejercicios posteriores (u)</t>
  </si>
  <si>
    <t>Iniciativa de Ley de Ingresos y Proyecto de Presupuesto de Egresos / Formatos 7 a) y b)</t>
  </si>
  <si>
    <t>Descripción de riesgos relevantes y propuestas de acción para enfrentarlos (v)</t>
  </si>
  <si>
    <t>Resultados de ejercicios fiscales anteriores y el ejercicio fiscal en cuestión (w)</t>
  </si>
  <si>
    <t>Iniciativa de Ley de Ingresos y Proyecto de Presupuesto de Egresos / Formatos 7 c) y d)</t>
  </si>
  <si>
    <t>e.</t>
  </si>
  <si>
    <t>Estudio actuarial de las pensiones de sus trabajadores (x)</t>
  </si>
  <si>
    <t>Proyecto de Presupuesto de Egresos / Formato 8</t>
  </si>
  <si>
    <t>Balance Presupuestario de Recursos Disponibles, en caso de ser negativo</t>
  </si>
  <si>
    <t>Razones excepcionales que justifican el Balance Presupuestario de Recursos Disponibles negativo (y)</t>
  </si>
  <si>
    <t>Iniciativa de Ley de Ingresos o Proyecto de Presupuesto de Egresos</t>
  </si>
  <si>
    <t>SE OBTUVO UN BALANCE PRESUPUESTARIO SOSTENIBLE</t>
  </si>
  <si>
    <t>Fuente de recursos para cubrir el Balance Presupuestario de Recursos Disponibles negativo (z)</t>
  </si>
  <si>
    <t>Número de ejercicios fiscales y acciones necesarias para cubrir el Balance Presupuestario de Recursos Disponibles negativo (aa)</t>
  </si>
  <si>
    <t>Informes Trimestrales sobre el avance de las acciones para recuperar el Balance Presupuestario de Recursos Disponibles (bb)</t>
  </si>
  <si>
    <t>Reporte Trim. y Cuenta Pública</t>
  </si>
  <si>
    <t>Servicios Personales</t>
  </si>
  <si>
    <t>Remuneraciones de los servidores públicos (cc)</t>
  </si>
  <si>
    <t>Proyecto de Presupuesto</t>
  </si>
  <si>
    <t>Previsiones salariales y económicas para cubrir incrementos salariales, creación de plazas y otros (dd)</t>
  </si>
  <si>
    <t>INDICADORES DEL EJERCICIO PRESUPUESTARIO</t>
  </si>
  <si>
    <t>Ingresos Excedentes derivados de Ingresos de Libre Disposición</t>
  </si>
  <si>
    <t>Monto de Ingresos Excedentes derivados de ILD (ee)</t>
  </si>
  <si>
    <t xml:space="preserve">Cuenta Pública / Formato 5 </t>
  </si>
  <si>
    <t>Art. 14 y 21 de la LDF</t>
  </si>
  <si>
    <t>Monto de Ingresos Excedentes derivados de ILD destinados al fin del A.14, fracción I de la LDF (ff)</t>
  </si>
  <si>
    <t>Cuenta Pública</t>
  </si>
  <si>
    <t>NO HAY AMORTIZACIÓN ANTICIPADA DE LA DEUDA PÚBLICA, EL PAGO DE ADEUDOS DE EJERCICIOS FISCALES ANTERIORES, PASIVOS CIRCULANTES Y OTRAS OBLIGACIONES, EN CUYOS CONTRATOS SE HAYA PACTADO EL PAGO ANTICIPADO SIN INCURRIR EN PENALIDADES Y REPRESENTEN UNA DISMINUCIÓN DEL SALDO REGISTRADO EN LA CUENTA PÚBLICA DEL CIERRE DEL EJERCICIO INMEDIATO ANTERIOR, ASÍ COMO EL PAGO DE SENTENCIAS DEFINITIVAS EMITIDAS POR LA AUTORIDAD COMPETENTE, LA APORTACIÓN A FONDOS PARA LA ATENCIÓN DE DESASTRES NATURALES Y DE PENSIONES</t>
  </si>
  <si>
    <t>Monto de Ingresos Excedentes derivados de ILD destinados al fin del A.14, fracción II, a) de la LDF (gg)</t>
  </si>
  <si>
    <t>NO HAY INVERSIÓN PÚBLICA PRODUCTIVA, A TRAVÉS DE UN FONDO QUE SE CONSTITUYA PARA TAL EFECTO, CON EL FIN DE QUE LOS RECURSOS CORRESPONDIENTES SE EJERZAN A MÁS TARDAR EN EL EJERCICIO INMEDIATO SIGUIENTE</t>
  </si>
  <si>
    <t>Monto de Ingresos Excedentes derivados de ILD destinados al fin del A.14, fracción II, b) de la LDF (hh)</t>
  </si>
  <si>
    <t>HAY LA CREACIÓN DE UN FONDO CUYO OBJETIVO SEA COMPENSAR LA CAÍDA DE INGRESOS DE LIBRE DISPOSICIÓN DE EJERCICIOS SUBSECUENTES.</t>
  </si>
  <si>
    <t>Monto de Ingresos Excedentes derivados de ILD destinados al fin del artículo noveno transitorio de la LDF (ii)</t>
  </si>
  <si>
    <t>Art. Noveno Transitorio de la LDF</t>
  </si>
  <si>
    <t>NO HAY BALANCE PRESUPUESTARIO DE RECURSOS DISPONIBLES NEGATIVO DE EJERCICIOS ANTERIORES</t>
  </si>
  <si>
    <t>Análisis Costo-Beneficio para programas o proyectos de inversión mayores a 10 millones de UDIS (jj)</t>
  </si>
  <si>
    <t>Página de internet de la Secretaría de Finanzas o Tesorería Municipal</t>
  </si>
  <si>
    <t>Art. 13 frac. III y 21 de la LDF</t>
  </si>
  <si>
    <t>Análisis de conveniencia y análisis de transferencia de riesgos de los proyectos APPs (kk)</t>
  </si>
  <si>
    <t>Identificación de población objetivo, destino y temporalidad de subsidios (ll)</t>
  </si>
  <si>
    <t>Art. 13 frac. VII y 21 de la LDF</t>
  </si>
  <si>
    <t>INDICADORES DE DEUDA PÚBLICA</t>
  </si>
  <si>
    <t>Límite de Obligaciones a Corto Plazo (mm)</t>
  </si>
  <si>
    <t>Art. 30 frac. I de la LDF</t>
  </si>
  <si>
    <t>NO HAY NECESIDAD PARA UNA OBLIGACION A CORTO PLAZO</t>
  </si>
  <si>
    <t>Obligaciones a Corto Plazo (nn)</t>
  </si>
  <si>
    <t>Ejercicio:</t>
  </si>
  <si>
    <t>*   1.1.6    Ventas de Bienes y Servicios</t>
  </si>
  <si>
    <t>3612</t>
  </si>
  <si>
    <t>*  INGRESOS DE GESTION</t>
  </si>
  <si>
    <t>*     1251     Software</t>
  </si>
  <si>
    <t>*     1273     Gastos Pagados por A</t>
  </si>
  <si>
    <t>***   4100     Ingresos de Gestión</t>
  </si>
  <si>
    <t>**    4170     Ing. x Venta de Bien</t>
  </si>
  <si>
    <t>*     4173     Ing. por venta de b/</t>
  </si>
  <si>
    <t>*     5132     Servicios de Arrenda</t>
  </si>
  <si>
    <t xml:space="preserve">    914146  Inversión Pública</t>
  </si>
  <si>
    <t>Flujo</t>
  </si>
  <si>
    <t>PERIODO ACTUAL</t>
  </si>
  <si>
    <t>PERIODO ANTERIOR</t>
  </si>
  <si>
    <t>2017C</t>
  </si>
  <si>
    <t>2017A</t>
  </si>
  <si>
    <t>2017</t>
  </si>
  <si>
    <t>SALDO FINAL
(D) = (A)+(B)-(C)</t>
  </si>
  <si>
    <t>VARIACIÓN DEL PERIODO
(E) = (D)-(A)</t>
  </si>
  <si>
    <t>CARGOS DEL PERIODO 
(B)</t>
  </si>
  <si>
    <t>ABONOS DEL PERIODO 
(C)</t>
  </si>
  <si>
    <t>DEUDA CONTINGENTE</t>
  </si>
  <si>
    <t>Aprovechamientos no comprendidos en las fracciones de la Ley de Ingresos causadas en ejercicios fiscales anteriores pendientes de liquidación o pago</t>
  </si>
  <si>
    <t>Programa presupuestario
(1)</t>
  </si>
  <si>
    <t>Eje o línea estratégica
(7)</t>
  </si>
  <si>
    <t>Objetivo
(8)</t>
  </si>
  <si>
    <t>Estrategia
(9)</t>
  </si>
  <si>
    <t>Acciones
(10)</t>
  </si>
  <si>
    <t>F
(11)</t>
  </si>
  <si>
    <t>FN
(12)</t>
  </si>
  <si>
    <t>SF
(13)</t>
  </si>
  <si>
    <t>PP
(14)</t>
  </si>
  <si>
    <t>UR
(15)</t>
  </si>
  <si>
    <t>Indicador
(16)</t>
  </si>
  <si>
    <t>Fórmula de cálculo
(17)</t>
  </si>
  <si>
    <t>Dimensión
(19)</t>
  </si>
  <si>
    <t>Frecuencia de Medición
(20)</t>
  </si>
  <si>
    <t>Línea base
(21)</t>
  </si>
  <si>
    <t>Meta Programada
(22)</t>
  </si>
  <si>
    <t>Meta Modificada
(23)</t>
  </si>
  <si>
    <t>Meta alcanzada
(24)</t>
  </si>
  <si>
    <t>Alvance/ Programado
(25)</t>
  </si>
  <si>
    <t>Avance/ Modificado 
(26)</t>
  </si>
  <si>
    <t xml:space="preserve"> Medios de verificación
(27)</t>
  </si>
  <si>
    <t>Supuestos
(28)</t>
  </si>
  <si>
    <t>Presupuesto aprobado
(29)</t>
  </si>
  <si>
    <t>Presupuesto Modificado
(30)</t>
  </si>
  <si>
    <t>Presupuesto Devengado
(31)</t>
  </si>
  <si>
    <t>Devengado / Aprobado
(32)</t>
  </si>
  <si>
    <t xml:space="preserve"> Avance Devengado / Modificado
(33)</t>
  </si>
  <si>
    <t>Fin
(3)</t>
  </si>
  <si>
    <t>Propósito
(4)</t>
  </si>
  <si>
    <t>(5)</t>
  </si>
  <si>
    <t>(6)</t>
  </si>
  <si>
    <t>Nombre del Ente Público
RELACIÓN DE BIENES ARQUEOLÓGICOS, ARTÍSTICOS E HISTÓRICOS
AL XXX DE 2017</t>
  </si>
  <si>
    <t>Clasificación del Bien</t>
  </si>
  <si>
    <t>Nombre del Ente Público
RELACIÓN DE BIENES SIN VALOR EN CONTABILIDAD
AL XXX DE 2017</t>
  </si>
  <si>
    <t>Nombre de ente público
BALANZA DE COMPROBACIÓN
DEL XXX AL XXX DE 2017</t>
  </si>
  <si>
    <t>Nombre del Ente Público
MONTOS PAGADOS POR AYUDAS Y SUBSIDIOS
TRIMESTRE XXXX DEL 2017</t>
  </si>
  <si>
    <t>Nombre del Ente Público
RELACIÓN DE CUENTAS BANCARIAS PRODUCTIVAS
AL XXX DE 2017</t>
  </si>
  <si>
    <t>Nombre del Ente Público
DESTINO Y GASTO FEDERALIZADO
DEL 1 DE ENERO AL XXX DE 2017</t>
  </si>
  <si>
    <t>No etiquetado</t>
  </si>
  <si>
    <t>Financiamientos Internos</t>
  </si>
  <si>
    <t>Etiquetado</t>
  </si>
  <si>
    <t>Otros Recursos LD</t>
  </si>
  <si>
    <t>Otros Recursos TFE</t>
  </si>
  <si>
    <t>NOMBRE DEL ENTE PÚBLICO (a)
Estado de Situación Financiera Detallado - LDF
Al 31 de diciembre de 20XN-1 y al XX de XXXX de 20XN (b)
(PESOS)</t>
  </si>
  <si>
    <t>20XN (d)</t>
  </si>
  <si>
    <t>31 de diciembre de 20XN-1 (e)</t>
  </si>
  <si>
    <t>IIIC. Exceso o Insuficiencia en la Actualización de la Hacienda Pública/Patrimonio (IIIC = a + b)</t>
  </si>
  <si>
    <t>NOMBRE DEL ENTE PUBLICO (a)
Informe Analítico de la Deuda Pública y Otros Pasivos - LDF
Del 1 de enero al XX de XXXX de 20XN (b)
(PESOS)</t>
  </si>
  <si>
    <t>Denominación de la Deuda Pública y Otros Pasivos (c)</t>
  </si>
  <si>
    <t>Saldo al 31 de diciembre de 20XN-1 (d)</t>
  </si>
  <si>
    <t>Disposiciones del Periodo (e)</t>
  </si>
  <si>
    <t>Amortizaciones del Periodo (f)</t>
  </si>
  <si>
    <t>Revaluaciones, Reclasificaciones y Otros Ajustes (g)</t>
  </si>
  <si>
    <t>Saldo Final del Periodo (h)
h=d+e-f+g</t>
  </si>
  <si>
    <t>Pago de Intereses del Periodo (i)</t>
  </si>
  <si>
    <t>Pago de Comisiones y demás costos asociados durante el Periodo (j)</t>
  </si>
  <si>
    <r>
      <t xml:space="preserve">4. Deuda Contingente </t>
    </r>
    <r>
      <rPr>
        <b/>
        <vertAlign val="superscript"/>
        <sz val="8"/>
        <color theme="1"/>
        <rFont val="Arial"/>
        <family val="2"/>
      </rPr>
      <t>1</t>
    </r>
    <r>
      <rPr>
        <b/>
        <sz val="8"/>
        <color theme="1"/>
        <rFont val="Arial"/>
        <family val="2"/>
      </rPr>
      <t xml:space="preserve"> (informativo)</t>
    </r>
  </si>
  <si>
    <r>
      <t xml:space="preserve">5. Valor de Instrumentos Bono Cupón Cero </t>
    </r>
    <r>
      <rPr>
        <b/>
        <vertAlign val="superscript"/>
        <sz val="8"/>
        <color theme="1"/>
        <rFont val="Arial"/>
        <family val="2"/>
      </rPr>
      <t>2</t>
    </r>
    <r>
      <rPr>
        <b/>
        <sz val="8"/>
        <color theme="1"/>
        <rFont val="Arial"/>
        <family val="2"/>
      </rPr>
      <t xml:space="preserve"> (Informativo)</t>
    </r>
  </si>
  <si>
    <t>Obligaciones a Corto Plazo (k)</t>
  </si>
  <si>
    <t>Monto Contratado</t>
  </si>
  <si>
    <t>Plazo Pactado</t>
  </si>
  <si>
    <t>NOMBRE DEL ENTE PÚBLICO (a)
Informe Analítico de Obligaciones Diferentes de Financiamientos – LDF
Del 1 de enero al XX de XXXX de 20XN (b)
(PESOS)</t>
  </si>
  <si>
    <t>Denominación de las Obligaciones Diferentes de Financiamiento (c)</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</si>
  <si>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</si>
  <si>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</si>
  <si>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</si>
  <si>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</si>
  <si>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</si>
  <si>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</si>
  <si>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</si>
  <si>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Monto pagado de la inversión al XX de XXXX de 20XN (k)</t>
  </si>
  <si>
    <t>Monto pagado de la inversión actualizado al XX de XXXX de 20XN (l)</t>
  </si>
  <si>
    <t>Saldo pendiente por pagar de la inversión al XX de XXXX de 20XN (m = g – l)</t>
  </si>
  <si>
    <t>NOMBRE DEL ENTE PÚBLICO (a)
Balance Presupuestario - LDF
Del 1 de enero al XX de XXXX de 20XN (b)
(PESOS)</t>
  </si>
  <si>
    <t>Estimado/ Aprobado (d)</t>
  </si>
  <si>
    <t xml:space="preserve">Recaudado/ Pagado </t>
  </si>
  <si>
    <r>
      <t>B. Egresos Presupuestarios</t>
    </r>
    <r>
      <rPr>
        <b/>
        <vertAlign val="superscript"/>
        <sz val="8"/>
        <color theme="1"/>
        <rFont val="Arial"/>
        <family val="2"/>
      </rPr>
      <t>1</t>
    </r>
    <r>
      <rPr>
        <b/>
        <sz val="8"/>
        <color theme="1"/>
        <rFont val="Arial"/>
        <family val="2"/>
      </rPr>
      <t xml:space="preserve"> (B = B1+B2)</t>
    </r>
  </si>
  <si>
    <t>NOMBRE DEL ENTE PÚBLICO (a)
Estado Analítico de Ingresos Detallado - LDF
Del 1 de enero al XX de XXXX de 20XN (b)
(PESOS)</t>
  </si>
  <si>
    <t>Estimado (d)</t>
  </si>
  <si>
    <t>Ampliaciones/ (Reducciones)</t>
  </si>
  <si>
    <t>Diferencia (e)</t>
  </si>
  <si>
    <t>A. Ingresos Derivados de Financiamientos</t>
  </si>
  <si>
    <t>Estado Analítico del Ejercicio del Presupuesto de Egresos Detallado - LDF
Clasificación por Objeto del Gasto (Capítulo y Concepto)
Del 1 de enero al XX de XXXX de 20XN (b)
(PESOS)</t>
  </si>
  <si>
    <t>Aprobado (d)</t>
  </si>
  <si>
    <t xml:space="preserve">Ampliaciones/ (Reducciones) </t>
  </si>
  <si>
    <t>Subejercicio (e)</t>
  </si>
  <si>
    <t>NOMBRE DEL ENTE PÚBLICO (a)
Estado Analítico del Ejercicio del Presupuesto de Egresos Detallado - LDF
Clasificación Administrativa
Del 1 de enero al XX de XXXX de 20XN (b)
(PESOS)</t>
  </si>
  <si>
    <t>Subejercicio ( e)</t>
  </si>
  <si>
    <t>I. Gasto No Etiquetado</t>
  </si>
  <si>
    <t>(I=A+B+C+D+E+F+G+H)</t>
  </si>
  <si>
    <t>II. Gasto Etiquetado</t>
  </si>
  <si>
    <t>(II=A+B+C+D+E+F+G+H)</t>
  </si>
  <si>
    <t>NOMBRE DEL ENTE PÚBLICO (a)
Estado Analítico del Ejercicio del Presupuesto de Egresos Detallado - LDF
Clasificación Funcional (Finalidad y Función)
Del 1 de enero Al XX de XXXX de 20XN (b)
(PESOS)</t>
  </si>
  <si>
    <t>II. Gasto Etiquetado (II=A+B+C+D)</t>
  </si>
  <si>
    <t>NOMBRE DEL ENTE PÚBLICO (a)
Estado Analítico del Ejercicio del Presupuesto de Egresos Detallado - LDF
Clasificación de Servicios Personales por Categoría
Del 1 de enero al XX de XXXX de 20XN (b)
(PESOS)</t>
  </si>
  <si>
    <t xml:space="preserve">Devengado </t>
  </si>
  <si>
    <t>NOMBRE DEL ENTE PÚBLICO (a)
Guía de Cumplimiento de la Ley de Disciplina Financiera de las Entidades Federativas y Municipios
Del 1 de enero al 31 de diciembre de 20XN (b)</t>
  </si>
  <si>
    <t>Implementación
   SI                                         NO</t>
  </si>
  <si>
    <t>Indicadores de Observancia</t>
  </si>
  <si>
    <t xml:space="preserve">Unidad (pesos/porcentaje) (g) </t>
  </si>
  <si>
    <t>1 Balance Presupuestario Sostenible (j)</t>
  </si>
  <si>
    <t>a. Propuesto</t>
  </si>
  <si>
    <t>Pesos</t>
  </si>
  <si>
    <t>b. Aprobado</t>
  </si>
  <si>
    <t>c. Ejercido</t>
  </si>
  <si>
    <t>2 Balance Presupuestario de Recursos Disponibles Sostenible (k)</t>
  </si>
  <si>
    <t>3 Financiamiento Neto dentro del Techo de Financiamiento Neto (l)</t>
  </si>
  <si>
    <t>Iniciativa de Ley de Ingresos</t>
  </si>
  <si>
    <t>Ley de Ingresos</t>
  </si>
  <si>
    <t>4 Recursos destinados a la atención de desastres naturales</t>
  </si>
  <si>
    <t>a. Asignación al fideicomiso para desastres naturales (m)</t>
  </si>
  <si>
    <t>a. 1 Aprobado</t>
  </si>
  <si>
    <t>Art. 9 LDF</t>
  </si>
  <si>
    <t>a. 2 Pagado</t>
  </si>
  <si>
    <t>b. Aportación promedio realizada por la Entidad Federativa durante los 5 ejercicios previos, para infraestructura dañada por desastres naturales (n)</t>
  </si>
  <si>
    <t>c. Saldo del fideicomiso para desastres naturales (o)</t>
  </si>
  <si>
    <t>d. Costo promedio de los últimos 5 ejercicios de la reconstrucción de infraestructura dañada por desastres naturales (p)</t>
  </si>
  <si>
    <t>5 Techo para servicios personales (q)</t>
  </si>
  <si>
    <t>a. Asignación en el Presupuesto de Egresos</t>
  </si>
  <si>
    <t>b. Ejercido</t>
  </si>
  <si>
    <t>6 Previsiones de gasto para compromisos de pago derivados de APPs (r)</t>
  </si>
  <si>
    <t>7 Techo de ADEFAS para el ejercicio fiscal (s)</t>
  </si>
  <si>
    <t>b. Aprobadob.</t>
  </si>
  <si>
    <t>1 Iniciativa de Ley de Ingresos y Proyecto de Presupuesto de Egresos</t>
  </si>
  <si>
    <t>a. Objetivos anuales, estrategias y metas para el ejercicio fiscal (t)</t>
  </si>
  <si>
    <t>b. Proyecciones de ejercicios posteriores (u)</t>
  </si>
  <si>
    <t>c. Descripción de riesgos relevantes y propuestas de acción para enfrentarlos (v)</t>
  </si>
  <si>
    <t>d. Resultados de ejercicios fiscales anteriores y el ejercicio fiscal en cuestión (w)</t>
  </si>
  <si>
    <t>e. Estudio actuarial de las pensiones de sus trabajadores (x)</t>
  </si>
  <si>
    <t>2 Balance Presupuestario de Recursos Disponibles, en caso de ser negativo</t>
  </si>
  <si>
    <t>a. Razones excepcionales que justifican el Balance Presupuestario de Recursos Disponibles negativo (y)</t>
  </si>
  <si>
    <t>b. Fuente de recursos para cubrir el Balance Presupuestario de Recursos Disponibles negativo (z)</t>
  </si>
  <si>
    <t>c. Número de ejercicios fiscales y acciones necesarias para cubrir el Balance Presupuestario de Recursos Disponibles negativo (aa)</t>
  </si>
  <si>
    <t>d. Informes Trimestrales sobre el avance de las acciones para recuperar el Balance Presupuestario de Recursos Disponibles (bb)</t>
  </si>
  <si>
    <t>3 Servicios Personales</t>
  </si>
  <si>
    <t>a. Remuneraciones de los servidores públicos (cc)</t>
  </si>
  <si>
    <t>b. Previsiones salariales y económicas para cubrir incrementos salariales, creación de plazas y otros (dd)</t>
  </si>
  <si>
    <t>1 Ingresos Excedentes derivados de Ingresos de Libre Disposición</t>
  </si>
  <si>
    <t>a. Monto de Ingresos Excedentes derivados de ILD (ee)</t>
  </si>
  <si>
    <t>b. Monto de Ingresos Excedentes derivados de ILD destinados al fin del A.14, fracción I de la LDF (ff)</t>
  </si>
  <si>
    <t>c. Monto de Ingresos Excedentes derivados de ILD destinados al fin del A.14, fracción II, a) de la LDF (gg)</t>
  </si>
  <si>
    <t>d. Monto de Ingresos Excedentes derivados de ILD destinados al fin del A.14, fracción II, b) de la LDF (hh)</t>
  </si>
  <si>
    <t>e. Monto de Ingresos Excedentes derivados de ILD destinados al fin del artículo noveno transitorio de la LDF (ii)</t>
  </si>
  <si>
    <t>1 Análisis Costo-Beneficio para programas o proyectos de inversión mayores a 10 millones de UDIS (jj)</t>
  </si>
  <si>
    <t>2 Análisis de conveniencia y análisis de transferencia de riesgos de los proyectos APPs (kk)</t>
  </si>
  <si>
    <t>3 Identificación de población objetivo, destino y temporalidad de subsidios (ll)</t>
  </si>
  <si>
    <t>1 Obligaciones a Corto Plazo</t>
  </si>
  <si>
    <t>a. Límite de Obligaciones a Corto Plazo (mm)</t>
  </si>
  <si>
    <t>b. Obligaciones a Corto Plazo (nn)</t>
  </si>
  <si>
    <t>Denominación de la Deuda Pública y Otros Pasivos 
(c)</t>
  </si>
  <si>
    <t>Disposiciones del Periodo 
(e)</t>
  </si>
  <si>
    <t>Amortizaciones del Periodo
 (f)</t>
  </si>
  <si>
    <t>Revaluaciones, Reclasificaciones y Otros Ajustes 
(g)</t>
  </si>
  <si>
    <t>Saldo Final del Periodo 
(h)
h=d+e-f+g</t>
  </si>
  <si>
    <t>Pago de Intereses del Periodo 
(i)</t>
  </si>
  <si>
    <t>Pago de Comisiones y demás costos asociados durante el Periodo
 (j)</t>
  </si>
  <si>
    <t>Ej. Ant.:</t>
  </si>
  <si>
    <t>SI Anual</t>
  </si>
  <si>
    <t>Cargos</t>
  </si>
  <si>
    <t>Abonos</t>
  </si>
  <si>
    <t>SF Anual</t>
  </si>
  <si>
    <t>***** Balance</t>
  </si>
  <si>
    <t>***** Actividades</t>
  </si>
  <si>
    <t>914147</t>
  </si>
  <si>
    <t>1/1.1.8/914147  Invers. Financieras</t>
  </si>
  <si>
    <t>Resumen Narrativo
(2)</t>
  </si>
  <si>
    <t>Tipo de Fórmula
(18)</t>
  </si>
  <si>
    <t xml:space="preserve">  111200101  BANCO BAJIO 13345310</t>
  </si>
  <si>
    <t xml:space="preserve">  111200102  BANCO BAJIO IJA13345</t>
  </si>
  <si>
    <t xml:space="preserve">  111200301  BANORTE 0802466073</t>
  </si>
  <si>
    <t xml:space="preserve">  111200302  BANORTE 0807795059</t>
  </si>
  <si>
    <t xml:space="preserve">  111200303  BANORTE 0833 9869 13</t>
  </si>
  <si>
    <t xml:space="preserve">  111200401  Banregio177995760018</t>
  </si>
  <si>
    <t xml:space="preserve">  111200402  Banregio177987230018</t>
  </si>
  <si>
    <t xml:space="preserve">  111200403  Banregio177979880011</t>
  </si>
  <si>
    <t xml:space="preserve">  111200501  Bancomer 0199121889</t>
  </si>
  <si>
    <t xml:space="preserve">  111500101  Bajio111598110101 PL</t>
  </si>
  <si>
    <t xml:space="preserve">  112200001  Ministraciones</t>
  </si>
  <si>
    <t xml:space="preserve">  112200002  Subsidio al Empleo</t>
  </si>
  <si>
    <t xml:space="preserve">  112200003  Cuentas por Cobrar IJA</t>
  </si>
  <si>
    <t xml:space="preserve">  112300001  Funcionarios y empl</t>
  </si>
  <si>
    <t xml:space="preserve">  112300003  Gastos por Comprobar</t>
  </si>
  <si>
    <t xml:space="preserve">  112300006  Impuesto a Cargo Tra</t>
  </si>
  <si>
    <t xml:space="preserve">  112500001  Fondo Fijo</t>
  </si>
  <si>
    <t xml:space="preserve">  112900001  Otros deudores</t>
  </si>
  <si>
    <t xml:space="preserve">  113100001  Ant Prov Serv C P</t>
  </si>
  <si>
    <t xml:space="preserve">  113200001  Ant Prov Ad BM  C P</t>
  </si>
  <si>
    <t xml:space="preserve">  124115111  Muebles de oficina y</t>
  </si>
  <si>
    <t xml:space="preserve">  124135151  Computadoras</t>
  </si>
  <si>
    <t xml:space="preserve">  124195191  Otros mob y equipo a</t>
  </si>
  <si>
    <t xml:space="preserve">  124415411  Automóviles y camiones</t>
  </si>
  <si>
    <t xml:space="preserve">  124615611  Maquinaria y equipo</t>
  </si>
  <si>
    <t xml:space="preserve">  124655651  Eq Comunicación</t>
  </si>
  <si>
    <t xml:space="preserve">  124655661  Eq d Gener Eléctrica</t>
  </si>
  <si>
    <t xml:space="preserve">  124715133  Otros bienes artísti</t>
  </si>
  <si>
    <t xml:space="preserve">  125105911  Software</t>
  </si>
  <si>
    <t xml:space="preserve">  125215971  Licencias informatic</t>
  </si>
  <si>
    <t xml:space="preserve">  125215972  Licencias informatic</t>
  </si>
  <si>
    <t xml:space="preserve">  126305111  Muebles de oficina</t>
  </si>
  <si>
    <t xml:space="preserve">  126305133  Otros bienes artísti</t>
  </si>
  <si>
    <t xml:space="preserve">  126305151  Computadoras</t>
  </si>
  <si>
    <t xml:space="preserve">  126305191  Otros mob y equipo a</t>
  </si>
  <si>
    <t xml:space="preserve">  126305411  Automóviles y camiones</t>
  </si>
  <si>
    <t xml:space="preserve">  126305611  Maquinaria y equipo</t>
  </si>
  <si>
    <t xml:space="preserve">  126305651  Eq Comunicación</t>
  </si>
  <si>
    <t xml:space="preserve">  126305661  DA Eq Gen. Eléctrica</t>
  </si>
  <si>
    <t xml:space="preserve">  126305662  DA Equipo de Generac</t>
  </si>
  <si>
    <t xml:space="preserve">  127300001  GTO. POR ADELANTADO</t>
  </si>
  <si>
    <t xml:space="preserve">  211100001  SUELDOS POR PAGAR</t>
  </si>
  <si>
    <t xml:space="preserve">  211100002  Sueldos Dev. CH</t>
  </si>
  <si>
    <t xml:space="preserve">  211100131  PASIVOS CAP. 1000</t>
  </si>
  <si>
    <t xml:space="preserve">  211100141  Pasi C 1000 Cie 2014</t>
  </si>
  <si>
    <t xml:space="preserve">  211100151  PASIVOS CAP. 1000</t>
  </si>
  <si>
    <t xml:space="preserve">  211200001  Prov por pagar CP</t>
  </si>
  <si>
    <t xml:space="preserve">  211200113  PASIVOS CAP. 3000</t>
  </si>
  <si>
    <t xml:space="preserve">  211200122  PASIVOS CAP. 2000</t>
  </si>
  <si>
    <t xml:space="preserve">  211200123  PASIVOS CAP. 3000</t>
  </si>
  <si>
    <t xml:space="preserve">  211200133  PASIVOS CAP. 3000</t>
  </si>
  <si>
    <t xml:space="preserve">  211200135  PASIVOS CAP. 5000</t>
  </si>
  <si>
    <t xml:space="preserve">  211200142  Pasi C 2000 Cie 2014</t>
  </si>
  <si>
    <t xml:space="preserve">  211200143  Pasi C 3000 Cie 2014</t>
  </si>
  <si>
    <t xml:space="preserve">  211200153  Pasi C 3000 Cie 2015</t>
  </si>
  <si>
    <t xml:space="preserve">  211200162  PASIVOS CAP. 2000</t>
  </si>
  <si>
    <t xml:space="preserve">  211200163  Pasi C 3000 Cie 2016</t>
  </si>
  <si>
    <t xml:space="preserve">  211700001  Isseg Trab.</t>
  </si>
  <si>
    <t xml:space="preserve">  211700002  Isste Trab.</t>
  </si>
  <si>
    <t xml:space="preserve">  211700004  GUARDERIAS</t>
  </si>
  <si>
    <t xml:space="preserve">  211700009  CxP GEG Issste</t>
  </si>
  <si>
    <t xml:space="preserve">  211700011  Isseg Patr.</t>
  </si>
  <si>
    <t xml:space="preserve">  211700101  RETENCIÓN ISPT</t>
  </si>
  <si>
    <t xml:space="preserve">  211700102  Ret. Hon.</t>
  </si>
  <si>
    <t xml:space="preserve">  211700103  Ret. Hon. Puro</t>
  </si>
  <si>
    <t xml:space="preserve">  211700104  RETENCIÓN ISR ARREND.</t>
  </si>
  <si>
    <t xml:space="preserve">  211700109  Ret. Imp. Cedular</t>
  </si>
  <si>
    <t xml:space="preserve">  211700110  IMPUESTO DE NOMINA</t>
  </si>
  <si>
    <t xml:space="preserve">  211700201  ASEGURADORAS</t>
  </si>
  <si>
    <t xml:space="preserve">  211700203  Deducción Voluntaria</t>
  </si>
  <si>
    <t xml:space="preserve">  211700302  TIENDA DEPARTAMENTAL</t>
  </si>
  <si>
    <t xml:space="preserve">  211700303  ISSEG</t>
  </si>
  <si>
    <t xml:space="preserve">  211700309  MUEBLERIAS</t>
  </si>
  <si>
    <t xml:space="preserve">  211700314  GTO. DE ADMON. 2.5%</t>
  </si>
  <si>
    <t xml:space="preserve">  211700316  Serv. Medicos</t>
  </si>
  <si>
    <t xml:space="preserve">  211700317  Financiera</t>
  </si>
  <si>
    <t xml:space="preserve">  211700401  IVEG/COVEG</t>
  </si>
  <si>
    <t xml:space="preserve">  211700902  Embargo de Sueldo</t>
  </si>
  <si>
    <t xml:space="preserve">  211900001  Otras ctas pagar CP</t>
  </si>
  <si>
    <t xml:space="preserve">  211900020  IMPTO FAVOR TRABAJ</t>
  </si>
  <si>
    <t xml:space="preserve">  211900053  CXP GEG POR RECTIFIC</t>
  </si>
  <si>
    <t xml:space="preserve">  211900054  CXP GEG POR REMANENTES</t>
  </si>
  <si>
    <t xml:space="preserve">  211900056  CXP GEG SIN SUELDO</t>
  </si>
  <si>
    <t xml:space="preserve">  211900100  Calculo por aplicar</t>
  </si>
  <si>
    <t xml:space="preserve">  215900001  Ingreso Diferido</t>
  </si>
  <si>
    <t xml:space="preserve">  226900001  Prov para Pasi Labo</t>
  </si>
  <si>
    <t xml:space="preserve">  311009105  Bienes Muebles Inmue</t>
  </si>
  <si>
    <t xml:space="preserve">  311009115  BIENES MUEBLES AA</t>
  </si>
  <si>
    <t xml:space="preserve">  311009999  Baja AF</t>
  </si>
  <si>
    <t xml:space="preserve">  322000005  RES. DEL EJERC. 2005</t>
  </si>
  <si>
    <t xml:space="preserve">  322000006  RES. DEL EJERC. 2006</t>
  </si>
  <si>
    <t xml:space="preserve">  322000007  RES. DEL EJERC. 2007</t>
  </si>
  <si>
    <t xml:space="preserve">  322000008  RES. DEL EJERC. 2008</t>
  </si>
  <si>
    <t xml:space="preserve">  322000009  RES. DEL EJERC. 2009</t>
  </si>
  <si>
    <t xml:space="preserve">  322000010  RES. DEL EJERC. 2010</t>
  </si>
  <si>
    <t xml:space="preserve">  322000011  RES. DEL EJERC. 2011</t>
  </si>
  <si>
    <t xml:space="preserve">  322000012  RES. DEL EJERC. 2012</t>
  </si>
  <si>
    <t xml:space="preserve">  322000013  RES. DEL EJERC. 2013</t>
  </si>
  <si>
    <t xml:space="preserve">  322000014  RES. DEL EJERC. 2014</t>
  </si>
  <si>
    <t xml:space="preserve">  322000015  RES. DEL EJERC. 2015</t>
  </si>
  <si>
    <t xml:space="preserve">  322000016  RES. DEL EJERC. 2016</t>
  </si>
  <si>
    <t xml:space="preserve">  322000100  APLICACION DE REMANE</t>
  </si>
  <si>
    <t xml:space="preserve">  322000101  REMANENTE CAPITALIZADO</t>
  </si>
  <si>
    <t xml:space="preserve">  322001000  CAPITALIZACIÓN</t>
  </si>
  <si>
    <t xml:space="preserve">  417207101  CURSOS</t>
  </si>
  <si>
    <t xml:space="preserve">  417207102  MATERIAL DIDÁCTICO</t>
  </si>
  <si>
    <t xml:space="preserve">  417207114  OTROS INGRESOS</t>
  </si>
  <si>
    <t xml:space="preserve">  417207115  Estimulo Fiscal</t>
  </si>
  <si>
    <t xml:space="preserve">  417307101  CURSOS</t>
  </si>
  <si>
    <t xml:space="preserve">  417307102  MATERIAL DIDÁCTICO</t>
  </si>
  <si>
    <t xml:space="preserve">  417307114  OTROS INGRESOS</t>
  </si>
  <si>
    <t xml:space="preserve">  417307115  Estimulo Fiscal</t>
  </si>
  <si>
    <t xml:space="preserve">  422109101  Servicios Personales</t>
  </si>
  <si>
    <t xml:space="preserve">  422109102  Mat y Suministros</t>
  </si>
  <si>
    <t xml:space="preserve">  422109103  Servicios Generales</t>
  </si>
  <si>
    <t xml:space="preserve">  422109104  Ayudas</t>
  </si>
  <si>
    <t xml:space="preserve">  422109107  Inv. Financieras</t>
  </si>
  <si>
    <t xml:space="preserve">  511101131  Sueldos Base</t>
  </si>
  <si>
    <t xml:space="preserve">  511201211  Honorarios</t>
  </si>
  <si>
    <t xml:space="preserve">  511201212  Honorarios asimilados</t>
  </si>
  <si>
    <t xml:space="preserve">  511301311  Prima quinquenal</t>
  </si>
  <si>
    <t xml:space="preserve">  511301321  Prima Vacacional</t>
  </si>
  <si>
    <t xml:space="preserve">  511301323  Gratif fin de año</t>
  </si>
  <si>
    <t xml:space="preserve">  511301342  Compens Servicios</t>
  </si>
  <si>
    <t xml:space="preserve">  511401411  Aportaciones al ISSEG</t>
  </si>
  <si>
    <t xml:space="preserve">  511401412  Cuotas al ISSSTE</t>
  </si>
  <si>
    <t xml:space="preserve">  511401441  Seguros</t>
  </si>
  <si>
    <t xml:space="preserve">  511501531  Prestaciones de retiro</t>
  </si>
  <si>
    <t xml:space="preserve">  511501541  Prestaciones CGT</t>
  </si>
  <si>
    <t xml:space="preserve">  511501551  Capacitación de SP</t>
  </si>
  <si>
    <t xml:space="preserve">  511501591  Asign Adic sueldo</t>
  </si>
  <si>
    <t xml:space="preserve">  511501592  Otras prestaciones</t>
  </si>
  <si>
    <t xml:space="preserve">  511601711  Estímulos prod y efi</t>
  </si>
  <si>
    <t xml:space="preserve">  511601712  Est al personal oper</t>
  </si>
  <si>
    <t xml:space="preserve">  512102111  Mat y útiles oficin</t>
  </si>
  <si>
    <t xml:space="preserve">  512102112  Equipos menores ofic</t>
  </si>
  <si>
    <t xml:space="preserve">  512102121  Maty útiles impresi</t>
  </si>
  <si>
    <t xml:space="preserve">  512102141  Mat y útiles Tec In</t>
  </si>
  <si>
    <t xml:space="preserve">  512102151  Mat impreso  e info</t>
  </si>
  <si>
    <t xml:space="preserve">  512102161  Material de limpieza</t>
  </si>
  <si>
    <t xml:space="preserve">  512202212  Prod Alimen instal</t>
  </si>
  <si>
    <t xml:space="preserve">  512402461  Mat Eléctrico</t>
  </si>
  <si>
    <t xml:space="preserve">  512402481  Materiales complemen</t>
  </si>
  <si>
    <t xml:space="preserve">  512402491  Materiales diversos</t>
  </si>
  <si>
    <t xml:space="preserve">  512502531  Medicinas y producto</t>
  </si>
  <si>
    <t xml:space="preserve">  512602612  Combus p Serv pub</t>
  </si>
  <si>
    <t xml:space="preserve">  512702711  Vestuario y uniformes</t>
  </si>
  <si>
    <t xml:space="preserve">  512702731  Artículos deportivos</t>
  </si>
  <si>
    <t xml:space="preserve">  512902911  Herramientas menores</t>
  </si>
  <si>
    <t xml:space="preserve">  512902921  Ref y acc menores ed</t>
  </si>
  <si>
    <t xml:space="preserve">  512902931  Ref mobiliario</t>
  </si>
  <si>
    <t xml:space="preserve">  512902941  Ref Eq Cómputo</t>
  </si>
  <si>
    <t xml:space="preserve">  513103111  Serv Energía Electr</t>
  </si>
  <si>
    <t xml:space="preserve">  513103131  Servicio de agua</t>
  </si>
  <si>
    <t xml:space="preserve">  513103141  Serv Telefonía Trad</t>
  </si>
  <si>
    <t xml:space="preserve">  513103151  Serv Telefonía Celul</t>
  </si>
  <si>
    <t xml:space="preserve">  513103171  Serv Acceso Internet</t>
  </si>
  <si>
    <t xml:space="preserve">  513103173  Serv Proc Informacio</t>
  </si>
  <si>
    <t xml:space="preserve">  513103181  Servicio postal</t>
  </si>
  <si>
    <t xml:space="preserve">  513203221  Arrendam Edificios</t>
  </si>
  <si>
    <t xml:space="preserve">  513203231  Arrendam mob eq adm</t>
  </si>
  <si>
    <t xml:space="preserve">  513203271  Arren de activ intan</t>
  </si>
  <si>
    <t xml:space="preserve">  513303312  Servicios contabilid</t>
  </si>
  <si>
    <t xml:space="preserve">  513303331  Servicios de Consult</t>
  </si>
  <si>
    <t xml:space="preserve">  513303332  Serv Procesos</t>
  </si>
  <si>
    <t xml:space="preserve">  513303341  Serv Capacitación</t>
  </si>
  <si>
    <t xml:space="preserve">  513303361  Impresiones doc ofic</t>
  </si>
  <si>
    <t xml:space="preserve">  513303381  Serv Vigilancia</t>
  </si>
  <si>
    <t xml:space="preserve">  513303391  Serv Profesionales</t>
  </si>
  <si>
    <t xml:space="preserve">  513403411  Serv Financieros</t>
  </si>
  <si>
    <t xml:space="preserve">  513403451  Seg Bienes patrimon</t>
  </si>
  <si>
    <t xml:space="preserve">  513403471  Fletes y maniobras</t>
  </si>
  <si>
    <t xml:space="preserve">  513503511  Cons y mantto Inm</t>
  </si>
  <si>
    <t xml:space="preserve">  513503512  Adaptación Inmuebles</t>
  </si>
  <si>
    <t xml:space="preserve">  513503521  Instal Mobil Adm</t>
  </si>
  <si>
    <t xml:space="preserve">  513503531  Instal BInformat</t>
  </si>
  <si>
    <t xml:space="preserve">  513503551  Mantto Vehíc</t>
  </si>
  <si>
    <t xml:space="preserve">  513503571  Instal Maqy otros</t>
  </si>
  <si>
    <t xml:space="preserve">  513503581  Serv Limpieza</t>
  </si>
  <si>
    <t xml:space="preserve">  513503591  Serv Jardinería</t>
  </si>
  <si>
    <t xml:space="preserve">  513603611  Difusión Activ Gub</t>
  </si>
  <si>
    <t xml:space="preserve">  513603612  Impresión Pub ofic</t>
  </si>
  <si>
    <t xml:space="preserve">  513603631  Serv de creatividad</t>
  </si>
  <si>
    <t xml:space="preserve">  513603641  Servicios de revelad</t>
  </si>
  <si>
    <t xml:space="preserve">  513603661  Servicios de creacio</t>
  </si>
  <si>
    <t xml:space="preserve">  513703711  Pasajes aéreos Nac</t>
  </si>
  <si>
    <t xml:space="preserve">  513703712  Pasajes aéreos Inter</t>
  </si>
  <si>
    <t xml:space="preserve">  513703721  Pasajes terr Nac</t>
  </si>
  <si>
    <t xml:space="preserve">  513703722  Pasajes terr Intern</t>
  </si>
  <si>
    <t xml:space="preserve">  513703751  Viáticos nacionales</t>
  </si>
  <si>
    <t xml:space="preserve">  513703761  Viáticos Extranjero</t>
  </si>
  <si>
    <t xml:space="preserve">  513803811  Gastos de ceremonial</t>
  </si>
  <si>
    <t xml:space="preserve">  513803831  Congresos y Convenc</t>
  </si>
  <si>
    <t xml:space="preserve">  513803852  Gto Oficina SP</t>
  </si>
  <si>
    <t xml:space="preserve">  513803853  Gto Representación</t>
  </si>
  <si>
    <t xml:space="preserve">  513903921  Otros imptos y der</t>
  </si>
  <si>
    <t xml:space="preserve">  513903981  Impuesto sobre nóminas</t>
  </si>
  <si>
    <t xml:space="preserve">  551505111  Muebles de oficina</t>
  </si>
  <si>
    <t xml:space="preserve">  551505133  Otros bienes artísti</t>
  </si>
  <si>
    <t xml:space="preserve">  551505151  Computadoras</t>
  </si>
  <si>
    <t xml:space="preserve">  551505191  Otros mob y equipo a</t>
  </si>
  <si>
    <t xml:space="preserve">  551505411  Automóviles y camiones</t>
  </si>
  <si>
    <t xml:space="preserve">  551505611  MAQ. Y EQ. P/ACT. AG</t>
  </si>
  <si>
    <t xml:space="preserve">  551505631  maq y eqConstruc</t>
  </si>
  <si>
    <t xml:space="preserve">  551505651  Eq Comunicación</t>
  </si>
  <si>
    <t xml:space="preserve">  551505661  Epo gener elec y acc</t>
  </si>
  <si>
    <t xml:space="preserve">  551805151  Computadoras</t>
  </si>
  <si>
    <t xml:space="preserve">  551805411  Automóviles y camiones</t>
  </si>
  <si>
    <t xml:space="preserve">      111200101  BANCO BAJIO 133453</t>
  </si>
  <si>
    <t xml:space="preserve">      111200102  BANCO BAJIO IJA133</t>
  </si>
  <si>
    <t xml:space="preserve">      111200301  BANORTE 0802466073</t>
  </si>
  <si>
    <t xml:space="preserve">      111200302  BANORTE 0807795059</t>
  </si>
  <si>
    <t xml:space="preserve">      111200303  BANORTE 0833 9869</t>
  </si>
  <si>
    <t xml:space="preserve">      111200401  Banregio1779957600</t>
  </si>
  <si>
    <t xml:space="preserve">      111200402  Banregio1779872300</t>
  </si>
  <si>
    <t xml:space="preserve">      111200403  Banregio1779798800</t>
  </si>
  <si>
    <t xml:space="preserve">      111200501  Bancomer 019912188</t>
  </si>
  <si>
    <t xml:space="preserve">      112200001  Ministraciones</t>
  </si>
  <si>
    <t xml:space="preserve">      112200002  Subsidio al Empleo</t>
  </si>
  <si>
    <t xml:space="preserve">      112200003  Cuentas x Cobrar I</t>
  </si>
  <si>
    <t xml:space="preserve">      112300001  Funcionarios y emp</t>
  </si>
  <si>
    <t xml:space="preserve">      112300003  Gastos por Comprob</t>
  </si>
  <si>
    <t>*     1125     Deudores por ant. de</t>
  </si>
  <si>
    <t xml:space="preserve">      112500001  Fondo Fijo</t>
  </si>
  <si>
    <t>*     1129     Otros Der. a recibir</t>
  </si>
  <si>
    <t xml:space="preserve">      112900001  Otros deudores</t>
  </si>
  <si>
    <t xml:space="preserve">      113100001  Ant Prov Serv C P</t>
  </si>
  <si>
    <t xml:space="preserve">      124115111  Muebles de oficina</t>
  </si>
  <si>
    <t xml:space="preserve">      124135151  Computadoras</t>
  </si>
  <si>
    <t xml:space="preserve">      124195191  Otros mob y equipo</t>
  </si>
  <si>
    <t xml:space="preserve">      124415411  Automóviles y cami</t>
  </si>
  <si>
    <t xml:space="preserve">      124615611  Maquinaria y equip</t>
  </si>
  <si>
    <t xml:space="preserve">      124655651  Eq Comunicación</t>
  </si>
  <si>
    <t xml:space="preserve">      124655661  Eq d Gener Eléctri</t>
  </si>
  <si>
    <t>*     1247     Col., Obras de Arte</t>
  </si>
  <si>
    <t xml:space="preserve">      124715133  Otros bienes artís</t>
  </si>
  <si>
    <t xml:space="preserve">      125105911  Software</t>
  </si>
  <si>
    <t xml:space="preserve">      125215971  Licencias informat</t>
  </si>
  <si>
    <t xml:space="preserve">      125215972  Licencias informat</t>
  </si>
  <si>
    <t xml:space="preserve">      126305111  Muebles de oficina</t>
  </si>
  <si>
    <t xml:space="preserve">      126305133  Otros bienes artís</t>
  </si>
  <si>
    <t xml:space="preserve">      126305151  Computadoras</t>
  </si>
  <si>
    <t xml:space="preserve">      126305191  Otros mob y equipo</t>
  </si>
  <si>
    <t xml:space="preserve">      126305411  Automóviles y cami</t>
  </si>
  <si>
    <t xml:space="preserve">      126305611  maq y eq</t>
  </si>
  <si>
    <t xml:space="preserve">      126305651  Eq Comunicación</t>
  </si>
  <si>
    <t xml:space="preserve">      126305661  DA Eq Gen. Eléctri</t>
  </si>
  <si>
    <t xml:space="preserve">      126305662  DA Equipo de Gener</t>
  </si>
  <si>
    <t xml:space="preserve">      127300001  GTO. POR ADELANTAD</t>
  </si>
  <si>
    <t xml:space="preserve">      211100001  SUELDOS POR PAGAR</t>
  </si>
  <si>
    <t xml:space="preserve">      211100002  Sueldos Dev. CH</t>
  </si>
  <si>
    <t xml:space="preserve">      211100151  PASIVOS CAP. 1000</t>
  </si>
  <si>
    <t xml:space="preserve">      211200001  Prov por pagar CP</t>
  </si>
  <si>
    <t xml:space="preserve">      211200162  PASIVOS CAP. 2000</t>
  </si>
  <si>
    <t xml:space="preserve">      211200163  Pasi C 3000 Cie 20</t>
  </si>
  <si>
    <t xml:space="preserve">      211700001  Isseg Trab.</t>
  </si>
  <si>
    <t xml:space="preserve">      211700002  Isste Trab.</t>
  </si>
  <si>
    <t xml:space="preserve">      211700004  GUARDERIAS</t>
  </si>
  <si>
    <t xml:space="preserve">      211700009  CxP GEG Issste</t>
  </si>
  <si>
    <t xml:space="preserve">      211700011  Isseg Patr.</t>
  </si>
  <si>
    <t xml:space="preserve">      211700101  RETENCIÓN ISPT</t>
  </si>
  <si>
    <t xml:space="preserve">      211700102  Ret. Hon.</t>
  </si>
  <si>
    <t xml:space="preserve">      211700103  Ret. Hon. Puro</t>
  </si>
  <si>
    <t xml:space="preserve">      211700104  Ret. ISR Arrend.</t>
  </si>
  <si>
    <t xml:space="preserve">      211700109  Ret. Imp. Cedular</t>
  </si>
  <si>
    <t xml:space="preserve">      211700110  IMPUESTO DE NOMINA</t>
  </si>
  <si>
    <t xml:space="preserve">      211700201  ASEGURADORAS</t>
  </si>
  <si>
    <t xml:space="preserve">      211700203  Deducción Voluntar</t>
  </si>
  <si>
    <t xml:space="preserve">      211700303  ISSEG</t>
  </si>
  <si>
    <t xml:space="preserve">      211700309  MUEBLERIAS</t>
  </si>
  <si>
    <t xml:space="preserve">      211700314  GTO. DE ADMON. 2.5</t>
  </si>
  <si>
    <t xml:space="preserve">      211700317  Financiera</t>
  </si>
  <si>
    <t xml:space="preserve">      211700902  Embargo de Sueldo</t>
  </si>
  <si>
    <t xml:space="preserve">      211900001  Otras ctas pagar C</t>
  </si>
  <si>
    <t xml:space="preserve">      211900053  CXP GEG POR RECTIF</t>
  </si>
  <si>
    <t xml:space="preserve">      211900056  CXP GEG SIN SUELDO</t>
  </si>
  <si>
    <t>**    2150     Pasivos Diferidos a</t>
  </si>
  <si>
    <t>*     2159     Otros Pasivos Diferi</t>
  </si>
  <si>
    <t xml:space="preserve">      215900001  Ingreso Diferido</t>
  </si>
  <si>
    <t xml:space="preserve">      226900001  Prov para Pasi Lab</t>
  </si>
  <si>
    <t xml:space="preserve">      311009105  Bienes Muebles Inm</t>
  </si>
  <si>
    <t xml:space="preserve">      311009115  BIENES MUEBLES AA</t>
  </si>
  <si>
    <t xml:space="preserve">      311009999  Baja AF</t>
  </si>
  <si>
    <t xml:space="preserve">      322000005  RES. DEL EJERC. 20</t>
  </si>
  <si>
    <t xml:space="preserve">      322000006  RES. DEL EJERC. 20</t>
  </si>
  <si>
    <t xml:space="preserve">      322000007  RES. DEL EJERC. 20</t>
  </si>
  <si>
    <t xml:space="preserve">      322000008  RES. DEL EJERC. 20</t>
  </si>
  <si>
    <t xml:space="preserve">      322000009  RES. DEL EJERC. 20</t>
  </si>
  <si>
    <t xml:space="preserve">      322000010  RES. DEL EJERC. 20</t>
  </si>
  <si>
    <t xml:space="preserve">      322000011  RES. DEL EJERC. 20</t>
  </si>
  <si>
    <t xml:space="preserve">      322000012  RES. DEL EJERC. 20</t>
  </si>
  <si>
    <t xml:space="preserve">      322000013  RES. DEL EJERC. 20</t>
  </si>
  <si>
    <t xml:space="preserve">      322000014  RES. DEL EJERC. 20</t>
  </si>
  <si>
    <t xml:space="preserve">      322000015  RES. DEL EJERC. 20</t>
  </si>
  <si>
    <t xml:space="preserve">      322000016  RES. DEL EJERC. 20</t>
  </si>
  <si>
    <t xml:space="preserve">      322000100  APLICACION DE REMA</t>
  </si>
  <si>
    <t xml:space="preserve">      322000101  REMANENTE CAPITALI</t>
  </si>
  <si>
    <t xml:space="preserve">      322001000  CAPITALIZACIÓN</t>
  </si>
  <si>
    <t xml:space="preserve">      417307101  CURSOS</t>
  </si>
  <si>
    <t xml:space="preserve">      417307102  MATERIAL DIDÁCTICO</t>
  </si>
  <si>
    <t xml:space="preserve">      417307114  OTROS INGRESOS</t>
  </si>
  <si>
    <t xml:space="preserve">      422109101  Servicios Personal</t>
  </si>
  <si>
    <t xml:space="preserve">      422109102  Mat y Suministros</t>
  </si>
  <si>
    <t xml:space="preserve">      422109103  Servicios Generale</t>
  </si>
  <si>
    <t xml:space="preserve">      422109107  Inv. Financieras</t>
  </si>
  <si>
    <t xml:space="preserve">      511101131  Sueldos Base</t>
  </si>
  <si>
    <t>*     5112     Rem. al Pers. de car</t>
  </si>
  <si>
    <t xml:space="preserve">      511201212  Honorarios asimila</t>
  </si>
  <si>
    <t xml:space="preserve">      511301311  Prima quinquenal</t>
  </si>
  <si>
    <t xml:space="preserve">      511301321  Prima Vacacional</t>
  </si>
  <si>
    <t xml:space="preserve">      511301323  Gratif fin de año</t>
  </si>
  <si>
    <t xml:space="preserve">      511301342  Compens Servicios</t>
  </si>
  <si>
    <t xml:space="preserve">      511401411  Aport al ISSEG</t>
  </si>
  <si>
    <t xml:space="preserve">      511401412  Cuotas al ISSSTE</t>
  </si>
  <si>
    <t xml:space="preserve">      511401441  Seguros</t>
  </si>
  <si>
    <t xml:space="preserve">      511501531  Prestaciones Retir</t>
  </si>
  <si>
    <t xml:space="preserve">      511501541  Prestaciones CGT</t>
  </si>
  <si>
    <t xml:space="preserve">      511501591  Asign Adic sueldo</t>
  </si>
  <si>
    <t xml:space="preserve">      511501592  Otras prestaciones</t>
  </si>
  <si>
    <t xml:space="preserve">      512102111  Mat y útiles ofici</t>
  </si>
  <si>
    <t xml:space="preserve">      512102112  Equipos menores of</t>
  </si>
  <si>
    <t xml:space="preserve">      512102141  Mat y útiles Tec I</t>
  </si>
  <si>
    <t xml:space="preserve">      512102151  Mat impreso  e inf</t>
  </si>
  <si>
    <t xml:space="preserve">      512202212  Prod Alimen instal</t>
  </si>
  <si>
    <t xml:space="preserve">      512402481  Materiales complem</t>
  </si>
  <si>
    <t xml:space="preserve">      512602612  Combus p Serv pub</t>
  </si>
  <si>
    <t xml:space="preserve">      512902941  Ref Eq Cómputo</t>
  </si>
  <si>
    <t xml:space="preserve">      513103111  Serv Energía Elect</t>
  </si>
  <si>
    <t xml:space="preserve">      513103131  Servicio de agua</t>
  </si>
  <si>
    <t xml:space="preserve">      513103141  Serv Telefonía Tra</t>
  </si>
  <si>
    <t xml:space="preserve">      513103151  Serv Telefonía Cel</t>
  </si>
  <si>
    <t xml:space="preserve">      513103171  Serv Acceso Intern</t>
  </si>
  <si>
    <t xml:space="preserve">      513103181  Servicio postal</t>
  </si>
  <si>
    <t xml:space="preserve">      513203221  Arrendam Edificios</t>
  </si>
  <si>
    <t xml:space="preserve">      513203231  Arrendam mob eq ad</t>
  </si>
  <si>
    <t xml:space="preserve">      513203271  Arren de activ int</t>
  </si>
  <si>
    <t xml:space="preserve">      513303332  Serv Procesos</t>
  </si>
  <si>
    <t xml:space="preserve">      513303341  Serv Capacitación</t>
  </si>
  <si>
    <t xml:space="preserve">      513303361  Impresiones doc of</t>
  </si>
  <si>
    <t xml:space="preserve">      513303381  Serv Vigilancia</t>
  </si>
  <si>
    <t>*     5134     Serv. Financieros, B</t>
  </si>
  <si>
    <t xml:space="preserve">      513403411  Serv Financieros</t>
  </si>
  <si>
    <t xml:space="preserve">      513403471  Fletes y maniobras</t>
  </si>
  <si>
    <t xml:space="preserve">      513503511  Cons y mantto Inm</t>
  </si>
  <si>
    <t xml:space="preserve">      513503521  Instal Mobil Adm</t>
  </si>
  <si>
    <t xml:space="preserve">      513503551  Mantto Vehíc</t>
  </si>
  <si>
    <t>*     5136     Serv. de Comunicació</t>
  </si>
  <si>
    <t xml:space="preserve">      513603611  Difusión Activ Gub</t>
  </si>
  <si>
    <t xml:space="preserve">      513703721  Pasajes terr Nac</t>
  </si>
  <si>
    <t xml:space="preserve">      513703751  Viáticos nacionale</t>
  </si>
  <si>
    <t xml:space="preserve">      513803811  Gastos de ceremoni</t>
  </si>
  <si>
    <t xml:space="preserve">      513803852  Gto Oficina SP</t>
  </si>
  <si>
    <t xml:space="preserve">      513903921  Otros imptos y der</t>
  </si>
  <si>
    <t xml:space="preserve">      513903981  Impuesto S nóminas</t>
  </si>
  <si>
    <t xml:space="preserve">      551505111  Muebles de oficina</t>
  </si>
  <si>
    <t xml:space="preserve">      551505133  Otros bienes artís</t>
  </si>
  <si>
    <t xml:space="preserve">      551505151  Computadoras</t>
  </si>
  <si>
    <t xml:space="preserve">      551505191  Otros mob y equipo</t>
  </si>
  <si>
    <t xml:space="preserve">      551505411  Automóviles y cami</t>
  </si>
  <si>
    <t xml:space="preserve">      551505631  maq y eqConstruc</t>
  </si>
  <si>
    <t xml:space="preserve">      551505651  Eq Comunicación</t>
  </si>
  <si>
    <t xml:space="preserve">      551505661  Epo gener elec y a</t>
  </si>
  <si>
    <t xml:space="preserve">    710001  CURSOS</t>
  </si>
  <si>
    <t xml:space="preserve">    710002  MATERIAL DIDÁCTICO</t>
  </si>
  <si>
    <t xml:space="preserve">    710014  OTROS INGRESOS</t>
  </si>
  <si>
    <t>*   1.2.4    Transferencia de Capital</t>
  </si>
  <si>
    <t>**  4 Ingresos Propios</t>
  </si>
  <si>
    <t>710001</t>
  </si>
  <si>
    <t>1/1.1.6/710001  CURSOS</t>
  </si>
  <si>
    <t>710002</t>
  </si>
  <si>
    <t>1/1.1.6/710002  MATERIAL DIDÁCTICO</t>
  </si>
  <si>
    <t>710014</t>
  </si>
  <si>
    <t>1/1.1.6/710014  OTROS INGRESOS</t>
  </si>
  <si>
    <t>1/1.2.4/914145  Bienes M Inm e Int</t>
  </si>
  <si>
    <t>***** Total</t>
  </si>
  <si>
    <t>****  1.2.1.G0101  GESTION</t>
  </si>
  <si>
    <t>***   G0101  GESTION</t>
  </si>
  <si>
    <t>**    111700001  Ingresos Diversos</t>
  </si>
  <si>
    <t>*     21115-0105  DIRECCIÓN ADMINISTRATIVA</t>
  </si>
  <si>
    <t xml:space="preserve">      7991  Erogaciones complementarias</t>
  </si>
  <si>
    <t>****  1.2.1.G1053  ADMINISTRACIÓN DE LOS R</t>
  </si>
  <si>
    <t>***   G1053  ADMINISTRACIÓN DE LO</t>
  </si>
  <si>
    <t>**    517811100  80% FONDO GENERAL (E</t>
  </si>
  <si>
    <t xml:space="preserve">      1131  Sueldos Base</t>
  </si>
  <si>
    <t xml:space="preserve">      1212  Honorarios asimilados</t>
  </si>
  <si>
    <t xml:space="preserve">      1311  Prima quinquenal</t>
  </si>
  <si>
    <t xml:space="preserve">      1321  Prima Vacacional</t>
  </si>
  <si>
    <t xml:space="preserve">      1323  Gratificación de fin de año</t>
  </si>
  <si>
    <t xml:space="preserve">      1411  Aportaciones al ISSEG</t>
  </si>
  <si>
    <t xml:space="preserve">      1412  Cuotas al ISSSTE</t>
  </si>
  <si>
    <t xml:space="preserve">      1441  Seguros</t>
  </si>
  <si>
    <t xml:space="preserve">      1531  Prestaciones de retiro</t>
  </si>
  <si>
    <t xml:space="preserve">      1541  Prestaciones CGT</t>
  </si>
  <si>
    <t xml:space="preserve">      1591  Asign Adic sueldo</t>
  </si>
  <si>
    <t xml:space="preserve">      1592  Otras prestaciones</t>
  </si>
  <si>
    <t xml:space="preserve">      1611  Prev de carat labora</t>
  </si>
  <si>
    <t xml:space="preserve">      1711  Estím Productividad</t>
  </si>
  <si>
    <t xml:space="preserve">      1712  Estím Personal Oper</t>
  </si>
  <si>
    <t xml:space="preserve">      2111  Materiales y útiles de oficina</t>
  </si>
  <si>
    <t xml:space="preserve">      2112  Equipos menores de oficina</t>
  </si>
  <si>
    <t xml:space="preserve">      2121  Maty útiles impresi</t>
  </si>
  <si>
    <t xml:space="preserve">      2141  Mat y útiles Tec In</t>
  </si>
  <si>
    <t xml:space="preserve">      2151  Mat impreso  e info</t>
  </si>
  <si>
    <t xml:space="preserve">      2161  Material de limpieza</t>
  </si>
  <si>
    <t xml:space="preserve">      2212  Prod Alimen instal</t>
  </si>
  <si>
    <t xml:space="preserve">      2461  Mat Eléctrico</t>
  </si>
  <si>
    <t xml:space="preserve">      2481  Materiales complementarios</t>
  </si>
  <si>
    <t xml:space="preserve">      2491  Materiales diversos</t>
  </si>
  <si>
    <t xml:space="preserve">      2531  Medicinas y prod far</t>
  </si>
  <si>
    <t xml:space="preserve">      2612  Combus p Serv pub</t>
  </si>
  <si>
    <t xml:space="preserve">      2711  Vestuario y uniformes</t>
  </si>
  <si>
    <t xml:space="preserve">      2731  Artículos deportivos</t>
  </si>
  <si>
    <t xml:space="preserve">      2911  Herramientas menores</t>
  </si>
  <si>
    <t xml:space="preserve">      2931  Ref Mobiliario</t>
  </si>
  <si>
    <t xml:space="preserve">      2941  Ref Eq Cómputo</t>
  </si>
  <si>
    <t xml:space="preserve">      3111  Servicio de energía eléctrica</t>
  </si>
  <si>
    <t xml:space="preserve">      3131  Servicio de agua</t>
  </si>
  <si>
    <t xml:space="preserve">      3141  Servicio telefonía tradicional</t>
  </si>
  <si>
    <t xml:space="preserve">      3151  Servicio telefonía celular</t>
  </si>
  <si>
    <t xml:space="preserve">      3171  Serv Internet</t>
  </si>
  <si>
    <t xml:space="preserve">      3181  Servicio postal</t>
  </si>
  <si>
    <t xml:space="preserve">      3221  Arrendam Edificios</t>
  </si>
  <si>
    <t xml:space="preserve">      3231  Arren Mobiliario</t>
  </si>
  <si>
    <t xml:space="preserve">      3271  Arren Act Intangib</t>
  </si>
  <si>
    <t xml:space="preserve">      3312  Servicios de contabilidad</t>
  </si>
  <si>
    <t xml:space="preserve">      3331  Serv Consultoría</t>
  </si>
  <si>
    <t xml:space="preserve">      3332  Serv Procesos</t>
  </si>
  <si>
    <t xml:space="preserve">      3341  Servicios de capacitación</t>
  </si>
  <si>
    <t xml:space="preserve">      3361  Impresiones docofic</t>
  </si>
  <si>
    <t xml:space="preserve">      3381  Servicios de vigilancia</t>
  </si>
  <si>
    <t xml:space="preserve">      3411  Serv Financieros</t>
  </si>
  <si>
    <t xml:space="preserve">      3441  Seg Resp Patrimon</t>
  </si>
  <si>
    <t xml:space="preserve">      3451  Seguro de bienes patrimoniales</t>
  </si>
  <si>
    <t xml:space="preserve">      3471  Fletes y maniobras</t>
  </si>
  <si>
    <t xml:space="preserve">      3511  Cons y mantto Inm</t>
  </si>
  <si>
    <t xml:space="preserve">      3512  Adaptación de inmuebles</t>
  </si>
  <si>
    <t xml:space="preserve">      3521  Instal Mobil Adm</t>
  </si>
  <si>
    <t xml:space="preserve">      3531  Instal BInformat</t>
  </si>
  <si>
    <t xml:space="preserve">      3551  Mantto Vehíc</t>
  </si>
  <si>
    <t xml:space="preserve">      3571  Instal Maqy otros</t>
  </si>
  <si>
    <t xml:space="preserve">      3581  Serv Limpieza</t>
  </si>
  <si>
    <t xml:space="preserve">      3611  Difusión Activ Gub</t>
  </si>
  <si>
    <t xml:space="preserve">      3612  Impresión Pub ofic</t>
  </si>
  <si>
    <t xml:space="preserve">      3631  Serv Creatividad</t>
  </si>
  <si>
    <t xml:space="preserve">      3641  Serv Revelado Fotog</t>
  </si>
  <si>
    <t xml:space="preserve">      3661  Serv Creación</t>
  </si>
  <si>
    <t xml:space="preserve">      3711  Pasajes aéreos Nac</t>
  </si>
  <si>
    <t xml:space="preserve">      3721  Pasajes terr Nac</t>
  </si>
  <si>
    <t xml:space="preserve">      3751  Viáticos nacionales</t>
  </si>
  <si>
    <t xml:space="preserve">      3811  Gastos de ceremonial</t>
  </si>
  <si>
    <t xml:space="preserve">      3831  Congresos y convenciones</t>
  </si>
  <si>
    <t xml:space="preserve">      3852  Gto Oficina SP</t>
  </si>
  <si>
    <t xml:space="preserve">      3921  Otros impuestos y derechos</t>
  </si>
  <si>
    <t xml:space="preserve">      3981  Impuesto sobre nóminas</t>
  </si>
  <si>
    <t xml:space="preserve">      5111  Muebles de oficina</t>
  </si>
  <si>
    <t xml:space="preserve">      5151  Computadoras</t>
  </si>
  <si>
    <t xml:space="preserve">      5191  Otros mobiliarios</t>
  </si>
  <si>
    <t xml:space="preserve">      5411  Automóviles y camiones</t>
  </si>
  <si>
    <t xml:space="preserve">      5911  Software</t>
  </si>
  <si>
    <t xml:space="preserve">      5971  Licencia informatica</t>
  </si>
  <si>
    <t>****  1.2.1.G1054  CAPACITACIÓN A SERVIDOR</t>
  </si>
  <si>
    <t>***   G1054  CAPACITACIÓN A SERVI</t>
  </si>
  <si>
    <t>*     21115-0110  INST. JUD. ADMVA.</t>
  </si>
  <si>
    <t>****  1.2.1.G1057  CONTROL INTERNO</t>
  </si>
  <si>
    <t>***   G1057  CONTROL INTERNO</t>
  </si>
  <si>
    <t>*     21115-0111  AUDITORIA INTERNA</t>
  </si>
  <si>
    <t>****  1.2.1.P0850  SECRETARIO GENERAL</t>
  </si>
  <si>
    <t>***   P0850  IMPARTICIÓN Y PROCUR</t>
  </si>
  <si>
    <t>*     21115-0100  PRESIDENCIA</t>
  </si>
  <si>
    <t xml:space="preserve">      1211  Honorarios</t>
  </si>
  <si>
    <t xml:space="preserve">      1342  Compensaciones por servicios</t>
  </si>
  <si>
    <t xml:space="preserve">      3761  Viáticos Extranjero</t>
  </si>
  <si>
    <t xml:space="preserve">      3853  Gastos de representación</t>
  </si>
  <si>
    <t>****  1.2.1.P2039  PROCURACION DE JUSTICIA</t>
  </si>
  <si>
    <t>***   P2039  PROCURACION DE JUSTI</t>
  </si>
  <si>
    <t>*     21115-0107  INST.DEF. DE OFICIO</t>
  </si>
  <si>
    <t>****  1.2.2.P2039  PROCURACIÓN DE JUSTICIA</t>
  </si>
  <si>
    <t>E058</t>
  </si>
  <si>
    <t>1.2.1</t>
  </si>
  <si>
    <t>E058-G0101</t>
  </si>
  <si>
    <t>21115-0105</t>
  </si>
  <si>
    <t>E058-G1053</t>
  </si>
  <si>
    <t>1131</t>
  </si>
  <si>
    <t>1212</t>
  </si>
  <si>
    <t>1311</t>
  </si>
  <si>
    <t>1321</t>
  </si>
  <si>
    <t>1323</t>
  </si>
  <si>
    <t>1411</t>
  </si>
  <si>
    <t>1412</t>
  </si>
  <si>
    <t>1441</t>
  </si>
  <si>
    <t>1531</t>
  </si>
  <si>
    <t>1541</t>
  </si>
  <si>
    <t>1591</t>
  </si>
  <si>
    <t>1592</t>
  </si>
  <si>
    <t>1611</t>
  </si>
  <si>
    <t>1711</t>
  </si>
  <si>
    <t>1712</t>
  </si>
  <si>
    <t>2112</t>
  </si>
  <si>
    <t>2121</t>
  </si>
  <si>
    <t>2141</t>
  </si>
  <si>
    <t>2151</t>
  </si>
  <si>
    <t>2161</t>
  </si>
  <si>
    <t>2212</t>
  </si>
  <si>
    <t>2461</t>
  </si>
  <si>
    <t>2481</t>
  </si>
  <si>
    <t>2491</t>
  </si>
  <si>
    <t>2531</t>
  </si>
  <si>
    <t>2612</t>
  </si>
  <si>
    <t>2711</t>
  </si>
  <si>
    <t>2731</t>
  </si>
  <si>
    <t>2911</t>
  </si>
  <si>
    <t>2931</t>
  </si>
  <si>
    <t>2941</t>
  </si>
  <si>
    <t>3111</t>
  </si>
  <si>
    <t>3131</t>
  </si>
  <si>
    <t>3141</t>
  </si>
  <si>
    <t>3151</t>
  </si>
  <si>
    <t>3171</t>
  </si>
  <si>
    <t>3181</t>
  </si>
  <si>
    <t>3221</t>
  </si>
  <si>
    <t>3231</t>
  </si>
  <si>
    <t>3271</t>
  </si>
  <si>
    <t>3312</t>
  </si>
  <si>
    <t>3331</t>
  </si>
  <si>
    <t>3332</t>
  </si>
  <si>
    <t>3341</t>
  </si>
  <si>
    <t>3361</t>
  </si>
  <si>
    <t>3381</t>
  </si>
  <si>
    <t>3411</t>
  </si>
  <si>
    <t>3441</t>
  </si>
  <si>
    <t>3451</t>
  </si>
  <si>
    <t>3471</t>
  </si>
  <si>
    <t>3511</t>
  </si>
  <si>
    <t>3512</t>
  </si>
  <si>
    <t>3521</t>
  </si>
  <si>
    <t>3531</t>
  </si>
  <si>
    <t>3551</t>
  </si>
  <si>
    <t>3571</t>
  </si>
  <si>
    <t>3581</t>
  </si>
  <si>
    <t>3631</t>
  </si>
  <si>
    <t>3641</t>
  </si>
  <si>
    <t>3661</t>
  </si>
  <si>
    <t>3711</t>
  </si>
  <si>
    <t>3721</t>
  </si>
  <si>
    <t>3751</t>
  </si>
  <si>
    <t>3811</t>
  </si>
  <si>
    <t>3831</t>
  </si>
  <si>
    <t>3852</t>
  </si>
  <si>
    <t>3921</t>
  </si>
  <si>
    <t>3981</t>
  </si>
  <si>
    <t>5111</t>
  </si>
  <si>
    <t>5151</t>
  </si>
  <si>
    <t>5191</t>
  </si>
  <si>
    <t>5411</t>
  </si>
  <si>
    <t>5911</t>
  </si>
  <si>
    <t>5971</t>
  </si>
  <si>
    <t>E058-G1054</t>
  </si>
  <si>
    <t>21115-0110</t>
  </si>
  <si>
    <t>E058-G1057</t>
  </si>
  <si>
    <t>21115-0111</t>
  </si>
  <si>
    <t>E058-P0850</t>
  </si>
  <si>
    <t>21115-0100</t>
  </si>
  <si>
    <t>1211</t>
  </si>
  <si>
    <t>1342</t>
  </si>
  <si>
    <t>3761</t>
  </si>
  <si>
    <t>3853</t>
  </si>
  <si>
    <t>E058-P2039</t>
  </si>
  <si>
    <t>21115-0107</t>
  </si>
  <si>
    <t>1.2.2</t>
  </si>
  <si>
    <t>Ampliación</t>
  </si>
  <si>
    <t>Reducción</t>
  </si>
  <si>
    <t>Dev+Pag</t>
  </si>
  <si>
    <t>%D+P</t>
  </si>
  <si>
    <t>%C</t>
  </si>
  <si>
    <t>Dev+Pag+Comp</t>
  </si>
  <si>
    <t>%D+P+C</t>
  </si>
  <si>
    <t>Saldo</t>
  </si>
  <si>
    <t>%Sdo</t>
  </si>
  <si>
    <t xml:space="preserve">   TCA</t>
  </si>
  <si>
    <t xml:space="preserve">       21115-0100  PRESIDENCIA</t>
  </si>
  <si>
    <t xml:space="preserve">       21115-0105  DIRECCIÓN ADMINISTRATIVA</t>
  </si>
  <si>
    <t xml:space="preserve">       21115-0107  INST.DEF. DE OFICIO</t>
  </si>
  <si>
    <t xml:space="preserve">       21115-0110  INST. JUD. ADMVA.</t>
  </si>
  <si>
    <t xml:space="preserve">       21115-0111  AUDITORIA INTERNA</t>
  </si>
  <si>
    <t>A. 21115-0100  PRESIDENCIA</t>
  </si>
  <si>
    <t>B. 21115-0105  DIRECCIÓN ADMINISTRATIVA</t>
  </si>
  <si>
    <t>C. 21115-0107  INST.DEF. DE OFICIO</t>
  </si>
  <si>
    <t>D. 21115-0110  INST. JUD. ADMVA.</t>
  </si>
  <si>
    <t>E. 21115-0111  AUDITORIA INTERNA</t>
  </si>
  <si>
    <t>ESF-02 INGRESOS P/RECUPERAR</t>
  </si>
  <si>
    <t>2013</t>
  </si>
  <si>
    <t>2012</t>
  </si>
  <si>
    <t xml:space="preserve">  112200001  Ministraciones  Pendientes</t>
  </si>
  <si>
    <t>* ESF-02 TOTAL</t>
  </si>
  <si>
    <t>ESF-03 CUENTAS POR COBRAR</t>
  </si>
  <si>
    <t>Monto</t>
  </si>
  <si>
    <t xml:space="preserve">  113100001  Ant Prov Prest Serv C P</t>
  </si>
  <si>
    <t>* ESF-03 TOTAL</t>
  </si>
  <si>
    <t xml:space="preserve">   124115111  Muebles de oficina y estantería</t>
  </si>
  <si>
    <t xml:space="preserve">   124135151  Computadoras</t>
  </si>
  <si>
    <t xml:space="preserve">   124195191  Otros mob y equipo a</t>
  </si>
  <si>
    <t xml:space="preserve">   124415411  Automóviles y camiones</t>
  </si>
  <si>
    <t xml:space="preserve">   124615611  Maquinaria y equipo</t>
  </si>
  <si>
    <t xml:space="preserve">   124655651  Eq Comunicación</t>
  </si>
  <si>
    <t xml:space="preserve">   124655661  Eq d Gener Eléctrica</t>
  </si>
  <si>
    <t xml:space="preserve">   124715133  Otros bienes artísti</t>
  </si>
  <si>
    <t xml:space="preserve">   126305111  Muebles de oficina y estantería</t>
  </si>
  <si>
    <t xml:space="preserve">   126305133  Otros bienes artísti</t>
  </si>
  <si>
    <t xml:space="preserve">   126305151  Computadoras</t>
  </si>
  <si>
    <t xml:space="preserve">   126305191  Otros mob y equipo a</t>
  </si>
  <si>
    <t xml:space="preserve">   126305411  Automóviles y camiones</t>
  </si>
  <si>
    <t xml:space="preserve">   126305611  Maquinaria y equipo</t>
  </si>
  <si>
    <t xml:space="preserve">   126305651  Eq Comunicación</t>
  </si>
  <si>
    <t xml:space="preserve">   126305661  DA Eq Gen. Eléctrica</t>
  </si>
  <si>
    <t xml:space="preserve">   126305662  DA Equipo de Generac</t>
  </si>
  <si>
    <t xml:space="preserve">   125105911  Software</t>
  </si>
  <si>
    <t xml:space="preserve">   125215971  Licencias informatic</t>
  </si>
  <si>
    <t xml:space="preserve">   125215972  Licencias informatic</t>
  </si>
  <si>
    <t xml:space="preserve">   127300001  GTO. POR ADELANTADO</t>
  </si>
  <si>
    <t xml:space="preserve">   211700011  APORTACIÓN PATRONAL  ISSEG</t>
  </si>
  <si>
    <t xml:space="preserve">   211700101  RETENCIÓN ISPT</t>
  </si>
  <si>
    <t xml:space="preserve">   211700102  Ret. Hon.</t>
  </si>
  <si>
    <t xml:space="preserve">   211700103  RETENCION HONORARIO PURO</t>
  </si>
  <si>
    <t xml:space="preserve">   211700104  RETENCIÓN ISR ARREND.</t>
  </si>
  <si>
    <t xml:space="preserve">   211700109  RETENCION DE IMPUESTO CEDULAR</t>
  </si>
  <si>
    <t xml:space="preserve">   211700110  IMPUESTO DE NOMINA</t>
  </si>
  <si>
    <t xml:space="preserve">   211700201  ASEGURADORAS</t>
  </si>
  <si>
    <t xml:space="preserve">   211700303  ISSEG</t>
  </si>
  <si>
    <t xml:space="preserve">   211700309  MUEBLERIAS</t>
  </si>
  <si>
    <t xml:space="preserve">   211700314  GTO. DE ADMON. 2.5%  SFA</t>
  </si>
  <si>
    <t>ESF-14 DIFERIDOS Y OTROS PASIVOS</t>
  </si>
  <si>
    <t xml:space="preserve">   215900001  Ingreso Diferido</t>
  </si>
  <si>
    <t>*  DIFERIDOS CP</t>
  </si>
  <si>
    <t>** ESF-14 TOTAL</t>
  </si>
  <si>
    <t xml:space="preserve">   417307101  CURSOS</t>
  </si>
  <si>
    <t xml:space="preserve">   417307102  MATERIAL DIDÁCTICO</t>
  </si>
  <si>
    <t xml:space="preserve">   417307114  OTROS INGRESOS</t>
  </si>
  <si>
    <t xml:space="preserve">   422109101  Servicios Personales</t>
  </si>
  <si>
    <t xml:space="preserve">   422109102  Materiales y Suministros</t>
  </si>
  <si>
    <t xml:space="preserve">   422109103  Servicios Generales</t>
  </si>
  <si>
    <t xml:space="preserve">  511301323  Gratificación de fin de año</t>
  </si>
  <si>
    <t xml:space="preserve">  511301342  Compensaciones por servicios</t>
  </si>
  <si>
    <t xml:space="preserve">  512102111  Materiales y útiles de oficina</t>
  </si>
  <si>
    <t xml:space="preserve">  512102112  Equipos menores de oficina</t>
  </si>
  <si>
    <t xml:space="preserve">  512402481  Materiales complementarios</t>
  </si>
  <si>
    <t xml:space="preserve">  513103111  Servicio de energía eléctrica</t>
  </si>
  <si>
    <t xml:space="preserve">  513103141  Servicio telefonía tradicional</t>
  </si>
  <si>
    <t xml:space="preserve">  513103151  Servicio telefonía celular</t>
  </si>
  <si>
    <t xml:space="preserve">  513103171  Servicios de Acceso de Internet</t>
  </si>
  <si>
    <t xml:space="preserve">  513303341  Servicios de capacitación</t>
  </si>
  <si>
    <t xml:space="preserve">  513303381  Servicios de vigilancia</t>
  </si>
  <si>
    <t xml:space="preserve">  513903921  Otros impuestos y derechos</t>
  </si>
  <si>
    <t xml:space="preserve">  551505111  Muebles de oficina y estantería</t>
  </si>
  <si>
    <t xml:space="preserve">  551505151  Computadoras y equipo periférico</t>
  </si>
  <si>
    <t xml:space="preserve">  311009115  BIENES MUEBLES E INMUEBLES AA</t>
  </si>
  <si>
    <t xml:space="preserve">   322000005  RESULTADO DEL EJERCICIO 2005</t>
  </si>
  <si>
    <t xml:space="preserve">   322000006  RESULTADO DEL EJERCICIO 2006</t>
  </si>
  <si>
    <t xml:space="preserve">   322000007  RESULTADO DEL EJERCICIO 2007</t>
  </si>
  <si>
    <t xml:space="preserve">   322000008  RESULTADO DEL EJERCICIO 2008</t>
  </si>
  <si>
    <t xml:space="preserve">   322000009  RESULTADO DEL EJERCICIO 2009</t>
  </si>
  <si>
    <t xml:space="preserve">   322000010  RESULTADO DEL EJERCICIO 2010</t>
  </si>
  <si>
    <t xml:space="preserve">   322000011  RESULTADO DEL EJERCICIO 2011</t>
  </si>
  <si>
    <t xml:space="preserve">   322000012  RESULTADO DEL EJERCICIO 2012</t>
  </si>
  <si>
    <t xml:space="preserve">   322000013  RESULTADO DEL EJERCICIO 2013</t>
  </si>
  <si>
    <t xml:space="preserve">   322000014  RESULTADO DEL EJERCICIO 2014</t>
  </si>
  <si>
    <t xml:space="preserve">   322000015  RESULTADO DEL EJERCICIO 2015</t>
  </si>
  <si>
    <t xml:space="preserve">   322000016  RESULTADO DEL EJERCICIO 2016</t>
  </si>
  <si>
    <t xml:space="preserve">   322000100  APLICACION DE REMANENTES</t>
  </si>
  <si>
    <t xml:space="preserve">   322000101  REMANENTE CAPITALIZADO</t>
  </si>
  <si>
    <t xml:space="preserve">   322001000  CAPITALIZACIÓN</t>
  </si>
  <si>
    <t xml:space="preserve">   111200301  BANORTE 0802466073</t>
  </si>
  <si>
    <t xml:space="preserve">   111200303  BANORTE 0833 9869 13</t>
  </si>
  <si>
    <t xml:space="preserve">   111200402  Banregio 177-98723-001-8</t>
  </si>
  <si>
    <t xml:space="preserve">   111200403  Banregio 177-97988-001-1</t>
  </si>
  <si>
    <t xml:space="preserve">   111200501  Bancomer 0199121889</t>
  </si>
  <si>
    <t>1.2.1/E058-G0101/1/21115-0105/1/7991  Erogaciones complementarias</t>
  </si>
  <si>
    <t>1.2.1/E058-G1053/1/21115-0105/1/1131  Sueldos Base</t>
  </si>
  <si>
    <t>1.2.1/E058-G1053/1/21115-0105/1/1212  Honorarios asimilados</t>
  </si>
  <si>
    <t>1.2.1/E058-G1053/1/21115-0105/1/1311  Prima quinquenal</t>
  </si>
  <si>
    <t>1.2.1/E058-G1053/1/21115-0105/1/1321  Prima Vacacional</t>
  </si>
  <si>
    <t>1.2.1/E058-G1053/1/21115-0105/1/1323  Gratificación de fin de año</t>
  </si>
  <si>
    <t>1.2.1/E058-G1053/1/21115-0105/1/1411  Aportaciones al ISSEG</t>
  </si>
  <si>
    <t>1.2.1/E058-G1053/1/21115-0105/1/1412  Cuotas al ISSSTE</t>
  </si>
  <si>
    <t>1.2.1/E058-G1053/1/21115-0105/1/1441  Seguros</t>
  </si>
  <si>
    <t>1.2.1/E058-G1053/1/21115-0105/1/1531  Prestaciones de retiro</t>
  </si>
  <si>
    <t>1.2.1/E058-G1053/1/21115-0105/1/1541  Prestaciones CGT</t>
  </si>
  <si>
    <t>1.2.1/E058-G1053/1/21115-0105/1/1591  Asign Adic sueldo</t>
  </si>
  <si>
    <t>1.2.1/E058-G1053/1/21115-0105/1/1592  Otras prestaciones</t>
  </si>
  <si>
    <t>1.2.1/E058-G1053/1/21115-0105/1/1611  Prev de carat labora</t>
  </si>
  <si>
    <t>1.2.1/E058-G1053/1/21115-0105/1/1711  Estím Productividad</t>
  </si>
  <si>
    <t>1.2.1/E058-G1053/1/21115-0105/1/1712  Estím Personal Oper</t>
  </si>
  <si>
    <t>1.2.1/E058-G1053/1/21115-0105/1/2111  Materiales y útiles de oficina</t>
  </si>
  <si>
    <t>1.2.1/E058-G1053/1/21115-0105/1/2112  Equipos menores de oficina</t>
  </si>
  <si>
    <t>1.2.1/E058-G1053/1/21115-0105/1/2121  Maty útiles impresi</t>
  </si>
  <si>
    <t>1.2.1/E058-G1053/1/21115-0105/1/2141  Mat y útiles Tec In</t>
  </si>
  <si>
    <t>1.2.1/E058-G1053/1/21115-0105/1/2151  Mat impreso  e info</t>
  </si>
  <si>
    <t>1.2.1/E058-G1053/1/21115-0105/1/2161  Material de limpieza</t>
  </si>
  <si>
    <t>1.2.1/E058-G1053/1/21115-0105/1/2212  Prod Alimen instal</t>
  </si>
  <si>
    <t>1.2.1/E058-G1053/1/21115-0105/1/2461  Mat Eléctrico</t>
  </si>
  <si>
    <t>1.2.1/E058-G1053/1/21115-0105/1/2481  Materiales complementarios</t>
  </si>
  <si>
    <t>1.2.1/E058-G1053/1/21115-0105/1/2491  Materiales diversos</t>
  </si>
  <si>
    <t>1.2.1/E058-G1053/1/21115-0105/1/2531  Medicinas y prod far</t>
  </si>
  <si>
    <t>1.2.1/E058-G1053/1/21115-0105/1/2612  Combus p Serv pub</t>
  </si>
  <si>
    <t>1.2.1/E058-G1053/1/21115-0105/1/2711  Vestuario y uniformes</t>
  </si>
  <si>
    <t>1.2.1/E058-G1053/1/21115-0105/1/2731  Artículos deportivos</t>
  </si>
  <si>
    <t>1.2.1/E058-G1053/1/21115-0105/1/2911  Herramientas menores</t>
  </si>
  <si>
    <t>1.2.1/E058-G1053/1/21115-0105/1/2931  Ref Mobiliario</t>
  </si>
  <si>
    <t>1.2.1/E058-G1053/1/21115-0105/1/2941  Ref Eq Cómputo</t>
  </si>
  <si>
    <t>1.2.1/E058-G1053/1/21115-0105/1/3111  Servicio de energía eléctrica</t>
  </si>
  <si>
    <t>1.2.1/E058-G1053/1/21115-0105/1/3131  Servicio de agua</t>
  </si>
  <si>
    <t>1.2.1/E058-G1053/1/21115-0105/1/3141  Servicio telefonía tradicional</t>
  </si>
  <si>
    <t>1.2.1/E058-G1053/1/21115-0105/1/3151  Servicio telefonía celular</t>
  </si>
  <si>
    <t>1.2.1/E058-G1053/1/21115-0105/1/3171  Serv Internet</t>
  </si>
  <si>
    <t>1.2.1/E058-G1053/1/21115-0105/1/3181  Servicio postal</t>
  </si>
  <si>
    <t>1.2.1/E058-G1053/1/21115-0105/1/3221  Arrendam Edificios</t>
  </si>
  <si>
    <t>1.2.1/E058-G1053/1/21115-0105/1/3231  Arren Mobiliario</t>
  </si>
  <si>
    <t>1.2.1/E058-G1053/1/21115-0105/1/3271  Arren Act Intangib</t>
  </si>
  <si>
    <t>1.2.1/E058-G1053/1/21115-0105/1/3312  Servicios de contabilidad</t>
  </si>
  <si>
    <t>1.2.1/E058-G1053/1/21115-0105/1/3331  Serv Consultoría</t>
  </si>
  <si>
    <t>1.2.1/E058-G1053/1/21115-0105/1/3332  Serv Procesos</t>
  </si>
  <si>
    <t>1.2.1/E058-G1053/1/21115-0105/1/3341  Servicios de capacitación</t>
  </si>
  <si>
    <t>1.2.1/E058-G1053/1/21115-0105/1/3361  Impresiones docofic</t>
  </si>
  <si>
    <t>1.2.1/E058-G1053/1/21115-0105/1/3381  Servicios de vigilancia</t>
  </si>
  <si>
    <t>1.2.1/E058-G1053/1/21115-0105/1/3411  Serv Financieros</t>
  </si>
  <si>
    <t>1.2.1/E058-G1053/1/21115-0105/1/3441  Seg Resp Patrimon</t>
  </si>
  <si>
    <t>1.2.1/E058-G1053/1/21115-0105/1/3451  Seguro de bienes patrimoniales</t>
  </si>
  <si>
    <t>1.2.1/E058-G1053/1/21115-0105/1/3471  Fletes y maniobras</t>
  </si>
  <si>
    <t>1.2.1/E058-G1053/1/21115-0105/1/3511  Cons y mantto Inm</t>
  </si>
  <si>
    <t>1.2.1/E058-G1053/1/21115-0105/1/3512  Adaptación de inmuebles</t>
  </si>
  <si>
    <t>1.2.1/E058-G1053/1/21115-0105/1/3521  Instal Mobil Adm</t>
  </si>
  <si>
    <t>1.2.1/E058-G1053/1/21115-0105/1/3531  Instal BInformat</t>
  </si>
  <si>
    <t>1.2.1/E058-G1053/1/21115-0105/1/3551  Mantto Vehíc</t>
  </si>
  <si>
    <t>1.2.1/E058-G1053/1/21115-0105/1/3571  Instal Maqy otros</t>
  </si>
  <si>
    <t>1.2.1/E058-G1053/1/21115-0105/1/3581  Serv Limpieza</t>
  </si>
  <si>
    <t>1.2.1/E058-G1053/1/21115-0105/1/3611  Difusión Activ Gub</t>
  </si>
  <si>
    <t>1.2.1/E058-G1053/1/21115-0105/1/3612  Impresión Pub ofic</t>
  </si>
  <si>
    <t>1.2.1/E058-G1053/1/21115-0105/1/3631  Serv Creatividad</t>
  </si>
  <si>
    <t>1.2.1/E058-G1053/1/21115-0105/1/3641  Serv Revelado Fotog</t>
  </si>
  <si>
    <t>1.2.1/E058-G1053/1/21115-0105/1/3661  Serv Creación</t>
  </si>
  <si>
    <t>1.2.1/E058-G1053/1/21115-0105/1/3711  Pasajes aéreos Nac</t>
  </si>
  <si>
    <t>1.2.1/E058-G1053/1/21115-0105/1/3721  Pasajes terr Nac</t>
  </si>
  <si>
    <t>1.2.1/E058-G1053/1/21115-0105/1/3751  Viáticos nacionales</t>
  </si>
  <si>
    <t>1.2.1/E058-G1053/1/21115-0105/1/3811  Gastos de ceremonial</t>
  </si>
  <si>
    <t>1.2.1/E058-G1053/1/21115-0105/1/3831  Congresos y convenciones</t>
  </si>
  <si>
    <t>1.2.1/E058-G1053/1/21115-0105/1/3852  Gto Oficina SP</t>
  </si>
  <si>
    <t>1.2.1/E058-G1053/1/21115-0105/1/3921  Otros impuestos y derechos</t>
  </si>
  <si>
    <t>1.2.1/E058-G1053/1/21115-0105/1/3981  Impuesto sobre nóminas</t>
  </si>
  <si>
    <t>1.2.1/E058-G1053/1/21115-0105/2/5111  Muebles de oficina</t>
  </si>
  <si>
    <t>1.2.1/E058-G1053/1/21115-0105/2/5151  Computadoras</t>
  </si>
  <si>
    <t>1.2.1/E058-G1053/1/21115-0105/2/5191  Otros mobiliarios</t>
  </si>
  <si>
    <t>1.2.1/E058-G1053/1/21115-0105/2/5411  Automóviles y camiones</t>
  </si>
  <si>
    <t>1.2.1/E058-G1053/1/21115-0105/2/5911  Software</t>
  </si>
  <si>
    <t>1.2.1/E058-G1053/1/21115-0105/2/5971  Licencia informatica</t>
  </si>
  <si>
    <t>1.2.1/E058-G1053/1/21115-0105/1/7991  Erogaciones complementarias</t>
  </si>
  <si>
    <t>1.2.1/E058-G1054/1/21115-0110/1/1131  Sueldos Base</t>
  </si>
  <si>
    <t>1.2.1/E058-G1054/1/21115-0110/1/1311  Prima quinquenal</t>
  </si>
  <si>
    <t>1.2.1/E058-G1054/1/21115-0110/1/1321  Prima Vacacional</t>
  </si>
  <si>
    <t>1.2.1/E058-G1054/1/21115-0110/1/1323  Gratificación de fin de año</t>
  </si>
  <si>
    <t>1.2.1/E058-G1054/1/21115-0110/1/1411  Aportaciones al ISSEG</t>
  </si>
  <si>
    <t>1.2.1/E058-G1054/1/21115-0110/1/1412  Cuotas al ISSSTE</t>
  </si>
  <si>
    <t>1.2.1/E058-G1054/1/21115-0110/1/1441  Seguros</t>
  </si>
  <si>
    <t>1.2.1/E058-G1054/1/21115-0110/1/1541  Prestaciones CGT</t>
  </si>
  <si>
    <t>1.2.1/E058-G1054/1/21115-0110/1/1591  Asign Adic sueldo</t>
  </si>
  <si>
    <t>1.2.1/E058-G1054/1/21115-0110/1/1592  Otras prestaciones</t>
  </si>
  <si>
    <t>1.2.1/E058-G1054/1/21115-0110/1/1611  Prev de carat labora</t>
  </si>
  <si>
    <t>1.2.1/E058-G1054/1/21115-0110/1/1711  Estím Productividad</t>
  </si>
  <si>
    <t>1.2.1/E058-G1054/1/21115-0110/1/2111  Materiales y útiles de oficina</t>
  </si>
  <si>
    <t>1.2.1/E058-G1054/1/21115-0110/1/2612  Combus p Serv pub</t>
  </si>
  <si>
    <t>1.2.1/E058-G1054/1/21115-0110/1/3341  Servicios de capacitación</t>
  </si>
  <si>
    <t>1.2.1/E058-G1054/1/21115-0110/1/3551  Mantto Vehíc</t>
  </si>
  <si>
    <t>1.2.1/E058-G1054/1/21115-0110/1/3721  Pasajes terr Nac</t>
  </si>
  <si>
    <t>1.2.1/E058-G1054/1/21115-0110/1/3751  Viáticos nacionales</t>
  </si>
  <si>
    <t>1.2.1/E058-G1054/1/21115-0110/1/3981  Impuesto sobre nóminas</t>
  </si>
  <si>
    <t>1.2.1/E058-G1054/1/21115-0110/2/5111  Muebles de oficina</t>
  </si>
  <si>
    <t>1.2.1/E058-G1057/1/21115-0111/1/1131  Sueldos Base</t>
  </si>
  <si>
    <t>1.2.1/E058-G1057/1/21115-0111/1/1212  Honorarios asimilados</t>
  </si>
  <si>
    <t>1.2.1/E058-G1057/1/21115-0111/1/1311  Prima quinquenal</t>
  </si>
  <si>
    <t>1.2.1/E058-G1057/1/21115-0111/1/1321  Prima Vacacional</t>
  </si>
  <si>
    <t>1.2.1/E058-G1057/1/21115-0111/1/1323  Gratificación de fin de año</t>
  </si>
  <si>
    <t>1.2.1/E058-G1057/1/21115-0111/1/1411  Aportaciones al ISSEG</t>
  </si>
  <si>
    <t>1.2.1/E058-G1057/1/21115-0111/1/1412  Cuotas al ISSSTE</t>
  </si>
  <si>
    <t>1.2.1/E058-G1057/1/21115-0111/1/1441  Seguros</t>
  </si>
  <si>
    <t>1.2.1/E058-G1057/1/21115-0111/1/1541  Prestaciones CGT</t>
  </si>
  <si>
    <t>1.2.1/E058-G1057/1/21115-0111/1/1591  Asign Adic sueldo</t>
  </si>
  <si>
    <t>1.2.1/E058-G1057/1/21115-0111/1/1611  Prev de carat labora</t>
  </si>
  <si>
    <t>1.2.1/E058-G1057/1/21115-0111/1/1711  Estím Productividad</t>
  </si>
  <si>
    <t>1.2.1/E058-G1057/1/21115-0111/1/1712  Estím Personal Oper</t>
  </si>
  <si>
    <t>1.2.1/E058-G1057/1/21115-0111/1/2612  Combus p Serv pub</t>
  </si>
  <si>
    <t>1.2.1/E058-G1057/1/21115-0111/1/3341  Servicios de capacitación</t>
  </si>
  <si>
    <t>1.2.1/E058-G1057/1/21115-0111/1/3551  Mantto Vehíc</t>
  </si>
  <si>
    <t>1.2.1/E058-G1057/1/21115-0111/1/3611  Difusión Activ Gub</t>
  </si>
  <si>
    <t>1.2.1/E058-G1057/1/21115-0111/1/3711  Pasajes aéreos Nac</t>
  </si>
  <si>
    <t>1.2.1/E058-G1057/1/21115-0111/1/3721  Pasajes terr Nac</t>
  </si>
  <si>
    <t>1.2.1/E058-G1057/1/21115-0111/1/3751  Viáticos nacionales</t>
  </si>
  <si>
    <t>1.2.1/E058-G1057/1/21115-0111/1/3811  Gastos de ceremonial</t>
  </si>
  <si>
    <t>1.2.1/E058-G1057/1/21115-0111/1/3981  Impuesto sobre nóminas</t>
  </si>
  <si>
    <t>1.2.1/E058-G1057/1/21115-0111/2/5151  Computadoras</t>
  </si>
  <si>
    <t>1.2.1/E058-P0850/1/21115-0100/1/1131  Sueldos Base</t>
  </si>
  <si>
    <t>1.2.1/E058-P0850/1/21115-0100/1/1211  Honorarios</t>
  </si>
  <si>
    <t>1.2.1/E058-P0850/1/21115-0100/1/1212  Honorarios asimilados</t>
  </si>
  <si>
    <t>1.2.1/E058-P0850/1/21115-0100/1/1311  Prima quinquenal</t>
  </si>
  <si>
    <t>1.2.1/E058-P0850/1/21115-0100/1/1321  Prima Vacacional</t>
  </si>
  <si>
    <t>1.2.1/E058-P0850/1/21115-0100/1/1323  Gratificación de fin de año</t>
  </si>
  <si>
    <t>1.2.1/E058-P0850/1/21115-0100/1/1342  Compensaciones por servicios</t>
  </si>
  <si>
    <t>1.2.1/E058-P0850/1/21115-0100/1/1411  Aportaciones al ISSEG</t>
  </si>
  <si>
    <t>1.2.1/E058-P0850/1/21115-0100/1/1412  Cuotas al ISSSTE</t>
  </si>
  <si>
    <t>1.2.1/E058-P0850/1/21115-0100/1/1441  Seguros</t>
  </si>
  <si>
    <t>1.2.1/E058-P0850/1/21115-0100/1/1541  Prestaciones CGT</t>
  </si>
  <si>
    <t>1.2.1/E058-P0850/1/21115-0100/1/1591  Asign Adic sueldo</t>
  </si>
  <si>
    <t>1.2.1/E058-P0850/1/21115-0100/1/1592  Otras prestaciones</t>
  </si>
  <si>
    <t>1.2.1/E058-P0850/1/21115-0100/1/1611  Prev de carat labora</t>
  </si>
  <si>
    <t>1.2.1/E058-P0850/1/21115-0100/1/1711  Estím Productividad</t>
  </si>
  <si>
    <t>1.2.1/E058-P0850/1/21115-0100/1/1712  Estím Personal Oper</t>
  </si>
  <si>
    <t>1.2.1/E058-P0850/1/21115-0100/1/2151  Mat impreso  e info</t>
  </si>
  <si>
    <t>1.2.1/E058-P0850/1/21115-0100/1/2212  Prod Alimen instal</t>
  </si>
  <si>
    <t>1.2.1/E058-P0850/1/21115-0100/1/2612  Combus p Serv pub</t>
  </si>
  <si>
    <t>1.2.1/E058-P0850/1/21115-0100/1/3181  Servicio postal</t>
  </si>
  <si>
    <t>1.2.1/E058-P0850/1/21115-0100/1/3221  Arrendam Edificios</t>
  </si>
  <si>
    <t>1.2.1/E058-P0850/1/21115-0100/1/3332  Serv Procesos</t>
  </si>
  <si>
    <t>1.2.1/E058-P0850/1/21115-0100/1/3341  Servicios de capacitación</t>
  </si>
  <si>
    <t>1.2.1/E058-P0850/1/21115-0100/1/3361  Impresiones docofic</t>
  </si>
  <si>
    <t>1.2.1/E058-P0850/1/21115-0100/1/3551  Mantto Vehíc</t>
  </si>
  <si>
    <t>1.2.1/E058-P0850/1/21115-0100/1/3611  Difusión Activ Gub</t>
  </si>
  <si>
    <t>1.2.1/E058-P0850/1/21115-0100/1/3711  Pasajes aéreos Nac</t>
  </si>
  <si>
    <t>1.2.1/E058-P0850/1/21115-0100/1/3721  Pasajes terr Nac</t>
  </si>
  <si>
    <t>1.2.1/E058-P0850/1/21115-0100/1/3751  Viáticos nacionales</t>
  </si>
  <si>
    <t>1.2.1/E058-P0850/1/21115-0100/1/3761  Viáticos Extranjero</t>
  </si>
  <si>
    <t>1.2.1/E058-P0850/1/21115-0100/1/3811  Gastos de ceremonial</t>
  </si>
  <si>
    <t>1.2.1/E058-P0850/1/21115-0100/1/3831  Congresos y convenciones</t>
  </si>
  <si>
    <t>1.2.1/E058-P0850/1/21115-0100/1/3853  Gastos de representación</t>
  </si>
  <si>
    <t>1.2.1/E058-P0850/1/21115-0100/1/3981  Impuesto sobre nóminas</t>
  </si>
  <si>
    <t>1.2.1/E058-P0850/1/21115-0100/2/5151  Computadoras</t>
  </si>
  <si>
    <t>1.2.1/E058-P0850/1/21115-0100/2/5411  Automóviles y camiones</t>
  </si>
  <si>
    <t>TRIBUNAL DE JUSTICIA ADMINISTRATIVA</t>
  </si>
  <si>
    <t>*     5116     Pago de estímulos</t>
  </si>
  <si>
    <t xml:space="preserve">      511601712  Est al personal op</t>
  </si>
  <si>
    <t xml:space="preserve">      512102161  Material de limpie</t>
  </si>
  <si>
    <t>*     5127     Vestuario, Blancos,</t>
  </si>
  <si>
    <t xml:space="preserve">      512702711  Vestuario y unifor</t>
  </si>
  <si>
    <t xml:space="preserve">      512902921  Ref y acc menores</t>
  </si>
  <si>
    <t xml:space="preserve">      513303312  Servicios contabil</t>
  </si>
  <si>
    <t xml:space="preserve">      513403451  Seg Bienes patrimo</t>
  </si>
  <si>
    <t xml:space="preserve">      513503571  Instal Maqy otros</t>
  </si>
  <si>
    <t xml:space="preserve">      513503581  Serv Limpieza</t>
  </si>
  <si>
    <t xml:space="preserve">      513803853  Gto Representación</t>
  </si>
  <si>
    <t xml:space="preserve">      2921  Ref Edificios</t>
  </si>
  <si>
    <t>2921</t>
  </si>
  <si>
    <t>1.2.1/E058-G1053/1/21115-0105/1/2921  Ref Edificios</t>
  </si>
  <si>
    <t>1.2.1/E058-G1054/1/21115-0110/2/5151  Computadoras</t>
  </si>
  <si>
    <t xml:space="preserve">  511601712  Estímulos al personal operativo</t>
  </si>
  <si>
    <t xml:space="preserve">  513303312  Servicios de contabilidad</t>
  </si>
  <si>
    <t xml:space="preserve">  513403451  Seguro de bienes patrimoniales</t>
  </si>
  <si>
    <t xml:space="preserve">  513803853  Gastos de representación</t>
  </si>
  <si>
    <t>EFE-02 ADQ. BIENES MUEBLES E INMUEBLES</t>
  </si>
  <si>
    <t>% SUB</t>
  </si>
  <si>
    <t xml:space="preserve">    124135151  Computadoras</t>
  </si>
  <si>
    <t>*   1241     Mobiliario y Eq. de Admon.</t>
  </si>
  <si>
    <t>**  MUEBLES</t>
  </si>
  <si>
    <t>*** EFE-02 TOTAL</t>
  </si>
  <si>
    <t xml:space="preserve">      512402461  Mat Eléctrico</t>
  </si>
  <si>
    <t xml:space="preserve">      512402491  Materiales diverso</t>
  </si>
  <si>
    <t>*     5125     Productos Químicos,</t>
  </si>
  <si>
    <t xml:space="preserve">      512502531  Medicinas y produc</t>
  </si>
  <si>
    <t xml:space="preserve">      513503512  Adaptación Inmuebl</t>
  </si>
  <si>
    <t xml:space="preserve">      513503531  Instal BInformat</t>
  </si>
  <si>
    <t xml:space="preserve">      513503591  Serv Jardinería</t>
  </si>
  <si>
    <t xml:space="preserve">      513703711  Pasajes aéreos Nac</t>
  </si>
  <si>
    <t xml:space="preserve">      513803831  Congresos y Conven</t>
  </si>
  <si>
    <t>*     5518     Disminucion de Biene</t>
  </si>
  <si>
    <t xml:space="preserve">      551805411  Automóviles y cami</t>
  </si>
  <si>
    <t>4</t>
  </si>
  <si>
    <t>4/1.1.6/710001  CURSOS</t>
  </si>
  <si>
    <t>4/1.1.6/710014  OTROS INGRESOS</t>
  </si>
  <si>
    <t xml:space="preserve">      3591  Serv Jardinería</t>
  </si>
  <si>
    <t xml:space="preserve">      5651  Eq Comunicación</t>
  </si>
  <si>
    <t xml:space="preserve">      1341  Compens Serv Eventua</t>
  </si>
  <si>
    <t>3591</t>
  </si>
  <si>
    <t>1.2.1/E058-G1053/1/21115-0105/1/3591  Serv Jardinería</t>
  </si>
  <si>
    <t>5651</t>
  </si>
  <si>
    <t>1.2.1/E058-G1053/1/21115-0105/2/5651  Eq Comunicación</t>
  </si>
  <si>
    <t>1.2.1/E058-G1054/1/21115-0110/1/3921  Otros impuestos y derechos</t>
  </si>
  <si>
    <t>1.2.1/E058-G1057/1/21115-0111/1/2112  Equipos menores de oficina</t>
  </si>
  <si>
    <t>1341</t>
  </si>
  <si>
    <t>1.2.1/E058-P0850/1/21115-0100/1/1341  Compens Serv Eventua</t>
  </si>
  <si>
    <t>1.2.1/E058-P0850/1/21115-0100/1/2112  Equipos menores de oficina</t>
  </si>
  <si>
    <t>1.2.1/E058-P0850/1/21115-0100/2/5111  Muebles de oficina</t>
  </si>
  <si>
    <t>1.2.1/E058-P0850/1/21115-0100/2/5191  Otros mobiliarios</t>
  </si>
  <si>
    <t xml:space="preserve">  512402461  Material eléctrico y electrónico</t>
  </si>
  <si>
    <t xml:space="preserve">  513503512  Adaptación de inmuebles</t>
  </si>
  <si>
    <t xml:space="preserve">  513803831  Congresos y convenciones</t>
  </si>
  <si>
    <t xml:space="preserve">    124115111  Muebles de oficina y</t>
  </si>
  <si>
    <t xml:space="preserve">    124195191  Otros mob y equipo a</t>
  </si>
  <si>
    <t xml:space="preserve">    124415411  Automóviles y camiones</t>
  </si>
  <si>
    <t>*   1244     Equipo de Transporte</t>
  </si>
  <si>
    <t xml:space="preserve">    124655651  Eq Comunicación</t>
  </si>
  <si>
    <t>*   1246     Maquinaria, otros Eq. y Herr.</t>
  </si>
  <si>
    <t>31 DE DICIEMBRE DE 2017</t>
  </si>
  <si>
    <t>Combinación</t>
  </si>
  <si>
    <t xml:space="preserve">      3261  Arren Maq y eq</t>
  </si>
  <si>
    <t>1.2.1/E058-G1053/1/21115-0100/2/5111  Muebles de oficina</t>
  </si>
  <si>
    <t>3261</t>
  </si>
  <si>
    <t>1.2.1/E058-G1053/1/21115-0105/1/3261  Arren Maq y eq</t>
  </si>
  <si>
    <t>1.2.1/E058-G1053/1/21115-0107/1/3551  Mantto Vehíc</t>
  </si>
  <si>
    <t>1.2.1/E058-G1054/1/21115-0105/2/5651  Eq Comunicación</t>
  </si>
  <si>
    <t>1.2.1/E058-G1054/1/21115-0107/2/5411  Automóviles y camiones</t>
  </si>
  <si>
    <t>1.2.1/E058-P0850/1/21115-0100/1/1531  Prestaciones de retiro</t>
  </si>
  <si>
    <t>1.2.1/E058-P0850/1/21115-0100/1/3231  Arren Mobiliario</t>
  </si>
  <si>
    <t>1.2.1/E058-P0850/1/21115-0100/2/5651  Eq Comunicación</t>
  </si>
  <si>
    <t>1.2.1/E058-P0850/1/21115-0105/1/1321  Prima Vacacional</t>
  </si>
  <si>
    <t>1.2.1/E058-P0850/1/21115-0105/1/2112  Equipos menores de oficina</t>
  </si>
  <si>
    <t xml:space="preserve">La información financiera sobre el presupuesto asignado, así como los informes del ejercicio trimestral del gasto, en términos de la Ley General de Contabilidad Gubernamental y demás normatividad aplicable;
</t>
  </si>
  <si>
    <t>La información financiera sobre el presupuesto asignado, así como los informes del ejercicio trimestral del gasto, en términos de la Ley General de Contabilidad Gubernamental y demás normatividad aplicable;</t>
  </si>
  <si>
    <t>Formato 21a LGT_Art_70_Fr_XXI</t>
  </si>
  <si>
    <t>Formato 21b LGT_Art_70_Fr_XXI</t>
  </si>
  <si>
    <t>Presupuesto asignado anual</t>
  </si>
  <si>
    <t>Ejercicio de los egresos presupuestarios</t>
  </si>
  <si>
    <t xml:space="preserve">Ejercicio </t>
  </si>
  <si>
    <t xml:space="preserve">Fecha de inicio del periodo que se informa (día/mes/año) </t>
  </si>
  <si>
    <t xml:space="preserve">Fecha de término del periodo que se informa (día/mes/año) </t>
  </si>
  <si>
    <t xml:space="preserve">Presupuesto anual asignado al sujeto obligado 
</t>
  </si>
  <si>
    <t xml:space="preserve">Clave del capítulo </t>
  </si>
  <si>
    <t>Denominación 
del capítulo, concepto o partida</t>
  </si>
  <si>
    <t>Gasto aprobado 
por capítulo, concepto o partida</t>
  </si>
  <si>
    <t xml:space="preserve">Ampliación / (Reducciones) </t>
  </si>
  <si>
    <t xml:space="preserve"> Subejercicio</t>
  </si>
  <si>
    <t>Informe de avances programáticos o presupuestales, balances generales y su estado financiero;</t>
  </si>
  <si>
    <t>Formato 31a LGT_Art_70_Fr_XXXI</t>
  </si>
  <si>
    <t>Gasto por Capítulo, Concepto y Partida</t>
  </si>
  <si>
    <t xml:space="preserve">Clave del concepto </t>
  </si>
  <si>
    <t xml:space="preserve">Clave de la partida </t>
  </si>
  <si>
    <t xml:space="preserve">Gasto modificado 
por capítulo, concepto o partida </t>
  </si>
  <si>
    <t>Gasto comprometido 
por capítulo, concepto o partida</t>
  </si>
  <si>
    <t>Gasto devengado 
por capítulo, concepto o partida</t>
  </si>
  <si>
    <t xml:space="preserve">Gasto ejercido 
por capítulo, concepto o partida </t>
  </si>
  <si>
    <t xml:space="preserve">Gasto pagado 
por capítulo, concepto o partida </t>
  </si>
  <si>
    <t>Dietas</t>
  </si>
  <si>
    <t>Haberes</t>
  </si>
  <si>
    <t>Sueldos base al personal permanente</t>
  </si>
  <si>
    <t>Remuneraciones por adscripción laboral en el extranjero</t>
  </si>
  <si>
    <t>Honorarios asimilables a salarios</t>
  </si>
  <si>
    <t>Sueldos base al personal eventual</t>
  </si>
  <si>
    <t>Retribuciones por servicios de carácter social</t>
  </si>
  <si>
    <t>Retribución a los representantes de los trabajadores y de los patrones en la Junta de Conciliación y Arbitraje</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</si>
  <si>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</si>
  <si>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</si>
  <si>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</si>
  <si>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</si>
  <si>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</si>
  <si>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</si>
  <si>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</si>
  <si>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las leyes y custodia de valores</t>
  </si>
  <si>
    <t>Aportaciones de seguridad social</t>
  </si>
  <si>
    <t>Aportaciones a fondos de vivienda</t>
  </si>
  <si>
    <t>Aportaciones al sistema para el retiro</t>
  </si>
  <si>
    <t>Aportaciones para seguros</t>
  </si>
  <si>
    <t>Cuotas para el fondo de ahorro y fondo de trabajo</t>
  </si>
  <si>
    <t>Prestaciones y haberes de retiro</t>
  </si>
  <si>
    <t>Prestaciones contractuales</t>
  </si>
  <si>
    <t>Apoyos a la capacitación de los servidores públicos</t>
  </si>
  <si>
    <t>Previsiones de carácter laboral, económica y de seguridad social</t>
  </si>
  <si>
    <t>Estímulos</t>
  </si>
  <si>
    <t>Recompensas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</si>
  <si>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</si>
  <si>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</si>
  <si>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</si>
  <si>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</si>
  <si>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</si>
  <si>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</si>
  <si>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</si>
  <si>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</si>
  <si>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Productos alimenticios para personas</t>
  </si>
  <si>
    <t>Productos alimenticios para animales</t>
  </si>
  <si>
    <t>Utensilios para el servicio de alimentación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</si>
  <si>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</si>
  <si>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</si>
  <si>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</si>
  <si>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</si>
  <si>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</si>
  <si>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</si>
  <si>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</si>
  <si>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</si>
  <si>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</si>
  <si>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</si>
  <si>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</si>
  <si>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</si>
  <si>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</si>
  <si>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</si>
  <si>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</si>
  <si>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</si>
  <si>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</si>
  <si>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</si>
  <si>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</si>
  <si>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</si>
  <si>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</si>
  <si>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</si>
  <si>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</si>
  <si>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</si>
  <si>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</si>
  <si>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Carbón y sus derivados</t>
  </si>
  <si>
    <t>Vestuario y uniformes</t>
  </si>
  <si>
    <t>Prendas de seguridad y protección personal</t>
  </si>
  <si>
    <t>Artículos deportivos</t>
  </si>
  <si>
    <t>Productos textiles</t>
  </si>
  <si>
    <t>Blancos y otros productos textiles, excepto prendas de vestir</t>
  </si>
  <si>
    <t>Sustancias y materiales explosivos</t>
  </si>
  <si>
    <t>Materiales de seguridad pública</t>
  </si>
  <si>
    <t>Prendas de protección para seguridad pública y nacional</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</si>
  <si>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</si>
  <si>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</si>
  <si>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</si>
  <si>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</si>
  <si>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</si>
  <si>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</si>
  <si>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</si>
  <si>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</si>
  <si>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</si>
  <si>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</si>
  <si>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</si>
  <si>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</si>
  <si>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</si>
  <si>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</si>
  <si>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</si>
  <si>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</si>
  <si>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</si>
  <si>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</si>
  <si>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</si>
  <si>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</si>
  <si>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</si>
  <si>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</si>
  <si>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</si>
  <si>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</si>
  <si>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</si>
  <si>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</si>
  <si>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</si>
  <si>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legales, de contabilidad, auditoría y relacionados</t>
  </si>
  <si>
    <t>Servicios de diseño, arquitectura, ingeniería y actividades relacionadas</t>
  </si>
  <si>
    <t>Servicios de consultoría administrativa, procesos, técnica y en tecnologías de la información</t>
  </si>
  <si>
    <t xml:space="preserve">Servicios de capacitación </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</si>
  <si>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</si>
  <si>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</si>
  <si>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</si>
  <si>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</si>
  <si>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</si>
  <si>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</si>
  <si>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</si>
  <si>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</si>
  <si>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</si>
  <si>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</si>
  <si>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</si>
  <si>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</si>
  <si>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</si>
  <si>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</si>
  <si>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</si>
  <si>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</si>
  <si>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</si>
  <si>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</si>
  <si>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</si>
  <si>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</si>
  <si>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</si>
  <si>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</si>
  <si>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</si>
  <si>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</si>
  <si>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</si>
  <si>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</si>
  <si>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</si>
  <si>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</si>
  <si>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</si>
  <si>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</si>
  <si>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</si>
  <si>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</si>
  <si>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</si>
  <si>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</si>
  <si>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</si>
  <si>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</si>
  <si>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</si>
  <si>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</si>
  <si>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</si>
  <si>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Gastos de ceremonial</t>
  </si>
  <si>
    <t>Gastos de orden social y cultural</t>
  </si>
  <si>
    <t>Congresos y convenciones</t>
  </si>
  <si>
    <t>Exposiciones</t>
  </si>
  <si>
    <t>Gastos de representación</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</si>
  <si>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</si>
  <si>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</si>
  <si>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</si>
  <si>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</si>
  <si>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</si>
  <si>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</si>
  <si>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</si>
  <si>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nóminas y otros que se deriven de una relación laboral</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</si>
  <si>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</si>
  <si>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</si>
  <si>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</si>
  <si>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</si>
  <si>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</si>
  <si>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</si>
  <si>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</si>
  <si>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</si>
  <si>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</si>
  <si>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</si>
  <si>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</si>
  <si>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Transferencias otorgadas para instituciones paraestatales públicas financieras</t>
  </si>
  <si>
    <t>Transferencias otorgadas a entidades federativas y municipios</t>
  </si>
  <si>
    <t>Transferencias a fideicomisos de entidades federativas y municipios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</si>
  <si>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</si>
  <si>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</si>
  <si>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</si>
  <si>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</si>
  <si>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</si>
  <si>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</si>
  <si>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</si>
  <si>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</si>
  <si>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</si>
  <si>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</si>
  <si>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</si>
  <si>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</si>
  <si>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</si>
  <si>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</si>
  <si>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</si>
  <si>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</si>
  <si>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Transferencias a fideicomisos del Poder Ejecutivo</t>
  </si>
  <si>
    <t>Transferencias a fideicomisos del Poder Legislativo</t>
  </si>
  <si>
    <t>Transferencias a fideicomisos del Poder Judicial</t>
  </si>
  <si>
    <t>Transferencias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</si>
  <si>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</si>
  <si>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</si>
  <si>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</si>
  <si>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Transferencias por obligación de ley</t>
  </si>
  <si>
    <t>Donativos a entidades federativas</t>
  </si>
  <si>
    <t>Donativos a fideicomisos privados</t>
  </si>
  <si>
    <t>Donativos a fideicomisos estatales</t>
  </si>
  <si>
    <t>Transferencias para gobiernos extranjeros</t>
  </si>
  <si>
    <t>Transferencias para organismos internacionales</t>
  </si>
  <si>
    <t>Transferencias para el sector privado externo</t>
  </si>
  <si>
    <t>Muebles de oficina y estantería</t>
  </si>
  <si>
    <t>Muebles, excepto de oficina y estantería</t>
  </si>
  <si>
    <t>Bienes artísticos, culturales y científicos</t>
  </si>
  <si>
    <t>Objetos de valor</t>
  </si>
  <si>
    <t>Equipo de cómputo y de tecnologías de la información</t>
  </si>
  <si>
    <t>Otros mobiliarios y equipos de administración</t>
  </si>
  <si>
    <t>Equipos y aparatos audiovisuales</t>
  </si>
  <si>
    <t>Aparatos deportivos</t>
  </si>
  <si>
    <t>Cámaras fotográficas y de video</t>
  </si>
  <si>
    <t>Otro mobiliario y equipo educacional y recreativo</t>
  </si>
  <si>
    <t>Equipo médico y de laboratorio</t>
  </si>
  <si>
    <t>Instrumental médico y de laboratorio</t>
  </si>
  <si>
    <t>Vehículos y equipo terrestre</t>
  </si>
  <si>
    <t>Carrocerías y remolques</t>
  </si>
  <si>
    <t>Equipo aeroespacial</t>
  </si>
  <si>
    <t>Equipo ferroviario</t>
  </si>
  <si>
    <t>Embarcaciones</t>
  </si>
  <si>
    <t>Otros equipos de transporte</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</si>
  <si>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</si>
  <si>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</si>
  <si>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</si>
  <si>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</si>
  <si>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</si>
  <si>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</si>
  <si>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y máquinas-herramienta</t>
  </si>
  <si>
    <t>Otros equipos</t>
  </si>
  <si>
    <t>Bovinos</t>
  </si>
  <si>
    <t>Porcinos</t>
  </si>
  <si>
    <t>Aves</t>
  </si>
  <si>
    <t>Ovinos y caprinos</t>
  </si>
  <si>
    <t>Peces y acuicultura</t>
  </si>
  <si>
    <t>Equinos</t>
  </si>
  <si>
    <t>Especies menores y de zoológico</t>
  </si>
  <si>
    <t>Árboles y plantas</t>
  </si>
  <si>
    <t>Otros activos biológicos</t>
  </si>
  <si>
    <t>Edificios no residenciales</t>
  </si>
  <si>
    <t>Patentes</t>
  </si>
  <si>
    <t>Marcas</t>
  </si>
  <si>
    <t>Concesiones</t>
  </si>
  <si>
    <t>Franquicias</t>
  </si>
  <si>
    <t>Licencias informáticas e intelectuales</t>
  </si>
  <si>
    <t>Licencias industriales, comerciales y otras</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</si>
  <si>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</si>
  <si>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</si>
  <si>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</si>
  <si>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</si>
  <si>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</si>
  <si>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</si>
  <si>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</si>
  <si>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Trabajos de acabados en edificaciones y otros trabajos especializados</t>
  </si>
  <si>
    <t>Estudios, formulación y evaluación de proyectos productivos no incluidos en conceptos anteriores de este capítulo</t>
  </si>
  <si>
    <t>Ejecución de proyectos productivos no incluidos en conceptos anteriores de este capítulo</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</si>
  <si>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</si>
  <si>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</si>
  <si>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</si>
  <si>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</si>
  <si>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</si>
  <si>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</si>
  <si>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</si>
  <si>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</si>
  <si>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liquidez</t>
  </si>
  <si>
    <t>Acciones y participaciones de capital en el sector privado con fines de gestión de liquidez</t>
  </si>
  <si>
    <t>Acciones y participaciones de capital en el sector externo con fines de gestión de liquidez</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</si>
  <si>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</si>
  <si>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</si>
  <si>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</si>
  <si>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</si>
  <si>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</si>
  <si>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</si>
  <si>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</si>
  <si>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</si>
  <si>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</si>
  <si>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</si>
  <si>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</si>
  <si>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</si>
  <si>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</si>
  <si>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</si>
  <si>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</si>
  <si>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</si>
  <si>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</si>
  <si>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</si>
  <si>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</si>
  <si>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</si>
  <si>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</si>
  <si>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</si>
  <si>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</si>
  <si>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</si>
  <si>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Depósitos a largo plazo en moneda nacional</t>
  </si>
  <si>
    <t>Depósitos a largo plazo en moneda extranjera</t>
  </si>
  <si>
    <t>Contingencias por fenómenos naturales</t>
  </si>
  <si>
    <t>Contingencias socioeconómicas</t>
  </si>
  <si>
    <t>Otras erogaciones especiales</t>
  </si>
  <si>
    <t>Fondo general de participaciones</t>
  </si>
  <si>
    <t>Fondo de fomento municipal</t>
  </si>
  <si>
    <t>Otros conceptos participables de la Federación a entidades federativas</t>
  </si>
  <si>
    <t>Otros conceptos participables de la Federación a municipios</t>
  </si>
  <si>
    <t>Convenios de colaboración administrativa</t>
  </si>
  <si>
    <t>Aportaciones de la Federación a las entidades federativas</t>
  </si>
  <si>
    <t>Aportaciones de la Federación a municipios</t>
  </si>
  <si>
    <t>Aportaciones previstas en leyes y decretos al sistema de protección social</t>
  </si>
  <si>
    <t>Aportaciones previstas en leyes y decretos compensatorias a entidades federativas y municipios</t>
  </si>
  <si>
    <t>Convenios de descentralización</t>
  </si>
  <si>
    <t>Otros convenios</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</si>
  <si>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</si>
  <si>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</si>
  <si>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</si>
  <si>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</si>
  <si>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</si>
  <si>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</si>
  <si>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</si>
  <si>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</si>
  <si>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</si>
  <si>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</si>
  <si>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</si>
  <si>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</si>
  <si>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</si>
  <si>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</si>
  <si>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</si>
  <si>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</si>
  <si>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Costos por coberturas</t>
  </si>
  <si>
    <t>Apoyos a intermediarios financieros</t>
  </si>
  <si>
    <t>Apoyos a ahorradores y deudores del Sistema Financiero Nacional</t>
  </si>
  <si>
    <t>ADEFAS</t>
  </si>
  <si>
    <t>liga</t>
  </si>
  <si>
    <t>Del 1 de enero al  31 de diciembre de 2017</t>
  </si>
  <si>
    <t xml:space="preserve">  111400001  BBVA Bancomer 204586</t>
  </si>
  <si>
    <t xml:space="preserve">  211100171  PASIVOS CAP. 1000</t>
  </si>
  <si>
    <t xml:space="preserve">  211100173  PASIVOS CAP. 3000</t>
  </si>
  <si>
    <t xml:space="preserve">  211200173  PASIVOS CAP. 3000</t>
  </si>
  <si>
    <t xml:space="preserve">  513203261  Arren Maq y eq</t>
  </si>
  <si>
    <t>*     1114     Inversiones Temporal</t>
  </si>
  <si>
    <t xml:space="preserve">      111400001  BBVA Bancomer 2045</t>
  </si>
  <si>
    <t xml:space="preserve">      211100171  PASIVOS CAP. 1000</t>
  </si>
  <si>
    <t xml:space="preserve">      211100173  PASIVOS CAP. 3000</t>
  </si>
  <si>
    <t xml:space="preserve">      211200173  PASIVOS CAP. 3000</t>
  </si>
  <si>
    <t xml:space="preserve">      511601711  Estímulos prod y e</t>
  </si>
  <si>
    <t xml:space="preserve">      512902911  Herramientas menor</t>
  </si>
  <si>
    <t xml:space="preserve">      513203261  Arren Maq y eq</t>
  </si>
  <si>
    <t xml:space="preserve">      513603612  Impresión Pub ofic</t>
  </si>
  <si>
    <t xml:space="preserve">      2611  Combus p Seg pub</t>
  </si>
  <si>
    <t xml:space="preserve">      3311  Servicios legales</t>
  </si>
  <si>
    <t>2611</t>
  </si>
  <si>
    <t>1.2.1/E058-G1053/1/21115-0105/1/2611  Combus p Seg pub</t>
  </si>
  <si>
    <t>3311</t>
  </si>
  <si>
    <t>1.2.1/E058-G1053/1/21115-0105/1/3311  Servicios legales</t>
  </si>
  <si>
    <t>1.2.1/E058-G1054/1/21115-0110/1/2611  Combus p Seg pub</t>
  </si>
  <si>
    <t>1.2.1/E058-G1057/1/21115-0111/1/2611  Combus p Seg pub</t>
  </si>
  <si>
    <t>1.2.1/E058-P0850/1/21115-0100/1/2111  Materiales y útiles de oficina</t>
  </si>
  <si>
    <t>1.2.1/E058-P0850/1/21115-0100/1/2611  Combus p Seg pub</t>
  </si>
  <si>
    <t>1.2.1/E058-P0850/1/21115-0100/1/3331  Serv Consultoría</t>
  </si>
  <si>
    <t>1.2.1/E058-P0850/1/21115-0100/1/3852  Gto Oficina SP</t>
  </si>
  <si>
    <t>1.2.1/E058-P0850/2/21115-0105/1/3471  Fletes y maniobras</t>
  </si>
  <si>
    <t>1.2.1/E058-P0850/3/21115-0105/1/3921  Otros impuestos y derechos</t>
  </si>
  <si>
    <t>1.2.1/E058-P0850/5/21115-0110/1/3341  Servicios de capacitación</t>
  </si>
  <si>
    <t>1.2.1/E058-P2039/10/21115-0107/1/1131  Sueldos Base</t>
  </si>
  <si>
    <t>1.2.1/E058-P2039/11/21115-0107/1/1321  Prima Vacacional</t>
  </si>
  <si>
    <t>1.2.1/E058-P2039/12/21115-0107/1/1323  Gratificación de fin de año</t>
  </si>
  <si>
    <t>1.2.1/E058-P2039/13/21115-0107/1/1342  Compensaciones por servicios</t>
  </si>
  <si>
    <t>1.2.1/E058-P2039/14/21115-0107/1/1411  Aportaciones al ISSEG</t>
  </si>
  <si>
    <t>1.2.1/E058-P2039/15/21115-0107/1/1412  Cuotas al ISSSTE</t>
  </si>
  <si>
    <t>1.2.1/E058-P2039/16/21115-0107/1/1541  Prestaciones CGT</t>
  </si>
  <si>
    <t>1.2.1/E058-P2039/17/21115-0107/1/1592  Otras prestaciones</t>
  </si>
  <si>
    <t>1.2.1/E058-P2039/18/21115-0107/1/3221  Arrendam Edificios</t>
  </si>
  <si>
    <t>1.2.2/E058-P2039/23/21115-0100/1/1411  Aportaciones al ISSEG</t>
  </si>
  <si>
    <t>1.2.2/E058-P2039/25/21115-0107/1/1131  Sueldos Base</t>
  </si>
  <si>
    <t>1.2.2/E058-P2039/26/21115-0107/1/1212  Honorarios asimilados</t>
  </si>
  <si>
    <t>1.2.2/E058-P2039/27/21115-0107/1/1311  Prima quinquenal</t>
  </si>
  <si>
    <t>1.2.2/E058-P2039/28/21115-0107/1/1321  Prima Vacacional</t>
  </si>
  <si>
    <t>1.2.2/E058-P2039/29/21115-0107/1/1323  Gratificación de fin de año</t>
  </si>
  <si>
    <t>1.2.2/E058-P2039/30/21115-0107/1/1342  Compensaciones por servicios</t>
  </si>
  <si>
    <t>1.2.2/E058-P2039/31/21115-0107/1/1411  Aportaciones al ISSEG</t>
  </si>
  <si>
    <t>1.2.2/E058-P2039/32/21115-0107/1/1412  Cuotas al ISSSTE</t>
  </si>
  <si>
    <t>1.2.2/E058-P2039/33/21115-0107/1/1541  Prestaciones CGT</t>
  </si>
  <si>
    <t>1.2.2/E058-P2039/34/21115-0107/1/1591  Asign Adic sueldo</t>
  </si>
  <si>
    <t>1.2.2/E058-P2039/35/21115-0107/1/1592  Otras prestaciones</t>
  </si>
  <si>
    <t>1.2.2/E058-P2039/36/21115-0107/1/1611  Prev de carat labora</t>
  </si>
  <si>
    <t>1.2.2/E058-P2039/37/21115-0107/1/1711  Estím Productividad</t>
  </si>
  <si>
    <t>1.2.2/E058-P2039/38/21115-0107/1/1712  Estím Personal Oper</t>
  </si>
  <si>
    <t>1.2.2/E058-P2039/39/21115-0107/1/2611  Combus p Seg pub</t>
  </si>
  <si>
    <t>1.2.2/E058-P2039/40/21115-0107/1/2612  Combus p Serv pub</t>
  </si>
  <si>
    <t>1.2.2/E058-P2039/41/21115-0107/1/3111  Servicio de energía eléctrica</t>
  </si>
  <si>
    <t>1.2.2/E058-P2039/42/21115-0107/1/3221  Arrendam Edificios</t>
  </si>
  <si>
    <t>1.2.2/E058-P2039/43/21115-0107/1/3551  Mantto Vehíc</t>
  </si>
  <si>
    <t>1.2.2/E058-P2039/44/21115-0107/1/3721  Pasajes terr Nac</t>
  </si>
  <si>
    <t>1.2.2/E058-P2039/45/21115-0107/1/3751  Viáticos nacionales</t>
  </si>
  <si>
    <t>1.2.2/E058-P2039/46/21115-0107/1/3981  Impuesto sobre nóminas</t>
  </si>
  <si>
    <t>ESF-01 FONDOS / INVERSIONES FINANCIERAS</t>
  </si>
  <si>
    <t>MONTO PARCIAL</t>
  </si>
  <si>
    <t xml:space="preserve">    111400001  BBVA Bancomer 2045862620</t>
  </si>
  <si>
    <t>*   3 MESES</t>
  </si>
  <si>
    <t>**  TOTAL INVERSIONES FINANCIERAS</t>
  </si>
  <si>
    <t>*** ESF-01 TOTAL</t>
  </si>
  <si>
    <t xml:space="preserve">   211100171  PASIVOS CAP. 1000</t>
  </si>
  <si>
    <t xml:space="preserve">   211200173  PASIVOS CAP. 3000</t>
  </si>
  <si>
    <t xml:space="preserve">   111400001  BBVA Bancomer 2045862620</t>
  </si>
  <si>
    <t>*  1114     Inversiones Temporales(3 meses)</t>
  </si>
  <si>
    <t xml:space="preserve">    125215972  Licencias informatic</t>
  </si>
  <si>
    <t>*   1252     Patentes, Marcas y Derechos</t>
  </si>
  <si>
    <t>**  INTANGIBLES</t>
  </si>
  <si>
    <t>TRIBUNAL DE JUSTICIA ADMINISTRATIVA
NOTAS DE DESGLOSE
AL 31 DE DICIEMBRE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</si>
</sst>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0.00_ ;\-#,##0.00\ "/>
    <numFmt numFmtId="165" formatCode="0_ ;\-0\ "/>
    <numFmt numFmtId="166" formatCode="#,##0.00;\-#,##0.00;&quot; &quot;"/>
    <numFmt numFmtId="167" formatCode="#,##0;\-#,##0;&quot; &quot;"/>
    <numFmt numFmtId="168" formatCode="#,##0.00_ ;[Red]\-#,##0.00\ "/>
    <numFmt numFmtId="169" formatCode="\-#,##0.00;#,##0.00;&quot; &quot;"/>
  </numFmts>
  <fonts count="46">
    <font>
      <sz val="11"/>
      <color theme="1"/>
      <name val="Calibri"/>
      <family val="2"/>
      <scheme val="minor"/>
    </font>
    <font>
      <sz val="11"/>
      <color theme="1"/>
      <name val="Calibri"/>
      <family val="2"/>
      <scheme val="minor"/>
    </font>
    <font>
      <sz val="10"/>
      <name val="Arial"/>
      <family val="2"/>
    </font>
    <font>
      <b/>
      <sz val="8"/>
      <color theme="0"/>
      <name val="Arial"/>
      <family val="2"/>
    </font>
    <font>
      <sz val="8"/>
      <name val="Arial"/>
      <family val="2"/>
    </font>
    <font>
      <b/>
      <sz val="8"/>
      <name val="Arial"/>
      <family val="2"/>
    </font>
    <font>
      <sz val="8"/>
      <color theme="1"/>
      <name val="Arial"/>
      <family val="2"/>
    </font>
    <font>
      <sz val="8"/>
      <color theme="0"/>
      <name val="Arial"/>
      <family val="2"/>
    </font>
    <font>
      <sz val="8"/>
      <color indexed="9"/>
      <name val="Arial"/>
      <family val="2"/>
    </font>
    <font>
      <b/>
      <sz val="8"/>
      <color theme="1"/>
      <name val="Arial"/>
      <family val="2"/>
    </font>
    <font>
      <sz val="10"/>
      <color theme="1"/>
      <name val="Times New Roman"/>
      <family val="2"/>
    </font>
    <font>
      <b/>
      <sz val="11"/>
      <name val="Arial"/>
      <family val="2"/>
    </font>
    <font>
      <b/>
      <sz val="11"/>
      <color theme="1"/>
      <name val="Calibri"/>
      <family val="2"/>
      <scheme val="minor"/>
    </font>
    <font>
      <sz val="8"/>
      <color rgb="FFFF0000"/>
      <name val="Arial"/>
      <family val="2"/>
    </font>
    <font>
      <b/>
      <sz val="8"/>
      <color theme="3"/>
      <name val="Arial"/>
      <family val="2"/>
    </font>
    <font>
      <sz val="8"/>
      <color rgb="FF92D050"/>
      <name val="Arial"/>
      <family val="2"/>
    </font>
    <font>
      <b/>
      <sz val="8"/>
      <color rgb="FFFFC000"/>
      <name val="Arial"/>
      <family val="2"/>
    </font>
    <font>
      <b/>
      <sz val="10"/>
      <name val="Arial"/>
      <family val="2"/>
    </font>
    <font>
      <b/>
      <sz val="11"/>
      <color theme="0"/>
      <name val="Calibri"/>
      <family val="2"/>
      <scheme val="minor"/>
    </font>
    <font>
      <sz val="10"/>
      <color indexed="8"/>
      <name val="Arial"/>
      <family val="2"/>
    </font>
    <font>
      <b/>
      <sz val="9"/>
      <color indexed="81"/>
      <name val="Tahoma"/>
      <family val="2"/>
    </font>
    <font>
      <sz val="9"/>
      <color theme="1"/>
      <name val="Calibri"/>
      <family val="2"/>
      <scheme val="minor"/>
    </font>
    <font>
      <b/>
      <sz val="9"/>
      <color theme="1"/>
      <name val="Arial"/>
      <family val="2"/>
    </font>
    <font>
      <sz val="9"/>
      <color theme="0"/>
      <name val="Calibri"/>
      <family val="2"/>
      <scheme val="minor"/>
    </font>
    <font>
      <b/>
      <sz val="9"/>
      <color theme="0"/>
      <name val="Arial"/>
      <family val="2"/>
    </font>
    <font>
      <sz val="9"/>
      <color theme="1"/>
      <name val="Arial"/>
      <family val="2"/>
    </font>
    <font>
      <b/>
      <i/>
      <sz val="9"/>
      <color theme="1"/>
      <name val="Arial"/>
      <family val="2"/>
    </font>
    <font>
      <sz val="9"/>
      <color rgb="FFFF0000"/>
      <name val="Arial"/>
      <family val="2"/>
    </font>
    <font>
      <b/>
      <vertAlign val="superscript"/>
      <sz val="9"/>
      <color theme="1"/>
      <name val="Arial"/>
      <family val="2"/>
    </font>
    <font>
      <i/>
      <sz val="9"/>
      <color theme="1"/>
      <name val="Arial"/>
      <family val="2"/>
    </font>
    <font>
      <u/>
      <sz val="11"/>
      <color theme="10"/>
      <name val="Calibri"/>
      <family val="2"/>
      <scheme val="minor"/>
    </font>
    <font>
      <sz val="11"/>
      <color theme="0"/>
      <name val="Calibri"/>
      <family val="2"/>
      <scheme val="minor"/>
    </font>
    <font>
      <sz val="9"/>
      <color theme="0"/>
      <name val="Arial"/>
      <family val="2"/>
    </font>
    <font>
      <b/>
      <i/>
      <sz val="8"/>
      <color theme="1"/>
      <name val="Arial"/>
      <family val="2"/>
    </font>
    <font>
      <b/>
      <vertAlign val="superscript"/>
      <sz val="8"/>
      <color theme="1"/>
      <name val="Arial"/>
      <family val="2"/>
    </font>
    <font>
      <b/>
      <sz val="8"/>
      <color theme="0"/>
      <name val="}"/>
    </font>
    <font>
      <sz val="10"/>
      <color theme="1"/>
      <name val="}"/>
    </font>
    <font>
      <b/>
      <sz val="8"/>
      <color theme="1"/>
      <name val="}"/>
    </font>
    <font>
      <sz val="8"/>
      <color theme="1"/>
      <name val="}"/>
    </font>
    <font>
      <i/>
      <sz val="8"/>
      <color theme="1"/>
      <name val="Arial"/>
      <family val="2"/>
    </font>
    <font>
      <sz val="11"/>
      <color theme="1"/>
      <name val="Calibri"/>
      <family val="2"/>
      <scheme val="minor"/>
    </font>
    <font>
      <b/>
      <sz val="11"/>
      <color theme="1"/>
      <name val="Calibri"/>
      <family val="2"/>
      <scheme val="minor"/>
    </font>
    <font>
      <sz val="10"/>
      <name val="Arial"/>
    </font>
    <font>
      <sz val="14"/>
      <color rgb="FF000000"/>
      <name val="Arial"/>
      <family val="2"/>
    </font>
    <font>
      <sz val="11"/>
      <color rgb="FFFF0000"/>
      <name val="Calibri"/>
      <family val="2"/>
      <scheme val="minor"/>
    </font>
    <font>
      <b/>
      <sz val="14"/>
      <name val="Calibri"/>
      <family val="2"/>
      <scheme val="minor"/>
    </font>
  </fonts>
  <fills count="27">
    <fill>
      <patternFill patternType="none"/>
    </fill>
    <fill>
      <patternFill patternType="gray125"/>
    </fill>
    <fill>
      <patternFill patternType="solid">
        <fgColor theme="1" tint="0.499984740745262"/>
        <bgColor indexed="64"/>
      </patternFill>
    </fill>
    <fill>
      <patternFill patternType="solid">
        <fgColor rgb="FFFFFF00"/>
        <bgColor indexed="64"/>
      </patternFill>
    </fill>
    <fill>
      <patternFill patternType="solid">
        <fgColor indexed="17"/>
        <bgColor indexed="64"/>
      </patternFill>
    </fill>
    <fill>
      <patternFill patternType="solid">
        <fgColor indexed="19"/>
        <bgColor indexed="64"/>
      </patternFill>
    </fill>
    <fill>
      <patternFill patternType="solid">
        <fgColor indexed="11"/>
        <bgColor indexed="64"/>
      </patternFill>
    </fill>
    <fill>
      <patternFill patternType="solid">
        <fgColor indexed="20"/>
        <bgColor indexed="64"/>
      </patternFill>
    </fill>
    <fill>
      <patternFill patternType="solid">
        <fgColor indexed="10"/>
        <bgColor indexed="64"/>
      </patternFill>
    </fill>
    <fill>
      <patternFill patternType="solid">
        <fgColor indexed="13"/>
        <bgColor indexed="64"/>
      </patternFill>
    </fill>
    <fill>
      <patternFill patternType="solid">
        <fgColor theme="0" tint="-0.499984740745262"/>
        <bgColor indexed="64"/>
      </patternFill>
    </fill>
    <fill>
      <patternFill patternType="solid">
        <fgColor rgb="FF92D050"/>
        <bgColor indexed="64"/>
      </patternFill>
    </fill>
    <fill>
      <patternFill patternType="solid">
        <fgColor rgb="FFFFC000"/>
        <bgColor indexed="64"/>
      </patternFill>
    </fill>
    <fill>
      <patternFill patternType="solid">
        <fgColor theme="1"/>
        <bgColor indexed="64"/>
      </patternFill>
    </fill>
    <fill>
      <patternFill patternType="solid">
        <fgColor indexed="23"/>
        <bgColor indexed="64"/>
      </patternFill>
    </fill>
    <fill>
      <patternFill patternType="solid">
        <fgColor indexed="27"/>
        <bgColor indexed="64"/>
      </patternFill>
    </fill>
    <fill>
      <patternFill patternType="solid">
        <fgColor indexed="48"/>
        <bgColor indexed="64"/>
      </patternFill>
    </fill>
    <fill>
      <patternFill patternType="solid">
        <fgColor rgb="FF339933"/>
        <bgColor indexed="64"/>
      </patternFill>
    </fill>
    <fill>
      <patternFill patternType="solid">
        <fgColor theme="0" tint="-0.34998626667073579"/>
        <bgColor indexed="64"/>
      </patternFill>
    </fill>
    <fill>
      <patternFill patternType="solid">
        <fgColor rgb="FF00B050"/>
        <bgColor indexed="64"/>
      </patternFill>
    </fill>
    <fill>
      <patternFill patternType="solid">
        <fgColor rgb="FFF2F2F2"/>
        <bgColor indexed="64"/>
      </patternFill>
    </fill>
    <fill>
      <patternFill patternType="solid">
        <fgColor rgb="FFFF0000"/>
        <bgColor indexed="64"/>
      </patternFill>
    </fill>
    <fill>
      <patternFill patternType="lightGray">
        <bgColor rgb="FFBFBFBF"/>
      </patternFill>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theme="4" tint="0.39997558519241921"/>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3">
    <xf numFmtId="0" fontId="0" fillId="0" borderId="0"/>
    <xf numFmtId="0" fontId="2" fillId="0" borderId="0"/>
    <xf numFmtId="43" fontId="1" fillId="0" borderId="0" applyFont="0" applyFill="0" applyBorder="0" applyAlignment="0" applyProtection="0"/>
    <xf numFmtId="0" fontId="6" fillId="0" borderId="0"/>
    <xf numFmtId="0" fontId="1" fillId="0" borderId="0"/>
    <xf numFmtId="0" fontId="10" fillId="0" borderId="0"/>
    <xf numFmtId="0" fontId="2" fillId="0" borderId="0"/>
    <xf numFmtId="9" fontId="6" fillId="0" borderId="0" applyFont="0" applyFill="0" applyBorder="0" applyAlignment="0" applyProtection="0"/>
    <xf numFmtId="0" fontId="2" fillId="0" borderId="0"/>
    <xf numFmtId="43" fontId="1" fillId="0" borderId="0" applyFont="0" applyFill="0" applyBorder="0" applyAlignment="0" applyProtection="0"/>
    <xf numFmtId="0" fontId="2" fillId="0" borderId="0"/>
    <xf numFmtId="9" fontId="1" fillId="0" borderId="0" applyFont="0" applyFill="0" applyBorder="0" applyAlignment="0" applyProtection="0"/>
    <xf numFmtId="0" fontId="30" fillId="0" borderId="0" applyNumberFormat="0" applyFill="0" applyBorder="0" applyAlignment="0" applyProtection="0"/>
  </cellStyleXfs>
  <cellXfs count="1138">
    <xf numFmtId="0" fontId="0" fillId="0" borderId="0" xfId="0"/>
    <xf numFmtId="0" fontId="3" fillId="2" borderId="4" xfId="1" applyFont="1" applyFill="1" applyBorder="1" applyAlignment="1" applyProtection="1">
      <alignment horizontal="center" vertical="center"/>
    </xf>
    <xf numFmtId="0" fontId="3" fillId="2" borderId="4" xfId="4" applyFont="1" applyFill="1" applyBorder="1" applyAlignment="1">
      <alignment horizontal="center" vertical="center" wrapText="1"/>
    </xf>
    <xf numFmtId="0" fontId="6" fillId="0" borderId="0" xfId="4" applyFont="1" applyFill="1" applyBorder="1" applyAlignment="1" applyProtection="1">
      <alignment horizontal="left" vertical="top" indent="1"/>
      <protection locked="0"/>
    </xf>
    <xf numFmtId="0" fontId="6" fillId="0" borderId="0" xfId="3" applyFont="1" applyProtection="1">
      <protection locked="0"/>
    </xf>
    <xf numFmtId="0" fontId="3" fillId="2" borderId="4" xfId="5" applyFont="1" applyFill="1" applyBorder="1" applyAlignment="1">
      <alignment horizontal="center" vertical="center"/>
    </xf>
    <xf numFmtId="0" fontId="3" fillId="2" borderId="4" xfId="5" applyFont="1" applyFill="1" applyBorder="1" applyAlignment="1">
      <alignment horizontal="center" vertical="center" wrapText="1"/>
    </xf>
    <xf numFmtId="4" fontId="3" fillId="2" borderId="4" xfId="5" applyNumberFormat="1" applyFont="1" applyFill="1" applyBorder="1" applyAlignment="1">
      <alignment horizontal="center" vertical="center" wrapText="1"/>
    </xf>
    <xf numFmtId="165" fontId="3" fillId="2" borderId="1" xfId="2" applyNumberFormat="1" applyFont="1" applyFill="1" applyBorder="1" applyAlignment="1" applyProtection="1">
      <alignment horizontal="center" vertical="center" wrapText="1"/>
    </xf>
    <xf numFmtId="165" fontId="3" fillId="2" borderId="3" xfId="2" applyNumberFormat="1" applyFont="1" applyFill="1" applyBorder="1" applyAlignment="1" applyProtection="1">
      <alignment horizontal="center" vertical="center" wrapText="1"/>
    </xf>
    <xf numFmtId="165" fontId="3" fillId="2" borderId="4" xfId="2" applyNumberFormat="1" applyFont="1" applyFill="1" applyBorder="1" applyAlignment="1" applyProtection="1">
      <alignment horizontal="center" vertical="center" wrapText="1"/>
    </xf>
    <xf numFmtId="0" fontId="6" fillId="0" borderId="0" xfId="4" applyFont="1" applyFill="1" applyBorder="1" applyAlignment="1" applyProtection="1">
      <alignment horizontal="left" vertical="top"/>
      <protection locked="0"/>
    </xf>
    <xf numFmtId="0" fontId="9" fillId="0" borderId="0" xfId="4" applyFont="1" applyFill="1" applyBorder="1" applyAlignment="1" applyProtection="1">
      <alignment horizontal="left" vertical="top"/>
      <protection locked="0"/>
    </xf>
    <xf numFmtId="0" fontId="5" fillId="0" borderId="6" xfId="1" applyFont="1" applyBorder="1" applyAlignment="1">
      <alignment horizontal="left" vertical="top"/>
    </xf>
    <xf numFmtId="0" fontId="5" fillId="0" borderId="0" xfId="1" applyFont="1" applyBorder="1" applyAlignment="1">
      <alignment horizontal="left" vertical="top"/>
    </xf>
    <xf numFmtId="0" fontId="4" fillId="0" borderId="0" xfId="1" applyFont="1" applyBorder="1" applyAlignment="1">
      <alignment horizontal="left" vertical="top"/>
    </xf>
    <xf numFmtId="0" fontId="4" fillId="0" borderId="11" xfId="1" applyFont="1" applyBorder="1" applyAlignment="1">
      <alignment horizontal="left" vertical="top"/>
    </xf>
    <xf numFmtId="0" fontId="4" fillId="0" borderId="0" xfId="1" applyFont="1" applyBorder="1" applyAlignment="1" applyProtection="1">
      <alignment horizontal="left" vertical="top"/>
      <protection locked="0"/>
    </xf>
    <xf numFmtId="0" fontId="4" fillId="0" borderId="0" xfId="1" applyFont="1" applyFill="1" applyBorder="1" applyAlignment="1" applyProtection="1">
      <alignment horizontal="left" vertical="top"/>
      <protection locked="0"/>
    </xf>
    <xf numFmtId="0" fontId="5" fillId="0" borderId="5" xfId="1" applyNumberFormat="1" applyFont="1" applyFill="1" applyBorder="1" applyAlignment="1">
      <alignment horizontal="left" vertical="top"/>
    </xf>
    <xf numFmtId="3" fontId="5" fillId="0" borderId="7" xfId="1" applyNumberFormat="1" applyFont="1" applyFill="1" applyBorder="1" applyAlignment="1">
      <alignment horizontal="left" vertical="top"/>
    </xf>
    <xf numFmtId="0" fontId="5" fillId="0" borderId="8" xfId="1" applyNumberFormat="1" applyFont="1" applyFill="1" applyBorder="1" applyAlignment="1">
      <alignment horizontal="left" vertical="top"/>
    </xf>
    <xf numFmtId="0" fontId="4" fillId="0" borderId="8" xfId="1" applyFont="1" applyBorder="1" applyAlignment="1" applyProtection="1">
      <alignment horizontal="left" vertical="top"/>
    </xf>
    <xf numFmtId="0" fontId="5" fillId="0" borderId="8" xfId="1" applyFont="1" applyBorder="1" applyAlignment="1">
      <alignment horizontal="left" vertical="top"/>
    </xf>
    <xf numFmtId="3" fontId="4" fillId="0" borderId="9" xfId="1" applyNumberFormat="1" applyFont="1" applyFill="1" applyBorder="1" applyAlignment="1">
      <alignment horizontal="left" vertical="top"/>
    </xf>
    <xf numFmtId="0" fontId="5" fillId="0" borderId="5" xfId="1" applyFont="1" applyBorder="1" applyAlignment="1">
      <alignment horizontal="left" vertical="top"/>
    </xf>
    <xf numFmtId="0" fontId="4" fillId="0" borderId="5" xfId="1" applyFont="1" applyFill="1" applyBorder="1" applyAlignment="1" applyProtection="1">
      <alignment horizontal="left" vertical="top"/>
    </xf>
    <xf numFmtId="0" fontId="3" fillId="0" borderId="8" xfId="1" applyFont="1" applyBorder="1" applyAlignment="1" applyProtection="1">
      <alignment horizontal="left" vertical="top"/>
      <protection locked="0" hidden="1"/>
    </xf>
    <xf numFmtId="0" fontId="3" fillId="0" borderId="5" xfId="1" applyFont="1" applyFill="1" applyBorder="1" applyAlignment="1" applyProtection="1">
      <alignment horizontal="left" vertical="top"/>
      <protection hidden="1"/>
    </xf>
    <xf numFmtId="0" fontId="3" fillId="0" borderId="5" xfId="1" applyFont="1" applyBorder="1" applyAlignment="1" applyProtection="1">
      <alignment horizontal="left" vertical="top"/>
      <protection hidden="1"/>
    </xf>
    <xf numFmtId="0" fontId="7" fillId="0" borderId="8" xfId="1" applyNumberFormat="1" applyFont="1" applyFill="1" applyBorder="1" applyAlignment="1" applyProtection="1">
      <alignment horizontal="left" vertical="top"/>
      <protection hidden="1"/>
    </xf>
    <xf numFmtId="0" fontId="4" fillId="0" borderId="8" xfId="1" applyNumberFormat="1" applyFont="1" applyFill="1" applyBorder="1" applyAlignment="1">
      <alignment horizontal="left" vertical="top"/>
    </xf>
    <xf numFmtId="0" fontId="3" fillId="0" borderId="8" xfId="1" applyFont="1" applyBorder="1" applyAlignment="1" applyProtection="1">
      <alignment horizontal="left" vertical="top"/>
      <protection hidden="1"/>
    </xf>
    <xf numFmtId="0" fontId="4" fillId="0" borderId="8" xfId="1" applyFont="1" applyFill="1" applyBorder="1" applyAlignment="1" applyProtection="1">
      <alignment horizontal="left" vertical="top"/>
    </xf>
    <xf numFmtId="0" fontId="6" fillId="0" borderId="8" xfId="4" applyFont="1" applyFill="1" applyBorder="1" applyAlignment="1" applyProtection="1">
      <alignment horizontal="left" vertical="top"/>
      <protection locked="0"/>
    </xf>
    <xf numFmtId="4" fontId="6" fillId="0" borderId="0" xfId="4" applyNumberFormat="1" applyFont="1" applyFill="1" applyBorder="1" applyAlignment="1" applyProtection="1">
      <alignment horizontal="left" vertical="top"/>
      <protection locked="0"/>
    </xf>
    <xf numFmtId="0" fontId="4" fillId="0" borderId="8" xfId="1" applyFont="1" applyBorder="1" applyAlignment="1">
      <alignment horizontal="left" vertical="top"/>
    </xf>
    <xf numFmtId="0" fontId="7" fillId="0" borderId="8" xfId="1" applyFont="1" applyBorder="1" applyAlignment="1" applyProtection="1">
      <alignment horizontal="left" vertical="top"/>
      <protection hidden="1"/>
    </xf>
    <xf numFmtId="0" fontId="4" fillId="0" borderId="8" xfId="1" applyFont="1" applyFill="1" applyBorder="1" applyAlignment="1">
      <alignment horizontal="left" vertical="top"/>
    </xf>
    <xf numFmtId="0" fontId="6" fillId="0" borderId="10" xfId="4" quotePrefix="1" applyFont="1" applyFill="1" applyBorder="1" applyAlignment="1" applyProtection="1">
      <alignment horizontal="left" vertical="top"/>
      <protection locked="0"/>
    </xf>
    <xf numFmtId="0" fontId="6" fillId="0" borderId="11" xfId="4" applyFont="1" applyFill="1" applyBorder="1" applyAlignment="1" applyProtection="1">
      <alignment horizontal="left" vertical="top"/>
      <protection locked="0"/>
    </xf>
    <xf numFmtId="49" fontId="6" fillId="0" borderId="0" xfId="4" applyNumberFormat="1" applyFont="1" applyFill="1" applyBorder="1" applyAlignment="1" applyProtection="1">
      <alignment horizontal="left" vertical="top"/>
      <protection locked="0"/>
    </xf>
    <xf numFmtId="4" fontId="4" fillId="0" borderId="0" xfId="1" applyNumberFormat="1" applyFont="1" applyFill="1" applyBorder="1" applyAlignment="1" applyProtection="1">
      <alignment horizontal="left" vertical="top"/>
      <protection locked="0"/>
    </xf>
    <xf numFmtId="3" fontId="5" fillId="0" borderId="9" xfId="1" applyNumberFormat="1" applyFont="1" applyFill="1" applyBorder="1" applyAlignment="1">
      <alignment horizontal="left" vertical="top"/>
    </xf>
    <xf numFmtId="0" fontId="4" fillId="0" borderId="0" xfId="1" applyFont="1" applyFill="1" applyBorder="1" applyAlignment="1" applyProtection="1">
      <alignment horizontal="left" vertical="top"/>
    </xf>
    <xf numFmtId="0" fontId="7" fillId="0" borderId="10" xfId="1" applyNumberFormat="1" applyFont="1" applyFill="1" applyBorder="1" applyAlignment="1" applyProtection="1">
      <alignment horizontal="left" vertical="top"/>
      <protection hidden="1"/>
    </xf>
    <xf numFmtId="0" fontId="3" fillId="0" borderId="8" xfId="1" applyFont="1" applyBorder="1" applyAlignment="1" applyProtection="1">
      <alignment horizontal="left" vertical="top"/>
    </xf>
    <xf numFmtId="4" fontId="4" fillId="0" borderId="0" xfId="1" applyNumberFormat="1" applyFont="1" applyFill="1" applyBorder="1" applyAlignment="1" applyProtection="1">
      <alignment horizontal="left" vertical="top"/>
    </xf>
    <xf numFmtId="0" fontId="3" fillId="0" borderId="10" xfId="1" applyFont="1" applyBorder="1" applyAlignment="1" applyProtection="1">
      <alignment horizontal="left" vertical="top"/>
      <protection hidden="1"/>
    </xf>
    <xf numFmtId="4" fontId="4" fillId="0" borderId="0" xfId="1" applyNumberFormat="1" applyFont="1" applyBorder="1" applyAlignment="1" applyProtection="1">
      <alignment horizontal="left" vertical="top"/>
      <protection locked="0"/>
    </xf>
    <xf numFmtId="0" fontId="4" fillId="0" borderId="10" xfId="1" applyFont="1" applyBorder="1" applyAlignment="1" applyProtection="1">
      <alignment horizontal="left" vertical="top"/>
    </xf>
    <xf numFmtId="0" fontId="6" fillId="0" borderId="0" xfId="4" applyFont="1" applyFill="1" applyBorder="1" applyAlignment="1">
      <alignment horizontal="left" vertical="top"/>
    </xf>
    <xf numFmtId="0" fontId="4" fillId="0" borderId="8" xfId="1" quotePrefix="1" applyFont="1" applyBorder="1" applyAlignment="1">
      <alignment horizontal="left" vertical="top"/>
    </xf>
    <xf numFmtId="0" fontId="4" fillId="0" borderId="8" xfId="1" quotePrefix="1" applyFont="1" applyFill="1" applyBorder="1" applyAlignment="1">
      <alignment horizontal="left" vertical="top"/>
    </xf>
    <xf numFmtId="0" fontId="3" fillId="0" borderId="8" xfId="1" applyFont="1" applyFill="1" applyBorder="1" applyAlignment="1" applyProtection="1">
      <alignment horizontal="left" vertical="top"/>
      <protection hidden="1"/>
    </xf>
    <xf numFmtId="0" fontId="4" fillId="0" borderId="10" xfId="1" applyNumberFormat="1" applyFont="1" applyFill="1" applyBorder="1" applyAlignment="1">
      <alignment horizontal="left" vertical="top"/>
    </xf>
    <xf numFmtId="3" fontId="4" fillId="0" borderId="12" xfId="1" applyNumberFormat="1" applyFont="1" applyFill="1" applyBorder="1" applyAlignment="1">
      <alignment horizontal="left" vertical="top"/>
    </xf>
    <xf numFmtId="0" fontId="4" fillId="0" borderId="0" xfId="1" applyFont="1" applyFill="1" applyAlignment="1" applyProtection="1">
      <alignment horizontal="left" vertical="top"/>
    </xf>
    <xf numFmtId="0" fontId="4" fillId="0" borderId="0" xfId="1" applyFont="1" applyAlignment="1" applyProtection="1">
      <alignment horizontal="left" vertical="top"/>
      <protection locked="0"/>
    </xf>
    <xf numFmtId="0" fontId="5" fillId="0" borderId="10" xfId="1" applyNumberFormat="1" applyFont="1" applyFill="1" applyBorder="1" applyAlignment="1">
      <alignment horizontal="left" vertical="top"/>
    </xf>
    <xf numFmtId="0" fontId="5" fillId="0" borderId="0" xfId="1" applyNumberFormat="1" applyFont="1" applyFill="1" applyBorder="1" applyAlignment="1">
      <alignment horizontal="left" vertical="top"/>
    </xf>
    <xf numFmtId="0" fontId="5" fillId="0" borderId="0" xfId="1" applyFont="1" applyFill="1" applyBorder="1" applyAlignment="1">
      <alignment horizontal="left" vertical="top"/>
    </xf>
    <xf numFmtId="4" fontId="5" fillId="0" borderId="0" xfId="1" applyNumberFormat="1" applyFont="1" applyFill="1" applyBorder="1" applyAlignment="1" applyProtection="1">
      <alignment horizontal="left" vertical="top"/>
      <protection locked="0"/>
    </xf>
    <xf numFmtId="0" fontId="9" fillId="0" borderId="9" xfId="1" applyFont="1" applyFill="1" applyBorder="1" applyAlignment="1">
      <alignment horizontal="left" vertical="top"/>
    </xf>
    <xf numFmtId="0" fontId="5" fillId="0" borderId="6" xfId="1" applyFont="1" applyFill="1" applyBorder="1" applyAlignment="1" applyProtection="1">
      <alignment horizontal="left" vertical="top"/>
    </xf>
    <xf numFmtId="0" fontId="5" fillId="0" borderId="8" xfId="1" applyFont="1" applyFill="1" applyBorder="1" applyAlignment="1" applyProtection="1">
      <alignment horizontal="left" vertical="top" indent="1"/>
      <protection locked="0"/>
    </xf>
    <xf numFmtId="0" fontId="5" fillId="0" borderId="6" xfId="5" applyFont="1" applyFill="1" applyBorder="1" applyAlignment="1" applyProtection="1">
      <alignment horizontal="left" vertical="top"/>
    </xf>
    <xf numFmtId="0" fontId="6" fillId="0" borderId="0" xfId="3" applyFont="1" applyAlignment="1" applyProtection="1">
      <alignment horizontal="left" vertical="top"/>
      <protection locked="0"/>
    </xf>
    <xf numFmtId="0" fontId="9" fillId="0" borderId="5" xfId="0" applyFont="1" applyFill="1" applyBorder="1" applyAlignment="1" applyProtection="1">
      <alignment horizontal="left" vertical="top" indent="1"/>
    </xf>
    <xf numFmtId="0" fontId="6" fillId="0" borderId="9" xfId="1" applyFont="1" applyFill="1" applyBorder="1" applyAlignment="1">
      <alignment horizontal="left" vertical="top"/>
    </xf>
    <xf numFmtId="0" fontId="5" fillId="0" borderId="0" xfId="1" applyFont="1" applyFill="1" applyBorder="1" applyAlignment="1" applyProtection="1">
      <alignment horizontal="left" vertical="top" indent="2"/>
    </xf>
    <xf numFmtId="0" fontId="4" fillId="0" borderId="8" xfId="1" applyFont="1" applyFill="1" applyBorder="1" applyAlignment="1" applyProtection="1">
      <alignment horizontal="left" vertical="top"/>
      <protection locked="0"/>
    </xf>
    <xf numFmtId="0" fontId="6" fillId="0" borderId="8" xfId="0" applyFont="1" applyFill="1" applyBorder="1" applyAlignment="1" applyProtection="1">
      <alignment horizontal="left" vertical="top"/>
    </xf>
    <xf numFmtId="0" fontId="6" fillId="0" borderId="0" xfId="0" applyFont="1" applyFill="1" applyBorder="1" applyAlignment="1" applyProtection="1">
      <alignment horizontal="left" vertical="top"/>
    </xf>
    <xf numFmtId="0" fontId="6" fillId="0" borderId="0" xfId="0" applyFont="1" applyBorder="1" applyAlignment="1" applyProtection="1">
      <alignment horizontal="left" vertical="top"/>
      <protection locked="0"/>
    </xf>
    <xf numFmtId="0" fontId="4" fillId="0" borderId="0" xfId="5" applyFont="1" applyFill="1" applyBorder="1" applyAlignment="1" applyProtection="1">
      <alignment horizontal="left" vertical="top"/>
    </xf>
    <xf numFmtId="0" fontId="4" fillId="0" borderId="0" xfId="1" applyFont="1" applyFill="1" applyBorder="1" applyAlignment="1">
      <alignment horizontal="left" vertical="top"/>
    </xf>
    <xf numFmtId="0" fontId="4" fillId="0" borderId="9" xfId="1" applyFont="1" applyFill="1" applyBorder="1" applyAlignment="1">
      <alignment horizontal="left" vertical="top"/>
    </xf>
    <xf numFmtId="0" fontId="5" fillId="0" borderId="0" xfId="1" applyFont="1" applyFill="1" applyBorder="1" applyAlignment="1" applyProtection="1">
      <alignment horizontal="left" vertical="top"/>
    </xf>
    <xf numFmtId="0" fontId="6" fillId="0" borderId="8" xfId="1" applyFont="1" applyFill="1" applyBorder="1" applyAlignment="1" applyProtection="1">
      <alignment horizontal="left" vertical="top"/>
      <protection locked="0"/>
    </xf>
    <xf numFmtId="0" fontId="9" fillId="0" borderId="0" xfId="0" applyFont="1" applyBorder="1" applyAlignment="1" applyProtection="1">
      <alignment horizontal="left" vertical="top" indent="1"/>
    </xf>
    <xf numFmtId="0" fontId="9" fillId="0" borderId="8" xfId="0" applyFont="1" applyFill="1" applyBorder="1" applyAlignment="1">
      <alignment horizontal="left" vertical="top" indent="1"/>
    </xf>
    <xf numFmtId="0" fontId="6" fillId="0" borderId="8" xfId="0" applyFont="1" applyBorder="1" applyAlignment="1" applyProtection="1">
      <alignment horizontal="left" vertical="top"/>
    </xf>
    <xf numFmtId="0" fontId="6" fillId="0" borderId="0" xfId="0" applyFont="1" applyBorder="1" applyAlignment="1" applyProtection="1">
      <alignment horizontal="left" vertical="top" indent="2"/>
    </xf>
    <xf numFmtId="0" fontId="9" fillId="0" borderId="10" xfId="0" applyFont="1" applyFill="1" applyBorder="1" applyAlignment="1">
      <alignment horizontal="left" vertical="top" indent="1"/>
    </xf>
    <xf numFmtId="0" fontId="6" fillId="0" borderId="13" xfId="1" applyFont="1" applyFill="1" applyBorder="1" applyAlignment="1" applyProtection="1">
      <alignment horizontal="left" vertical="top"/>
      <protection locked="0"/>
    </xf>
    <xf numFmtId="0" fontId="5" fillId="0" borderId="11" xfId="1" applyFont="1" applyBorder="1" applyAlignment="1">
      <alignment horizontal="left" vertical="top"/>
    </xf>
    <xf numFmtId="0" fontId="5" fillId="0" borderId="11" xfId="1" applyFont="1" applyFill="1" applyBorder="1" applyAlignment="1">
      <alignment horizontal="left" vertical="top"/>
    </xf>
    <xf numFmtId="0" fontId="4" fillId="0" borderId="10" xfId="1" applyFont="1" applyFill="1" applyBorder="1" applyAlignment="1" applyProtection="1">
      <alignment horizontal="left" vertical="top"/>
      <protection locked="0"/>
    </xf>
    <xf numFmtId="0" fontId="5" fillId="0" borderId="11" xfId="1" applyFont="1" applyFill="1" applyBorder="1" applyAlignment="1" applyProtection="1">
      <alignment horizontal="left" vertical="top"/>
    </xf>
    <xf numFmtId="4" fontId="6" fillId="0" borderId="0" xfId="3" applyNumberFormat="1" applyFont="1" applyAlignment="1" applyProtection="1">
      <alignment horizontal="left" vertical="top"/>
      <protection locked="0"/>
    </xf>
    <xf numFmtId="0" fontId="6" fillId="0" borderId="10" xfId="0" applyFont="1" applyBorder="1" applyAlignment="1" applyProtection="1">
      <alignment horizontal="left" vertical="top"/>
    </xf>
    <xf numFmtId="0" fontId="6" fillId="0" borderId="11" xfId="0" applyFont="1" applyFill="1" applyBorder="1" applyAlignment="1" applyProtection="1">
      <alignment horizontal="left" vertical="top"/>
    </xf>
    <xf numFmtId="0" fontId="6" fillId="0" borderId="0" xfId="0" applyFont="1" applyAlignment="1" applyProtection="1">
      <alignment horizontal="left" vertical="top"/>
    </xf>
    <xf numFmtId="4" fontId="6" fillId="0" borderId="0" xfId="0" applyNumberFormat="1" applyFont="1" applyAlignment="1" applyProtection="1">
      <alignment horizontal="left" vertical="top"/>
    </xf>
    <xf numFmtId="0" fontId="6" fillId="0" borderId="0" xfId="0" applyFont="1" applyAlignment="1" applyProtection="1">
      <alignment horizontal="left" vertical="top"/>
      <protection locked="0"/>
    </xf>
    <xf numFmtId="4" fontId="6" fillId="0" borderId="0" xfId="0" applyNumberFormat="1" applyFont="1" applyAlignment="1" applyProtection="1">
      <alignment horizontal="left" vertical="top"/>
      <protection locked="0"/>
    </xf>
    <xf numFmtId="0" fontId="5" fillId="0" borderId="12" xfId="1" applyFont="1" applyFill="1" applyBorder="1" applyAlignment="1">
      <alignment horizontal="left" vertical="top"/>
    </xf>
    <xf numFmtId="0" fontId="6" fillId="0" borderId="10" xfId="0" applyFont="1" applyFill="1" applyBorder="1" applyAlignment="1" applyProtection="1">
      <alignment horizontal="left" vertical="top"/>
    </xf>
    <xf numFmtId="0" fontId="4" fillId="0" borderId="0" xfId="0" applyFont="1" applyFill="1" applyBorder="1" applyAlignment="1" applyProtection="1">
      <alignment horizontal="left" vertical="top"/>
    </xf>
    <xf numFmtId="4" fontId="6" fillId="0" borderId="0" xfId="0" applyNumberFormat="1" applyFont="1" applyFill="1" applyBorder="1" applyAlignment="1" applyProtection="1">
      <alignment horizontal="left" vertical="top"/>
    </xf>
    <xf numFmtId="4" fontId="6" fillId="0" borderId="0" xfId="0" applyNumberFormat="1" applyFont="1" applyFill="1" applyBorder="1" applyAlignment="1" applyProtection="1">
      <alignment horizontal="left" vertical="top"/>
      <protection locked="0"/>
    </xf>
    <xf numFmtId="0" fontId="4" fillId="0" borderId="10" xfId="1" applyFont="1" applyBorder="1" applyAlignment="1">
      <alignment horizontal="left" vertical="top"/>
    </xf>
    <xf numFmtId="0" fontId="2" fillId="0" borderId="0" xfId="1" applyFill="1"/>
    <xf numFmtId="0" fontId="2" fillId="0" borderId="17" xfId="1" applyNumberFormat="1" applyFont="1" applyBorder="1" applyAlignment="1">
      <alignment horizontal="left"/>
    </xf>
    <xf numFmtId="49" fontId="11" fillId="3" borderId="8" xfId="1" applyNumberFormat="1" applyFont="1" applyFill="1" applyBorder="1" applyAlignment="1">
      <alignment horizontal="left"/>
    </xf>
    <xf numFmtId="0" fontId="4" fillId="0" borderId="0" xfId="1" applyFont="1" applyAlignment="1">
      <alignment horizontal="right" vertical="top"/>
    </xf>
    <xf numFmtId="0" fontId="4" fillId="0" borderId="0" xfId="1" applyFont="1" applyBorder="1" applyAlignment="1" applyProtection="1">
      <alignment horizontal="right" vertical="top"/>
      <protection locked="0"/>
    </xf>
    <xf numFmtId="4" fontId="4" fillId="0" borderId="0" xfId="1" applyNumberFormat="1" applyFont="1" applyBorder="1" applyAlignment="1" applyProtection="1">
      <alignment horizontal="right" vertical="top"/>
      <protection locked="0"/>
    </xf>
    <xf numFmtId="4" fontId="4" fillId="0" borderId="0" xfId="1" applyNumberFormat="1" applyFont="1" applyFill="1" applyBorder="1" applyAlignment="1" applyProtection="1">
      <alignment horizontal="right" vertical="top"/>
      <protection locked="0"/>
    </xf>
    <xf numFmtId="164" fontId="5" fillId="0" borderId="14" xfId="2" applyNumberFormat="1" applyFont="1" applyBorder="1" applyAlignment="1" applyProtection="1">
      <alignment horizontal="right" vertical="top"/>
      <protection locked="0"/>
    </xf>
    <xf numFmtId="164" fontId="5" fillId="0" borderId="16" xfId="2" applyNumberFormat="1" applyFont="1" applyBorder="1" applyAlignment="1" applyProtection="1">
      <alignment horizontal="right" vertical="top"/>
      <protection locked="0"/>
    </xf>
    <xf numFmtId="164" fontId="4" fillId="0" borderId="16" xfId="2" applyNumberFormat="1" applyFont="1" applyBorder="1" applyAlignment="1" applyProtection="1">
      <alignment horizontal="right" vertical="top"/>
      <protection locked="0"/>
    </xf>
    <xf numFmtId="164" fontId="4" fillId="0" borderId="15" xfId="2" applyNumberFormat="1" applyFont="1" applyBorder="1" applyAlignment="1" applyProtection="1">
      <alignment horizontal="right" vertical="top"/>
      <protection locked="0"/>
    </xf>
    <xf numFmtId="4" fontId="5" fillId="0" borderId="14" xfId="1" applyNumberFormat="1" applyFont="1" applyFill="1" applyBorder="1" applyAlignment="1" applyProtection="1">
      <alignment horizontal="right" vertical="top"/>
      <protection locked="0"/>
    </xf>
    <xf numFmtId="4" fontId="5" fillId="0" borderId="16" xfId="1" applyNumberFormat="1" applyFont="1" applyFill="1" applyBorder="1" applyAlignment="1" applyProtection="1">
      <alignment horizontal="right" vertical="top"/>
      <protection locked="0"/>
    </xf>
    <xf numFmtId="164" fontId="5" fillId="0" borderId="15" xfId="2" applyNumberFormat="1" applyFont="1" applyBorder="1" applyAlignment="1" applyProtection="1">
      <alignment horizontal="right" vertical="top"/>
      <protection locked="0"/>
    </xf>
    <xf numFmtId="43" fontId="13" fillId="0" borderId="0" xfId="9" applyFont="1" applyAlignment="1">
      <alignment horizontal="right" vertical="top"/>
    </xf>
    <xf numFmtId="4" fontId="13" fillId="0" borderId="0" xfId="1" applyNumberFormat="1" applyFont="1" applyFill="1" applyBorder="1" applyAlignment="1" applyProtection="1">
      <alignment horizontal="right" vertical="top"/>
    </xf>
    <xf numFmtId="164" fontId="5" fillId="0" borderId="14" xfId="2" applyNumberFormat="1" applyFont="1" applyBorder="1" applyAlignment="1" applyProtection="1">
      <alignment vertical="top"/>
      <protection locked="0"/>
    </xf>
    <xf numFmtId="164" fontId="4" fillId="0" borderId="16" xfId="2" applyNumberFormat="1" applyFont="1" applyBorder="1" applyAlignment="1" applyProtection="1">
      <alignment vertical="top"/>
      <protection locked="0"/>
    </xf>
    <xf numFmtId="164" fontId="5" fillId="0" borderId="16" xfId="2" applyNumberFormat="1" applyFont="1" applyBorder="1" applyAlignment="1" applyProtection="1">
      <alignment vertical="top"/>
      <protection locked="0"/>
    </xf>
    <xf numFmtId="164" fontId="4" fillId="0" borderId="15" xfId="2" applyNumberFormat="1" applyFont="1" applyBorder="1" applyAlignment="1" applyProtection="1">
      <alignment vertical="top"/>
      <protection locked="0"/>
    </xf>
    <xf numFmtId="164" fontId="4" fillId="0" borderId="0" xfId="1" applyNumberFormat="1" applyFont="1" applyAlignment="1" applyProtection="1">
      <alignment horizontal="left" vertical="top"/>
    </xf>
    <xf numFmtId="164" fontId="13" fillId="0" borderId="0" xfId="1" applyNumberFormat="1" applyFont="1" applyAlignment="1" applyProtection="1">
      <alignment horizontal="left" vertical="top"/>
    </xf>
    <xf numFmtId="0" fontId="3" fillId="2" borderId="0" xfId="1" applyFont="1" applyFill="1" applyBorder="1" applyAlignment="1" applyProtection="1">
      <alignment horizontal="center" vertical="center" wrapText="1"/>
      <protection locked="0"/>
    </xf>
    <xf numFmtId="164" fontId="4" fillId="0" borderId="0" xfId="1" applyNumberFormat="1" applyFont="1" applyBorder="1" applyAlignment="1" applyProtection="1">
      <alignment horizontal="left" vertical="top"/>
      <protection locked="0"/>
    </xf>
    <xf numFmtId="164" fontId="13" fillId="0" borderId="0" xfId="1" applyNumberFormat="1" applyFont="1" applyFill="1" applyBorder="1" applyAlignment="1" applyProtection="1">
      <alignment horizontal="left" vertical="top"/>
    </xf>
    <xf numFmtId="4" fontId="5" fillId="0" borderId="16" xfId="1" applyNumberFormat="1" applyFont="1" applyBorder="1" applyAlignment="1" applyProtection="1">
      <alignment horizontal="right" vertical="top"/>
      <protection locked="0"/>
    </xf>
    <xf numFmtId="4" fontId="4" fillId="0" borderId="16" xfId="1" applyNumberFormat="1" applyFont="1" applyBorder="1" applyAlignment="1" applyProtection="1">
      <alignment horizontal="right" vertical="top"/>
      <protection locked="0"/>
    </xf>
    <xf numFmtId="164" fontId="4" fillId="0" borderId="16" xfId="1" applyNumberFormat="1" applyFont="1" applyBorder="1" applyAlignment="1" applyProtection="1">
      <alignment horizontal="right" vertical="top"/>
      <protection locked="0"/>
    </xf>
    <xf numFmtId="0" fontId="6" fillId="0" borderId="0" xfId="0" applyFont="1"/>
    <xf numFmtId="4" fontId="9" fillId="0" borderId="16" xfId="0" applyNumberFormat="1" applyFont="1" applyBorder="1" applyAlignment="1">
      <alignment horizontal="right"/>
    </xf>
    <xf numFmtId="4" fontId="4" fillId="0" borderId="16" xfId="1" applyNumberFormat="1" applyFont="1" applyFill="1" applyBorder="1" applyAlignment="1" applyProtection="1">
      <alignment horizontal="right" vertical="top"/>
      <protection locked="0"/>
    </xf>
    <xf numFmtId="4" fontId="4" fillId="0" borderId="15" xfId="1" applyNumberFormat="1" applyFont="1" applyFill="1" applyBorder="1" applyAlignment="1" applyProtection="1">
      <alignment horizontal="right" vertical="top"/>
      <protection locked="0"/>
    </xf>
    <xf numFmtId="4" fontId="4" fillId="0" borderId="14" xfId="1" applyNumberFormat="1" applyFont="1" applyFill="1" applyBorder="1" applyAlignment="1" applyProtection="1">
      <alignment horizontal="left" vertical="top"/>
      <protection locked="0"/>
    </xf>
    <xf numFmtId="4" fontId="4" fillId="0" borderId="16" xfId="1" applyNumberFormat="1" applyFont="1" applyFill="1" applyBorder="1" applyAlignment="1" applyProtection="1">
      <alignment horizontal="left" vertical="top"/>
      <protection locked="0"/>
    </xf>
    <xf numFmtId="4" fontId="5" fillId="0" borderId="16" xfId="1" applyNumberFormat="1" applyFont="1" applyFill="1" applyBorder="1" applyAlignment="1" applyProtection="1">
      <alignment horizontal="left" vertical="top"/>
      <protection locked="0"/>
    </xf>
    <xf numFmtId="4" fontId="5" fillId="0" borderId="15" xfId="1" applyNumberFormat="1" applyFont="1" applyFill="1" applyBorder="1" applyAlignment="1" applyProtection="1">
      <alignment horizontal="left" vertical="top"/>
      <protection locked="0"/>
    </xf>
    <xf numFmtId="0" fontId="0" fillId="0" borderId="0" xfId="0" applyFont="1"/>
    <xf numFmtId="0" fontId="13" fillId="0" borderId="0" xfId="6" applyFont="1" applyBorder="1" applyAlignment="1" applyProtection="1">
      <alignment horizontal="left"/>
      <protection locked="0"/>
    </xf>
    <xf numFmtId="0" fontId="3" fillId="2" borderId="4" xfId="1" applyFont="1" applyFill="1" applyBorder="1" applyAlignment="1">
      <alignment horizontal="center" vertical="center"/>
    </xf>
    <xf numFmtId="0" fontId="3" fillId="2" borderId="4" xfId="1" applyFont="1" applyFill="1" applyBorder="1" applyAlignment="1">
      <alignment horizontal="center" vertical="center" wrapText="1"/>
    </xf>
    <xf numFmtId="4" fontId="3" fillId="2" borderId="4" xfId="1" applyNumberFormat="1" applyFont="1" applyFill="1" applyBorder="1" applyAlignment="1">
      <alignment horizontal="center" vertical="center" wrapText="1"/>
    </xf>
    <xf numFmtId="165" fontId="3" fillId="2" borderId="4" xfId="2" applyNumberFormat="1" applyFont="1" applyFill="1" applyBorder="1" applyAlignment="1">
      <alignment horizontal="center" vertical="center" wrapText="1"/>
    </xf>
    <xf numFmtId="43" fontId="0" fillId="0" borderId="0" xfId="9" applyFont="1"/>
    <xf numFmtId="4" fontId="7" fillId="0" borderId="14" xfId="1" applyNumberFormat="1" applyFont="1" applyBorder="1" applyAlignment="1" applyProtection="1">
      <alignment horizontal="right" vertical="top"/>
      <protection locked="0"/>
    </xf>
    <xf numFmtId="4" fontId="7" fillId="0" borderId="16" xfId="1" applyNumberFormat="1" applyFont="1" applyBorder="1" applyAlignment="1" applyProtection="1">
      <alignment horizontal="right" vertical="top"/>
      <protection locked="0"/>
    </xf>
    <xf numFmtId="0" fontId="4" fillId="0" borderId="0" xfId="1" applyFont="1" applyAlignment="1">
      <alignment horizontal="left" vertical="top"/>
    </xf>
    <xf numFmtId="0" fontId="4" fillId="0" borderId="0" xfId="1" applyFont="1" applyAlignment="1">
      <alignment vertical="top"/>
    </xf>
    <xf numFmtId="0" fontId="4" fillId="0" borderId="0" xfId="1" applyFont="1" applyAlignment="1">
      <alignment horizontal="center" vertical="top"/>
    </xf>
    <xf numFmtId="0" fontId="5" fillId="0" borderId="5" xfId="1" applyNumberFormat="1" applyFont="1" applyFill="1" applyBorder="1" applyAlignment="1">
      <alignment horizontal="center" vertical="top"/>
    </xf>
    <xf numFmtId="0" fontId="5" fillId="0" borderId="6" xfId="1" applyFont="1" applyBorder="1" applyAlignment="1">
      <alignment vertical="top" wrapText="1"/>
    </xf>
    <xf numFmtId="3" fontId="5" fillId="0" borderId="7" xfId="1" applyNumberFormat="1" applyFont="1" applyFill="1" applyBorder="1" applyAlignment="1">
      <alignment vertical="top"/>
    </xf>
    <xf numFmtId="0" fontId="5" fillId="0" borderId="0" xfId="1" applyFont="1" applyAlignment="1">
      <alignment vertical="top"/>
    </xf>
    <xf numFmtId="0" fontId="5" fillId="0" borderId="8" xfId="1" applyNumberFormat="1" applyFont="1" applyFill="1" applyBorder="1" applyAlignment="1">
      <alignment horizontal="center" vertical="top"/>
    </xf>
    <xf numFmtId="0" fontId="5" fillId="0" borderId="0" xfId="1" applyFont="1" applyBorder="1" applyAlignment="1">
      <alignment vertical="top" wrapText="1"/>
    </xf>
    <xf numFmtId="3" fontId="4" fillId="0" borderId="9" xfId="1" applyNumberFormat="1" applyFont="1" applyFill="1" applyBorder="1" applyAlignment="1">
      <alignment vertical="top"/>
    </xf>
    <xf numFmtId="0" fontId="4" fillId="0" borderId="8" xfId="1" applyNumberFormat="1" applyFont="1" applyFill="1" applyBorder="1" applyAlignment="1">
      <alignment horizontal="center" vertical="top"/>
    </xf>
    <xf numFmtId="0" fontId="4" fillId="0" borderId="0" xfId="1" applyFont="1" applyBorder="1" applyAlignment="1">
      <alignment vertical="top" wrapText="1"/>
    </xf>
    <xf numFmtId="3" fontId="5" fillId="0" borderId="9" xfId="1" applyNumberFormat="1" applyFont="1" applyFill="1" applyBorder="1" applyAlignment="1">
      <alignment vertical="top"/>
    </xf>
    <xf numFmtId="0" fontId="4" fillId="0" borderId="10" xfId="1" applyNumberFormat="1" applyFont="1" applyFill="1" applyBorder="1" applyAlignment="1">
      <alignment horizontal="center" vertical="top"/>
    </xf>
    <xf numFmtId="0" fontId="4" fillId="0" borderId="11" xfId="1" applyFont="1" applyBorder="1" applyAlignment="1">
      <alignment vertical="top" wrapText="1"/>
    </xf>
    <xf numFmtId="3" fontId="4" fillId="0" borderId="12" xfId="1" applyNumberFormat="1" applyFont="1" applyFill="1" applyBorder="1" applyAlignment="1">
      <alignment vertical="top"/>
    </xf>
    <xf numFmtId="0" fontId="4" fillId="0" borderId="0" xfId="1" applyFont="1" applyAlignment="1">
      <alignment vertical="top" wrapText="1"/>
    </xf>
    <xf numFmtId="4" fontId="4" fillId="0" borderId="0" xfId="1" applyNumberFormat="1" applyFont="1" applyAlignment="1">
      <alignment vertical="top"/>
    </xf>
    <xf numFmtId="0" fontId="4" fillId="0" borderId="0" xfId="1" applyFont="1" applyFill="1" applyBorder="1" applyAlignment="1">
      <alignment vertical="top"/>
    </xf>
    <xf numFmtId="0" fontId="9" fillId="0" borderId="9" xfId="1" applyFont="1" applyFill="1" applyBorder="1" applyAlignment="1">
      <alignment vertical="top" wrapText="1"/>
    </xf>
    <xf numFmtId="0" fontId="5" fillId="0" borderId="0" xfId="1" applyFont="1" applyFill="1" applyBorder="1" applyAlignment="1">
      <alignment vertical="top"/>
    </xf>
    <xf numFmtId="0" fontId="6" fillId="0" borderId="9" xfId="1" applyFont="1" applyFill="1" applyBorder="1" applyAlignment="1">
      <alignment vertical="top" wrapText="1"/>
    </xf>
    <xf numFmtId="0" fontId="4" fillId="0" borderId="0" xfId="1" applyFont="1" applyFill="1" applyBorder="1" applyAlignment="1">
      <alignment vertical="top" wrapText="1"/>
    </xf>
    <xf numFmtId="0" fontId="4" fillId="0" borderId="9" xfId="1" applyFont="1" applyFill="1" applyBorder="1" applyAlignment="1">
      <alignment vertical="top" wrapText="1"/>
    </xf>
    <xf numFmtId="0" fontId="5" fillId="0" borderId="10" xfId="1" applyNumberFormat="1" applyFont="1" applyFill="1" applyBorder="1" applyAlignment="1">
      <alignment horizontal="center" vertical="top"/>
    </xf>
    <xf numFmtId="0" fontId="5" fillId="0" borderId="12" xfId="1" applyFont="1" applyFill="1" applyBorder="1" applyAlignment="1">
      <alignment vertical="top" wrapText="1"/>
    </xf>
    <xf numFmtId="4" fontId="4" fillId="0" borderId="0" xfId="1" applyNumberFormat="1" applyFont="1" applyFill="1" applyBorder="1" applyAlignment="1">
      <alignment vertical="top" wrapText="1"/>
    </xf>
    <xf numFmtId="0" fontId="4" fillId="0" borderId="8" xfId="1" applyFont="1" applyBorder="1" applyAlignment="1" applyProtection="1">
      <alignment horizontal="center" vertical="top"/>
    </xf>
    <xf numFmtId="0" fontId="7" fillId="0" borderId="8" xfId="1" applyNumberFormat="1" applyFont="1" applyFill="1" applyBorder="1" applyAlignment="1" applyProtection="1">
      <alignment horizontal="center" vertical="top"/>
      <protection hidden="1"/>
    </xf>
    <xf numFmtId="0" fontId="7" fillId="0" borderId="10" xfId="1" applyNumberFormat="1" applyFont="1" applyFill="1" applyBorder="1" applyAlignment="1" applyProtection="1">
      <alignment horizontal="center" vertical="top"/>
      <protection hidden="1"/>
    </xf>
    <xf numFmtId="4" fontId="4" fillId="0" borderId="0" xfId="1" applyNumberFormat="1" applyFont="1" applyFill="1" applyBorder="1" applyAlignment="1">
      <alignment vertical="top"/>
    </xf>
    <xf numFmtId="0" fontId="4" fillId="0" borderId="0" xfId="1" applyFont="1" applyFill="1" applyBorder="1"/>
    <xf numFmtId="0" fontId="5" fillId="0" borderId="8" xfId="1" applyFont="1" applyBorder="1" applyAlignment="1">
      <alignment horizontal="center" vertical="top"/>
    </xf>
    <xf numFmtId="0" fontId="3" fillId="0" borderId="8" xfId="1" applyFont="1" applyBorder="1" applyAlignment="1" applyProtection="1">
      <alignment horizontal="center" vertical="top"/>
      <protection hidden="1"/>
    </xf>
    <xf numFmtId="0" fontId="4" fillId="0" borderId="8" xfId="1" applyFont="1" applyBorder="1" applyAlignment="1">
      <alignment horizontal="center" vertical="top"/>
    </xf>
    <xf numFmtId="0" fontId="4" fillId="0" borderId="8" xfId="1" applyFont="1" applyFill="1" applyBorder="1" applyAlignment="1">
      <alignment horizontal="center" vertical="top"/>
    </xf>
    <xf numFmtId="0" fontId="4" fillId="0" borderId="8" xfId="1" quotePrefix="1" applyFont="1" applyFill="1" applyBorder="1" applyAlignment="1">
      <alignment horizontal="center" vertical="top"/>
    </xf>
    <xf numFmtId="0" fontId="3" fillId="0" borderId="8" xfId="1" applyFont="1" applyFill="1" applyBorder="1" applyAlignment="1" applyProtection="1">
      <alignment horizontal="center" vertical="top"/>
      <protection hidden="1"/>
    </xf>
    <xf numFmtId="0" fontId="3" fillId="0" borderId="10" xfId="1" applyFont="1" applyBorder="1" applyAlignment="1" applyProtection="1">
      <alignment horizontal="center" vertical="top"/>
      <protection hidden="1"/>
    </xf>
    <xf numFmtId="0" fontId="6" fillId="0" borderId="0" xfId="3"/>
    <xf numFmtId="0" fontId="3" fillId="2" borderId="14" xfId="1" applyFont="1" applyFill="1" applyBorder="1" applyAlignment="1">
      <alignment horizontal="center" vertical="center" wrapText="1"/>
    </xf>
    <xf numFmtId="4" fontId="3" fillId="2" borderId="14" xfId="1" applyNumberFormat="1" applyFont="1" applyFill="1" applyBorder="1" applyAlignment="1">
      <alignment horizontal="center" vertical="center" wrapText="1"/>
    </xf>
    <xf numFmtId="0" fontId="5" fillId="0" borderId="5" xfId="1" applyFont="1" applyBorder="1" applyAlignment="1">
      <alignment horizontal="center" vertical="top"/>
    </xf>
    <xf numFmtId="0" fontId="4" fillId="0" borderId="0" xfId="1" applyFont="1" applyBorder="1" applyAlignment="1">
      <alignment vertical="top"/>
    </xf>
    <xf numFmtId="0" fontId="4" fillId="0" borderId="10" xfId="1" applyFont="1" applyBorder="1" applyAlignment="1">
      <alignment horizontal="center" vertical="top"/>
    </xf>
    <xf numFmtId="0" fontId="7" fillId="0" borderId="8" xfId="1" applyFont="1" applyBorder="1" applyAlignment="1" applyProtection="1">
      <alignment horizontal="center" vertical="top"/>
      <protection hidden="1"/>
    </xf>
    <xf numFmtId="0" fontId="5" fillId="0" borderId="6" xfId="1" applyFont="1" applyFill="1" applyBorder="1" applyAlignment="1" applyProtection="1">
      <alignment horizontal="center" vertical="top" wrapText="1"/>
    </xf>
    <xf numFmtId="0" fontId="5" fillId="0" borderId="0" xfId="1" applyFont="1" applyFill="1" applyBorder="1"/>
    <xf numFmtId="0" fontId="4" fillId="0" borderId="8" xfId="1" applyFont="1" applyFill="1" applyBorder="1" applyAlignment="1" applyProtection="1">
      <alignment horizontal="center" vertical="top"/>
    </xf>
    <xf numFmtId="0" fontId="5" fillId="0" borderId="0" xfId="1" applyFont="1" applyFill="1" applyBorder="1" applyAlignment="1" applyProtection="1">
      <alignment horizontal="left" vertical="top" wrapText="1" indent="2"/>
    </xf>
    <xf numFmtId="0" fontId="5" fillId="0" borderId="0" xfId="1" applyFont="1" applyFill="1" applyBorder="1" applyAlignment="1" applyProtection="1">
      <alignment vertical="top" wrapText="1"/>
    </xf>
    <xf numFmtId="4" fontId="4" fillId="0" borderId="0" xfId="1" applyNumberFormat="1" applyFont="1" applyFill="1" applyBorder="1" applyAlignment="1" applyProtection="1">
      <alignment vertical="top" wrapText="1"/>
    </xf>
    <xf numFmtId="0" fontId="5" fillId="0" borderId="0" xfId="1" applyFont="1" applyFill="1" applyBorder="1" applyAlignment="1" applyProtection="1">
      <alignment horizontal="center" vertical="top" wrapText="1"/>
    </xf>
    <xf numFmtId="0" fontId="4" fillId="0" borderId="10" xfId="1" applyFont="1" applyBorder="1" applyAlignment="1" applyProtection="1">
      <alignment horizontal="center" vertical="top"/>
    </xf>
    <xf numFmtId="0" fontId="5" fillId="0" borderId="11" xfId="1" applyFont="1" applyFill="1" applyBorder="1" applyAlignment="1" applyProtection="1">
      <alignment vertical="top" wrapText="1"/>
    </xf>
    <xf numFmtId="0" fontId="4" fillId="0" borderId="0" xfId="1" applyFont="1" applyFill="1" applyBorder="1" applyProtection="1">
      <protection locked="0"/>
    </xf>
    <xf numFmtId="0" fontId="9" fillId="0" borderId="0" xfId="4" applyFont="1" applyFill="1" applyBorder="1" applyAlignment="1">
      <alignment vertical="top"/>
    </xf>
    <xf numFmtId="0" fontId="6" fillId="0" borderId="0" xfId="4" applyFont="1" applyFill="1" applyBorder="1" applyAlignment="1">
      <alignment horizontal="center" vertical="top"/>
    </xf>
    <xf numFmtId="0" fontId="6" fillId="0" borderId="0" xfId="4" applyFont="1" applyFill="1" applyBorder="1" applyAlignment="1">
      <alignment vertical="top"/>
    </xf>
    <xf numFmtId="4" fontId="6" fillId="0" borderId="0" xfId="4" applyNumberFormat="1" applyFont="1" applyFill="1" applyBorder="1" applyAlignment="1" applyProtection="1">
      <alignment vertical="top"/>
      <protection locked="0"/>
    </xf>
    <xf numFmtId="0" fontId="6" fillId="0" borderId="0" xfId="4" applyFont="1" applyFill="1" applyBorder="1" applyAlignment="1" applyProtection="1">
      <alignment vertical="top"/>
      <protection locked="0"/>
    </xf>
    <xf numFmtId="0" fontId="9" fillId="0" borderId="0" xfId="4" applyFont="1" applyFill="1" applyBorder="1" applyAlignment="1" applyProtection="1">
      <alignment vertical="top"/>
    </xf>
    <xf numFmtId="0" fontId="3" fillId="2" borderId="4" xfId="4" applyFont="1" applyFill="1" applyBorder="1" applyAlignment="1" applyProtection="1">
      <alignment horizontal="center" vertical="center"/>
    </xf>
    <xf numFmtId="0" fontId="3" fillId="2" borderId="4" xfId="4" applyFont="1" applyFill="1" applyBorder="1" applyAlignment="1" applyProtection="1">
      <alignment horizontal="center" vertical="center" wrapText="1"/>
    </xf>
    <xf numFmtId="0" fontId="3" fillId="2" borderId="14" xfId="4" applyFont="1" applyFill="1" applyBorder="1" applyAlignment="1" applyProtection="1">
      <alignment horizontal="center" vertical="center" wrapText="1"/>
    </xf>
    <xf numFmtId="0" fontId="6" fillId="0" borderId="0" xfId="4" applyFont="1" applyFill="1" applyBorder="1" applyAlignment="1" applyProtection="1">
      <alignment horizontal="center" vertical="top"/>
    </xf>
    <xf numFmtId="0" fontId="3" fillId="0" borderId="8" xfId="1" applyFont="1" applyBorder="1" applyAlignment="1" applyProtection="1">
      <alignment horizontal="center" vertical="top"/>
    </xf>
    <xf numFmtId="0" fontId="6" fillId="0" borderId="0" xfId="4" applyFont="1" applyFill="1" applyBorder="1" applyAlignment="1" applyProtection="1">
      <alignment vertical="top"/>
    </xf>
    <xf numFmtId="0" fontId="6" fillId="0" borderId="8" xfId="4" applyFont="1" applyFill="1" applyBorder="1" applyAlignment="1" applyProtection="1">
      <alignment horizontal="center" vertical="top"/>
    </xf>
    <xf numFmtId="0" fontId="6" fillId="0" borderId="0" xfId="4" applyFont="1" applyFill="1" applyBorder="1" applyAlignment="1" applyProtection="1">
      <alignment horizontal="left" vertical="top" indent="1"/>
    </xf>
    <xf numFmtId="0" fontId="6" fillId="0" borderId="10" xfId="4" quotePrefix="1" applyFont="1" applyFill="1" applyBorder="1" applyAlignment="1" applyProtection="1">
      <alignment horizontal="center" vertical="top"/>
    </xf>
    <xf numFmtId="0" fontId="6" fillId="0" borderId="11" xfId="4" applyFont="1" applyFill="1" applyBorder="1" applyAlignment="1" applyProtection="1">
      <alignment vertical="top"/>
    </xf>
    <xf numFmtId="0" fontId="3" fillId="2" borderId="14" xfId="4" applyFont="1" applyFill="1" applyBorder="1" applyAlignment="1" applyProtection="1">
      <alignment horizontal="center" vertical="center"/>
    </xf>
    <xf numFmtId="0" fontId="3" fillId="0" borderId="5" xfId="1" applyFont="1" applyBorder="1" applyAlignment="1" applyProtection="1">
      <alignment horizontal="center" vertical="top"/>
    </xf>
    <xf numFmtId="0" fontId="9" fillId="0" borderId="6" xfId="4" applyFont="1" applyFill="1" applyBorder="1" applyAlignment="1" applyProtection="1">
      <alignment vertical="top" wrapText="1"/>
    </xf>
    <xf numFmtId="0" fontId="9" fillId="0" borderId="0" xfId="4" applyFont="1" applyFill="1" applyBorder="1" applyAlignment="1" applyProtection="1">
      <alignment horizontal="justify" vertical="top" wrapText="1"/>
    </xf>
    <xf numFmtId="0" fontId="6" fillId="0" borderId="0" xfId="4" applyFont="1" applyFill="1" applyBorder="1" applyAlignment="1" applyProtection="1">
      <alignment horizontal="justify" vertical="top" wrapText="1"/>
    </xf>
    <xf numFmtId="4" fontId="6" fillId="0" borderId="0" xfId="3" applyNumberFormat="1" applyFont="1" applyProtection="1">
      <protection locked="0"/>
    </xf>
    <xf numFmtId="0" fontId="6" fillId="0" borderId="0" xfId="3" applyFont="1" applyProtection="1"/>
    <xf numFmtId="0" fontId="3" fillId="0" borderId="5" xfId="1" applyFont="1" applyFill="1" applyBorder="1" applyAlignment="1" applyProtection="1">
      <alignment horizontal="center" vertical="top"/>
      <protection hidden="1"/>
    </xf>
    <xf numFmtId="0" fontId="5" fillId="0" borderId="6" xfId="5" applyFont="1" applyFill="1" applyBorder="1" applyAlignment="1" applyProtection="1"/>
    <xf numFmtId="0" fontId="6" fillId="0" borderId="8" xfId="3" applyFont="1" applyFill="1" applyBorder="1" applyAlignment="1" applyProtection="1">
      <alignment horizontal="center"/>
    </xf>
    <xf numFmtId="0" fontId="6" fillId="0" borderId="0" xfId="3" applyFont="1" applyFill="1" applyBorder="1" applyProtection="1"/>
    <xf numFmtId="0" fontId="6" fillId="0" borderId="10" xfId="3" applyFont="1" applyFill="1" applyBorder="1" applyAlignment="1" applyProtection="1">
      <alignment horizontal="center"/>
    </xf>
    <xf numFmtId="0" fontId="6" fillId="0" borderId="11" xfId="3" applyFont="1" applyFill="1" applyBorder="1" applyProtection="1"/>
    <xf numFmtId="0" fontId="3" fillId="0" borderId="5" xfId="1" applyFont="1" applyBorder="1" applyAlignment="1" applyProtection="1">
      <alignment horizontal="center" vertical="top"/>
      <protection hidden="1"/>
    </xf>
    <xf numFmtId="0" fontId="5" fillId="0" borderId="6" xfId="5" applyFont="1" applyFill="1" applyBorder="1" applyAlignment="1" applyProtection="1">
      <alignment wrapText="1"/>
    </xf>
    <xf numFmtId="0" fontId="9" fillId="0" borderId="8" xfId="3" applyFont="1" applyFill="1" applyBorder="1" applyAlignment="1">
      <alignment horizontal="center" vertical="center"/>
    </xf>
    <xf numFmtId="0" fontId="9" fillId="0" borderId="0" xfId="3" applyFont="1" applyFill="1" applyBorder="1" applyAlignment="1">
      <alignment wrapText="1"/>
    </xf>
    <xf numFmtId="0" fontId="6" fillId="0" borderId="8" xfId="3" applyFont="1" applyFill="1" applyBorder="1" applyAlignment="1">
      <alignment horizontal="center" vertical="center"/>
    </xf>
    <xf numFmtId="0" fontId="6" fillId="0" borderId="0" xfId="3" applyFont="1" applyFill="1" applyBorder="1" applyAlignment="1">
      <alignment wrapText="1"/>
    </xf>
    <xf numFmtId="0" fontId="6" fillId="0" borderId="10" xfId="3" applyFont="1" applyFill="1" applyBorder="1" applyAlignment="1">
      <alignment horizontal="center" vertical="center"/>
    </xf>
    <xf numFmtId="0" fontId="6" fillId="0" borderId="11" xfId="3" applyFont="1" applyFill="1" applyBorder="1" applyAlignment="1">
      <alignment wrapText="1"/>
    </xf>
    <xf numFmtId="0" fontId="6" fillId="0" borderId="0" xfId="3" applyProtection="1">
      <protection locked="0"/>
    </xf>
    <xf numFmtId="4" fontId="6" fillId="0" borderId="0" xfId="3" applyNumberFormat="1" applyProtection="1">
      <protection locked="0"/>
    </xf>
    <xf numFmtId="0" fontId="6" fillId="0" borderId="0" xfId="3" applyFont="1"/>
    <xf numFmtId="0" fontId="6" fillId="0" borderId="5" xfId="3" applyFont="1" applyBorder="1" applyProtection="1">
      <protection locked="0"/>
    </xf>
    <xf numFmtId="165" fontId="5" fillId="0" borderId="6" xfId="2" applyNumberFormat="1" applyFont="1" applyFill="1" applyBorder="1" applyAlignment="1" applyProtection="1">
      <alignment horizontal="center" vertical="center"/>
      <protection locked="0"/>
    </xf>
    <xf numFmtId="0" fontId="6" fillId="0" borderId="8" xfId="3" applyFont="1" applyBorder="1" applyProtection="1">
      <protection locked="0"/>
    </xf>
    <xf numFmtId="0" fontId="6" fillId="0" borderId="0" xfId="3" applyFont="1" applyBorder="1" applyAlignment="1" applyProtection="1">
      <alignment horizontal="left"/>
      <protection locked="0"/>
    </xf>
    <xf numFmtId="0" fontId="9" fillId="0" borderId="0" xfId="3" applyFont="1" applyBorder="1" applyAlignment="1" applyProtection="1">
      <alignment horizontal="left"/>
      <protection locked="0"/>
    </xf>
    <xf numFmtId="165" fontId="5" fillId="0" borderId="0" xfId="2" applyNumberFormat="1" applyFont="1" applyFill="1" applyBorder="1" applyAlignment="1" applyProtection="1">
      <alignment horizontal="center" vertical="center"/>
      <protection locked="0"/>
    </xf>
    <xf numFmtId="0" fontId="9" fillId="0" borderId="11" xfId="3" applyFont="1" applyBorder="1" applyAlignment="1" applyProtection="1">
      <alignment horizontal="left"/>
      <protection locked="0"/>
    </xf>
    <xf numFmtId="0" fontId="6" fillId="0" borderId="5" xfId="3" applyFont="1" applyBorder="1"/>
    <xf numFmtId="0" fontId="6" fillId="0" borderId="8" xfId="3" applyFont="1" applyBorder="1"/>
    <xf numFmtId="0" fontId="9" fillId="0" borderId="8" xfId="3" applyFont="1" applyBorder="1"/>
    <xf numFmtId="4" fontId="6" fillId="0" borderId="0" xfId="3" applyNumberFormat="1" applyFont="1"/>
    <xf numFmtId="0" fontId="6" fillId="0" borderId="5" xfId="3" applyFont="1" applyBorder="1" applyProtection="1">
      <protection hidden="1"/>
    </xf>
    <xf numFmtId="0" fontId="9" fillId="0" borderId="6" xfId="3" applyFont="1" applyFill="1" applyBorder="1" applyAlignment="1" applyProtection="1">
      <alignment horizontal="left" vertical="center" wrapText="1"/>
    </xf>
    <xf numFmtId="0" fontId="6" fillId="0" borderId="8" xfId="3" applyFont="1" applyBorder="1" applyProtection="1">
      <protection hidden="1"/>
    </xf>
    <xf numFmtId="0" fontId="6" fillId="0" borderId="0" xfId="3" applyFont="1" applyFill="1" applyBorder="1" applyAlignment="1">
      <alignment horizontal="left" vertical="center" wrapText="1" indent="1"/>
    </xf>
    <xf numFmtId="4" fontId="6" fillId="0" borderId="9" xfId="3" applyNumberFormat="1" applyFont="1" applyFill="1" applyBorder="1" applyAlignment="1" applyProtection="1">
      <alignment horizontal="right" vertical="center" wrapText="1"/>
      <protection locked="0"/>
    </xf>
    <xf numFmtId="0" fontId="9" fillId="0" borderId="0" xfId="3" applyFont="1" applyFill="1" applyBorder="1" applyAlignment="1">
      <alignment horizontal="left" vertical="center" wrapText="1"/>
    </xf>
    <xf numFmtId="0" fontId="6" fillId="0" borderId="10" xfId="3" applyFont="1" applyBorder="1" applyProtection="1">
      <protection hidden="1"/>
    </xf>
    <xf numFmtId="0" fontId="9" fillId="0" borderId="11" xfId="3" applyFont="1" applyFill="1" applyBorder="1" applyAlignment="1">
      <alignment horizontal="left" vertical="center" wrapText="1"/>
    </xf>
    <xf numFmtId="0" fontId="6" fillId="0" borderId="0" xfId="0" applyFont="1" applyProtection="1"/>
    <xf numFmtId="0" fontId="4" fillId="0" borderId="0" xfId="5" applyFont="1" applyFill="1" applyBorder="1" applyAlignment="1" applyProtection="1">
      <alignment wrapText="1"/>
    </xf>
    <xf numFmtId="0" fontId="9" fillId="0" borderId="0" xfId="0" applyFont="1" applyBorder="1" applyAlignment="1" applyProtection="1">
      <alignment horizontal="left" indent="1"/>
    </xf>
    <xf numFmtId="0" fontId="6" fillId="0" borderId="8" xfId="0" applyFont="1" applyBorder="1" applyAlignment="1" applyProtection="1">
      <alignment horizontal="center"/>
    </xf>
    <xf numFmtId="0" fontId="6" fillId="0" borderId="0" xfId="0" applyFont="1" applyBorder="1" applyAlignment="1" applyProtection="1">
      <alignment horizontal="left" indent="2"/>
    </xf>
    <xf numFmtId="0" fontId="6" fillId="0" borderId="0" xfId="0" applyFont="1" applyFill="1" applyBorder="1" applyAlignment="1" applyProtection="1">
      <alignment horizontal="left"/>
    </xf>
    <xf numFmtId="0" fontId="6" fillId="0" borderId="10" xfId="0" applyFont="1" applyBorder="1" applyAlignment="1" applyProtection="1">
      <alignment horizontal="center"/>
    </xf>
    <xf numFmtId="0" fontId="6" fillId="0" borderId="11" xfId="0" applyFont="1" applyFill="1" applyBorder="1" applyAlignment="1" applyProtection="1">
      <alignment horizontal="left"/>
    </xf>
    <xf numFmtId="0" fontId="6" fillId="0" borderId="0" xfId="0" applyFont="1" applyProtection="1">
      <protection locked="0"/>
    </xf>
    <xf numFmtId="4" fontId="6" fillId="0" borderId="0" xfId="0" applyNumberFormat="1" applyFont="1" applyProtection="1">
      <protection locked="0"/>
    </xf>
    <xf numFmtId="0" fontId="3" fillId="2" borderId="14" xfId="10" applyFont="1" applyFill="1" applyBorder="1" applyAlignment="1">
      <alignment horizontal="center" vertical="top" wrapText="1"/>
    </xf>
    <xf numFmtId="0" fontId="3" fillId="2" borderId="14" xfId="10" applyFont="1" applyFill="1" applyBorder="1" applyAlignment="1">
      <alignment horizontal="center" vertical="center" wrapText="1"/>
    </xf>
    <xf numFmtId="0" fontId="3" fillId="2" borderId="1" xfId="3" applyFont="1" applyFill="1" applyBorder="1" applyAlignment="1">
      <alignment horizontal="center" wrapText="1"/>
    </xf>
    <xf numFmtId="0" fontId="3" fillId="2" borderId="2" xfId="3" applyFont="1" applyFill="1" applyBorder="1" applyAlignment="1">
      <alignment horizontal="center" wrapText="1"/>
    </xf>
    <xf numFmtId="0" fontId="3" fillId="2" borderId="3" xfId="3" applyFont="1" applyFill="1" applyBorder="1" applyAlignment="1">
      <alignment horizontal="center" wrapText="1"/>
    </xf>
    <xf numFmtId="0" fontId="3" fillId="2" borderId="1" xfId="3" applyFont="1" applyFill="1" applyBorder="1" applyAlignment="1">
      <alignment horizontal="left"/>
    </xf>
    <xf numFmtId="0" fontId="3" fillId="2" borderId="1" xfId="6" applyFont="1" applyFill="1" applyBorder="1" applyAlignment="1">
      <alignment horizontal="left" vertical="center"/>
    </xf>
    <xf numFmtId="0" fontId="3" fillId="2" borderId="3" xfId="6" applyFont="1" applyFill="1" applyBorder="1" applyAlignment="1">
      <alignment horizontal="center" vertical="center"/>
    </xf>
    <xf numFmtId="0" fontId="3" fillId="2" borderId="15" xfId="10" applyFont="1" applyFill="1" applyBorder="1" applyAlignment="1">
      <alignment horizontal="center" vertical="top" wrapText="1"/>
    </xf>
    <xf numFmtId="0" fontId="3" fillId="2" borderId="4" xfId="3" applyFont="1" applyFill="1" applyBorder="1" applyAlignment="1">
      <alignment horizontal="center" vertical="center" wrapText="1"/>
    </xf>
    <xf numFmtId="0" fontId="3" fillId="2" borderId="4" xfId="3" applyFont="1" applyFill="1" applyBorder="1" applyAlignment="1">
      <alignment horizontal="center" wrapText="1"/>
    </xf>
    <xf numFmtId="4" fontId="3" fillId="2" borderId="4" xfId="6" applyNumberFormat="1" applyFont="1" applyFill="1" applyBorder="1" applyAlignment="1">
      <alignment horizontal="center" vertical="center" wrapText="1"/>
    </xf>
    <xf numFmtId="9" fontId="6" fillId="0" borderId="0" xfId="7" applyFont="1" applyProtection="1">
      <protection locked="0"/>
    </xf>
    <xf numFmtId="0" fontId="3" fillId="2" borderId="5" xfId="10" applyFont="1" applyFill="1" applyBorder="1" applyAlignment="1">
      <alignment horizontal="center" vertical="center" wrapText="1"/>
    </xf>
    <xf numFmtId="0" fontId="3" fillId="2" borderId="7" xfId="10" applyFont="1" applyFill="1" applyBorder="1" applyAlignment="1">
      <alignment horizontal="center" vertical="center" wrapText="1"/>
    </xf>
    <xf numFmtId="4" fontId="3" fillId="2" borderId="7" xfId="10" applyNumberFormat="1" applyFont="1" applyFill="1" applyBorder="1" applyAlignment="1">
      <alignment horizontal="center" vertical="center" wrapText="1"/>
    </xf>
    <xf numFmtId="0" fontId="6" fillId="0" borderId="1" xfId="3" applyFont="1" applyBorder="1" applyAlignment="1" applyProtection="1">
      <alignment vertical="center"/>
      <protection locked="0"/>
    </xf>
    <xf numFmtId="0" fontId="6" fillId="0" borderId="2" xfId="3" applyFont="1" applyBorder="1" applyAlignment="1" applyProtection="1">
      <alignment vertical="center" wrapText="1"/>
      <protection locked="0"/>
    </xf>
    <xf numFmtId="0" fontId="6" fillId="0" borderId="2" xfId="3" applyFont="1" applyBorder="1" applyAlignment="1" applyProtection="1">
      <alignment horizontal="center" vertical="center"/>
      <protection locked="0"/>
    </xf>
    <xf numFmtId="0" fontId="6" fillId="0" borderId="2" xfId="3" applyFont="1" applyBorder="1" applyAlignment="1" applyProtection="1">
      <alignment wrapText="1"/>
      <protection locked="0"/>
    </xf>
    <xf numFmtId="0" fontId="6" fillId="0" borderId="2" xfId="3" applyFont="1" applyBorder="1" applyProtection="1">
      <protection locked="0"/>
    </xf>
    <xf numFmtId="0" fontId="6" fillId="0" borderId="3" xfId="3" applyFont="1" applyBorder="1" applyProtection="1">
      <protection locked="0"/>
    </xf>
    <xf numFmtId="0" fontId="6" fillId="0" borderId="5" xfId="3" applyNumberFormat="1" applyFont="1" applyFill="1" applyBorder="1" applyAlignment="1" applyProtection="1">
      <alignment horizontal="left" vertical="center" wrapText="1"/>
      <protection locked="0"/>
    </xf>
    <xf numFmtId="0" fontId="6" fillId="0" borderId="6" xfId="3" applyNumberFormat="1" applyFont="1" applyFill="1" applyBorder="1" applyAlignment="1" applyProtection="1">
      <alignment horizontal="right" vertical="center" wrapText="1"/>
      <protection locked="0"/>
    </xf>
    <xf numFmtId="4" fontId="6" fillId="0" borderId="7" xfId="3" applyNumberFormat="1" applyFont="1" applyFill="1" applyBorder="1" applyAlignment="1" applyProtection="1">
      <alignment horizontal="right" vertical="center" wrapText="1"/>
      <protection locked="0"/>
    </xf>
    <xf numFmtId="0" fontId="6" fillId="0" borderId="8" xfId="3" applyNumberFormat="1" applyFont="1" applyFill="1" applyBorder="1" applyAlignment="1" applyProtection="1">
      <alignment horizontal="left" vertical="center" wrapText="1"/>
      <protection locked="0"/>
    </xf>
    <xf numFmtId="0" fontId="6" fillId="0" borderId="0" xfId="3" applyNumberFormat="1" applyFont="1" applyFill="1" applyBorder="1" applyAlignment="1" applyProtection="1">
      <alignment horizontal="right" vertical="center" wrapText="1"/>
      <protection locked="0"/>
    </xf>
    <xf numFmtId="0" fontId="6" fillId="0" borderId="8" xfId="3" applyNumberFormat="1" applyFont="1" applyFill="1" applyBorder="1" applyAlignment="1" applyProtection="1">
      <alignment horizontal="left" vertical="center" wrapText="1" indent="1"/>
      <protection locked="0"/>
    </xf>
    <xf numFmtId="0" fontId="9" fillId="0" borderId="0" xfId="3" applyNumberFormat="1" applyFont="1" applyFill="1" applyBorder="1" applyAlignment="1" applyProtection="1">
      <alignment horizontal="right" vertical="center" wrapText="1"/>
      <protection locked="0"/>
    </xf>
    <xf numFmtId="0" fontId="15" fillId="11" borderId="10" xfId="3" applyNumberFormat="1" applyFont="1" applyFill="1" applyBorder="1" applyAlignment="1" applyProtection="1">
      <alignment horizontal="left" vertical="center" wrapText="1" indent="1"/>
      <protection locked="0"/>
    </xf>
    <xf numFmtId="0" fontId="9" fillId="11" borderId="11" xfId="3" applyNumberFormat="1" applyFont="1" applyFill="1" applyBorder="1" applyAlignment="1" applyProtection="1">
      <alignment horizontal="left" vertical="center" wrapText="1" indent="1"/>
      <protection locked="0"/>
    </xf>
    <xf numFmtId="0" fontId="6" fillId="0" borderId="10" xfId="3" applyNumberFormat="1" applyFont="1" applyFill="1" applyBorder="1" applyAlignment="1" applyProtection="1">
      <alignment horizontal="left" vertical="center" wrapText="1"/>
      <protection locked="0"/>
    </xf>
    <xf numFmtId="0" fontId="6" fillId="0" borderId="11" xfId="3" applyNumberFormat="1" applyFont="1" applyFill="1" applyBorder="1" applyAlignment="1" applyProtection="1">
      <alignment horizontal="right" vertical="center" wrapText="1"/>
      <protection locked="0"/>
    </xf>
    <xf numFmtId="0" fontId="4" fillId="0" borderId="0" xfId="8" applyFont="1" applyProtection="1">
      <protection locked="0"/>
    </xf>
    <xf numFmtId="4" fontId="4" fillId="0" borderId="0" xfId="8" applyNumberFormat="1" applyFont="1" applyProtection="1">
      <protection locked="0"/>
    </xf>
    <xf numFmtId="0" fontId="6" fillId="2" borderId="1" xfId="3" applyFont="1" applyFill="1" applyBorder="1" applyProtection="1">
      <protection locked="0"/>
    </xf>
    <xf numFmtId="0" fontId="3" fillId="2" borderId="3" xfId="1" applyFont="1" applyFill="1" applyBorder="1" applyAlignment="1">
      <alignment horizontal="center" vertical="center" wrapText="1"/>
    </xf>
    <xf numFmtId="0" fontId="6" fillId="0" borderId="6" xfId="3" applyNumberFormat="1" applyFont="1" applyFill="1" applyBorder="1" applyAlignment="1" applyProtection="1">
      <alignment horizontal="left" vertical="center" wrapText="1"/>
      <protection locked="0"/>
    </xf>
    <xf numFmtId="0" fontId="6" fillId="0" borderId="0" xfId="3" applyNumberFormat="1" applyFont="1" applyFill="1" applyBorder="1" applyAlignment="1" applyProtection="1">
      <alignment horizontal="left" vertical="center" wrapText="1"/>
      <protection locked="0"/>
    </xf>
    <xf numFmtId="0" fontId="6" fillId="0" borderId="0" xfId="3" applyNumberFormat="1" applyFont="1" applyFill="1" applyBorder="1" applyAlignment="1" applyProtection="1">
      <alignment horizontal="left" vertical="center" wrapText="1" indent="1"/>
      <protection locked="0"/>
    </xf>
    <xf numFmtId="0" fontId="16" fillId="12" borderId="10" xfId="1" applyFont="1" applyFill="1" applyBorder="1" applyAlignment="1" applyProtection="1">
      <alignment horizontal="center" vertical="top"/>
      <protection hidden="1"/>
    </xf>
    <xf numFmtId="0" fontId="9" fillId="12" borderId="11" xfId="3" applyFont="1" applyFill="1" applyBorder="1" applyAlignment="1" applyProtection="1">
      <alignment horizontal="left"/>
      <protection locked="0"/>
    </xf>
    <xf numFmtId="0" fontId="6" fillId="12" borderId="11" xfId="3" applyNumberFormat="1" applyFont="1" applyFill="1" applyBorder="1" applyAlignment="1" applyProtection="1">
      <alignment horizontal="left" vertical="center" wrapText="1"/>
      <protection locked="0"/>
    </xf>
    <xf numFmtId="0" fontId="9" fillId="12" borderId="11" xfId="3" applyNumberFormat="1" applyFont="1" applyFill="1" applyBorder="1" applyAlignment="1" applyProtection="1">
      <alignment horizontal="right" vertical="center" wrapText="1"/>
      <protection locked="0"/>
    </xf>
    <xf numFmtId="4" fontId="9" fillId="12" borderId="12" xfId="3" applyNumberFormat="1" applyFont="1" applyFill="1" applyBorder="1" applyAlignment="1" applyProtection="1">
      <alignment horizontal="right" vertical="center" wrapText="1"/>
      <protection locked="0"/>
    </xf>
    <xf numFmtId="0" fontId="6" fillId="0" borderId="7" xfId="3" applyNumberFormat="1" applyFont="1" applyFill="1" applyBorder="1" applyAlignment="1" applyProtection="1">
      <alignment horizontal="right" vertical="center" wrapText="1"/>
      <protection locked="0"/>
    </xf>
    <xf numFmtId="0" fontId="6" fillId="0" borderId="9" xfId="3" applyNumberFormat="1" applyFont="1" applyFill="1" applyBorder="1" applyAlignment="1" applyProtection="1">
      <alignment horizontal="right" vertical="center" wrapText="1"/>
      <protection locked="0"/>
    </xf>
    <xf numFmtId="0" fontId="9" fillId="0" borderId="11" xfId="3" applyNumberFormat="1" applyFont="1" applyFill="1" applyBorder="1" applyAlignment="1" applyProtection="1">
      <alignment horizontal="right" vertical="center" wrapText="1"/>
      <protection locked="0"/>
    </xf>
    <xf numFmtId="0" fontId="6" fillId="0" borderId="12" xfId="3" applyNumberFormat="1" applyFont="1" applyFill="1" applyBorder="1" applyAlignment="1" applyProtection="1">
      <alignment horizontal="right" vertical="center" wrapText="1"/>
      <protection locked="0"/>
    </xf>
    <xf numFmtId="49" fontId="6" fillId="0" borderId="0" xfId="3" applyNumberFormat="1" applyFont="1" applyProtection="1">
      <protection locked="0"/>
    </xf>
    <xf numFmtId="0" fontId="3" fillId="2" borderId="4" xfId="1" applyFont="1" applyFill="1" applyBorder="1" applyAlignment="1">
      <alignment horizontal="center" vertical="center"/>
    </xf>
    <xf numFmtId="0" fontId="3" fillId="2" borderId="4" xfId="1" applyFont="1" applyFill="1" applyBorder="1" applyAlignment="1">
      <alignment horizontal="center" vertical="center" wrapText="1"/>
    </xf>
    <xf numFmtId="0" fontId="6" fillId="3" borderId="0" xfId="0" applyFont="1" applyFill="1"/>
    <xf numFmtId="49" fontId="5" fillId="4" borderId="15" xfId="0" applyNumberFormat="1" applyFont="1" applyFill="1" applyBorder="1" applyAlignment="1">
      <alignment horizontal="left"/>
    </xf>
    <xf numFmtId="43" fontId="5" fillId="4" borderId="15" xfId="9" applyFont="1" applyFill="1" applyBorder="1" applyAlignment="1">
      <alignment horizontal="center"/>
    </xf>
    <xf numFmtId="43" fontId="6" fillId="0" borderId="0" xfId="9" applyFont="1"/>
    <xf numFmtId="0" fontId="6" fillId="0" borderId="0" xfId="0" applyFont="1" applyBorder="1"/>
    <xf numFmtId="43" fontId="5" fillId="4" borderId="10" xfId="9" applyFont="1" applyFill="1" applyBorder="1" applyAlignment="1">
      <alignment horizontal="center"/>
    </xf>
    <xf numFmtId="0" fontId="6" fillId="13" borderId="0" xfId="0" applyFont="1" applyFill="1"/>
    <xf numFmtId="4" fontId="9" fillId="0" borderId="14" xfId="4" applyNumberFormat="1" applyFont="1" applyFill="1" applyBorder="1" applyAlignment="1" applyProtection="1">
      <alignment horizontal="right" vertical="top"/>
      <protection locked="0"/>
    </xf>
    <xf numFmtId="4" fontId="6" fillId="0" borderId="16" xfId="4" applyNumberFormat="1" applyFont="1" applyFill="1" applyBorder="1" applyAlignment="1" applyProtection="1">
      <alignment horizontal="right" vertical="top"/>
      <protection locked="0"/>
    </xf>
    <xf numFmtId="4" fontId="6" fillId="0" borderId="15" xfId="4" applyNumberFormat="1" applyFont="1" applyFill="1" applyBorder="1" applyAlignment="1" applyProtection="1">
      <alignment horizontal="right" vertical="top"/>
      <protection locked="0"/>
    </xf>
    <xf numFmtId="4" fontId="9" fillId="0" borderId="16" xfId="4" applyNumberFormat="1" applyFont="1" applyFill="1" applyBorder="1" applyAlignment="1" applyProtection="1">
      <alignment horizontal="right" vertical="top"/>
      <protection locked="0"/>
    </xf>
    <xf numFmtId="0" fontId="3" fillId="2" borderId="4" xfId="5" applyFont="1" applyFill="1" applyBorder="1" applyAlignment="1">
      <alignment horizontal="center" vertical="center"/>
    </xf>
    <xf numFmtId="4" fontId="9" fillId="0" borderId="16" xfId="0" applyNumberFormat="1" applyFont="1" applyBorder="1" applyAlignment="1" applyProtection="1">
      <alignment horizontal="right" vertical="top"/>
      <protection locked="0"/>
    </xf>
    <xf numFmtId="4" fontId="6" fillId="0" borderId="16" xfId="0" applyNumberFormat="1" applyFont="1" applyBorder="1" applyAlignment="1" applyProtection="1">
      <alignment horizontal="right" vertical="top"/>
      <protection locked="0"/>
    </xf>
    <xf numFmtId="4" fontId="6" fillId="0" borderId="15" xfId="0" applyNumberFormat="1" applyFont="1" applyBorder="1" applyAlignment="1" applyProtection="1">
      <alignment horizontal="right" vertical="top"/>
      <protection locked="0"/>
    </xf>
    <xf numFmtId="4" fontId="9" fillId="0" borderId="14" xfId="0" applyNumberFormat="1" applyFont="1" applyFill="1" applyBorder="1" applyAlignment="1" applyProtection="1">
      <alignment horizontal="right" vertical="top"/>
      <protection locked="0"/>
    </xf>
    <xf numFmtId="0" fontId="9" fillId="0" borderId="8" xfId="0" applyFont="1" applyFill="1" applyBorder="1" applyAlignment="1" applyProtection="1">
      <alignment horizontal="left" vertical="top"/>
    </xf>
    <xf numFmtId="0" fontId="9" fillId="0" borderId="0" xfId="0" applyFont="1" applyFill="1" applyBorder="1" applyAlignment="1" applyProtection="1">
      <alignment horizontal="left" vertical="top"/>
    </xf>
    <xf numFmtId="0" fontId="6" fillId="0" borderId="0" xfId="0" applyFont="1" applyAlignment="1">
      <alignment horizontal="left"/>
    </xf>
    <xf numFmtId="0" fontId="6" fillId="0" borderId="0" xfId="0" applyFont="1" applyAlignment="1">
      <alignment horizontal="right"/>
    </xf>
    <xf numFmtId="0" fontId="6" fillId="0" borderId="0" xfId="0" applyFont="1" applyAlignment="1">
      <alignment wrapText="1"/>
    </xf>
    <xf numFmtId="0" fontId="6" fillId="0" borderId="0" xfId="0" applyFont="1" applyAlignment="1">
      <alignment horizontal="left" vertical="top"/>
    </xf>
    <xf numFmtId="0" fontId="6" fillId="0" borderId="8" xfId="0" applyFont="1" applyBorder="1" applyAlignment="1" applyProtection="1">
      <alignment horizontal="left" vertical="top"/>
      <protection locked="0"/>
    </xf>
    <xf numFmtId="0" fontId="6" fillId="0" borderId="8" xfId="0" applyFont="1" applyFill="1" applyBorder="1" applyAlignment="1">
      <alignment horizontal="left" vertical="top" indent="2"/>
    </xf>
    <xf numFmtId="0" fontId="6" fillId="0" borderId="0" xfId="0" applyFont="1" applyAlignment="1">
      <alignment horizontal="right" vertical="top"/>
    </xf>
    <xf numFmtId="164" fontId="9" fillId="0" borderId="0" xfId="0" applyNumberFormat="1" applyFont="1" applyAlignment="1">
      <alignment horizontal="left" vertical="top"/>
    </xf>
    <xf numFmtId="4" fontId="6" fillId="0" borderId="16" xfId="0" applyNumberFormat="1" applyFont="1" applyFill="1" applyBorder="1" applyAlignment="1" applyProtection="1">
      <alignment horizontal="right" vertical="top"/>
      <protection locked="0"/>
    </xf>
    <xf numFmtId="4" fontId="9" fillId="0" borderId="16" xfId="0" applyNumberFormat="1" applyFont="1" applyFill="1" applyBorder="1" applyAlignment="1" applyProtection="1">
      <alignment horizontal="right" vertical="top"/>
      <protection locked="0"/>
    </xf>
    <xf numFmtId="4" fontId="9" fillId="0" borderId="15" xfId="0" applyNumberFormat="1" applyFont="1" applyFill="1" applyBorder="1" applyAlignment="1" applyProtection="1">
      <alignment horizontal="right" vertical="top"/>
      <protection locked="0"/>
    </xf>
    <xf numFmtId="0" fontId="3" fillId="2" borderId="4" xfId="5" applyFont="1" applyFill="1" applyBorder="1" applyAlignment="1">
      <alignment horizontal="center" vertical="center" wrapText="1"/>
    </xf>
    <xf numFmtId="164" fontId="4" fillId="0" borderId="14" xfId="2" applyNumberFormat="1" applyFont="1" applyBorder="1" applyAlignment="1" applyProtection="1">
      <alignment horizontal="right" vertical="top"/>
      <protection locked="0"/>
    </xf>
    <xf numFmtId="4" fontId="5" fillId="0" borderId="15" xfId="1" applyNumberFormat="1" applyFont="1" applyFill="1" applyBorder="1" applyAlignment="1" applyProtection="1">
      <alignment horizontal="right" vertical="top"/>
      <protection locked="0"/>
    </xf>
    <xf numFmtId="0" fontId="4" fillId="0" borderId="0" xfId="1" applyFont="1" applyAlignment="1" applyProtection="1">
      <alignment horizontal="left" vertical="top"/>
    </xf>
    <xf numFmtId="0" fontId="3" fillId="2" borderId="4" xfId="4" applyFont="1" applyFill="1" applyBorder="1" applyAlignment="1">
      <alignment horizontal="center" vertical="center" wrapText="1"/>
    </xf>
    <xf numFmtId="0" fontId="3" fillId="2" borderId="4" xfId="4" applyFont="1" applyFill="1" applyBorder="1" applyAlignment="1">
      <alignment horizontal="center" vertical="center"/>
    </xf>
    <xf numFmtId="0" fontId="3" fillId="2" borderId="4" xfId="1" applyFont="1" applyFill="1" applyBorder="1" applyAlignment="1">
      <alignment horizontal="center" vertical="center"/>
    </xf>
    <xf numFmtId="0" fontId="3" fillId="2" borderId="4" xfId="1" applyFont="1" applyFill="1" applyBorder="1" applyAlignment="1">
      <alignment horizontal="center" vertical="center" wrapText="1"/>
    </xf>
    <xf numFmtId="0" fontId="3" fillId="2" borderId="4" xfId="1" applyFont="1" applyFill="1" applyBorder="1" applyAlignment="1">
      <alignment horizontal="left" vertical="center"/>
    </xf>
    <xf numFmtId="0" fontId="3" fillId="2" borderId="2" xfId="1" applyFont="1" applyFill="1" applyBorder="1" applyAlignment="1">
      <alignment horizontal="center" vertical="center"/>
    </xf>
    <xf numFmtId="0" fontId="5" fillId="0" borderId="6" xfId="1" applyFont="1" applyFill="1" applyBorder="1" applyAlignment="1">
      <alignment vertical="top"/>
    </xf>
    <xf numFmtId="0" fontId="5" fillId="0" borderId="11" xfId="1" applyFont="1" applyFill="1" applyBorder="1" applyAlignment="1">
      <alignment vertical="top"/>
    </xf>
    <xf numFmtId="168" fontId="5" fillId="0" borderId="14" xfId="2" applyNumberFormat="1" applyFont="1" applyBorder="1" applyAlignment="1" applyProtection="1">
      <alignment vertical="top" wrapText="1"/>
      <protection locked="0"/>
    </xf>
    <xf numFmtId="168" fontId="4" fillId="0" borderId="16" xfId="2" applyNumberFormat="1" applyFont="1" applyBorder="1" applyAlignment="1" applyProtection="1">
      <alignment vertical="top" wrapText="1"/>
      <protection locked="0"/>
    </xf>
    <xf numFmtId="168" fontId="5" fillId="0" borderId="16" xfId="2" applyNumberFormat="1" applyFont="1" applyBorder="1" applyAlignment="1" applyProtection="1">
      <alignment vertical="top" wrapText="1"/>
      <protection locked="0"/>
    </xf>
    <xf numFmtId="168" fontId="4" fillId="0" borderId="15" xfId="2" applyNumberFormat="1" applyFont="1" applyBorder="1" applyAlignment="1" applyProtection="1">
      <alignment vertical="top" wrapText="1"/>
      <protection locked="0"/>
    </xf>
    <xf numFmtId="0" fontId="3" fillId="2" borderId="4" xfId="1" applyFont="1" applyFill="1" applyBorder="1" applyAlignment="1" applyProtection="1">
      <alignment horizontal="left" vertical="center"/>
    </xf>
    <xf numFmtId="0" fontId="5" fillId="0" borderId="0" xfId="1" applyFont="1" applyBorder="1" applyAlignment="1">
      <alignment horizontal="center" vertical="top"/>
    </xf>
    <xf numFmtId="0" fontId="5" fillId="0" borderId="0" xfId="1" applyFont="1" applyBorder="1" applyAlignment="1">
      <alignment vertical="top"/>
    </xf>
    <xf numFmtId="0" fontId="5" fillId="0" borderId="0" xfId="1" applyFont="1" applyFill="1" applyBorder="1" applyAlignment="1">
      <alignment horizontal="center" vertical="top"/>
    </xf>
    <xf numFmtId="0" fontId="5" fillId="0" borderId="11" xfId="1" applyFont="1" applyBorder="1" applyAlignment="1">
      <alignment vertical="top"/>
    </xf>
    <xf numFmtId="4" fontId="5" fillId="0" borderId="14" xfId="1" applyNumberFormat="1" applyFont="1" applyFill="1" applyBorder="1" applyAlignment="1" applyProtection="1">
      <alignment vertical="top" wrapText="1"/>
      <protection locked="0"/>
    </xf>
    <xf numFmtId="4" fontId="5" fillId="0" borderId="16" xfId="1" applyNumberFormat="1" applyFont="1" applyFill="1" applyBorder="1" applyAlignment="1" applyProtection="1">
      <alignment vertical="top" wrapText="1"/>
      <protection locked="0"/>
    </xf>
    <xf numFmtId="4" fontId="6" fillId="0" borderId="16" xfId="3" applyNumberFormat="1" applyFont="1" applyFill="1" applyBorder="1" applyAlignment="1" applyProtection="1">
      <alignment horizontal="right" wrapText="1"/>
      <protection locked="0"/>
    </xf>
    <xf numFmtId="4" fontId="4" fillId="0" borderId="16" xfId="1" applyNumberFormat="1" applyFont="1" applyFill="1" applyBorder="1" applyAlignment="1" applyProtection="1">
      <alignment vertical="top" wrapText="1"/>
      <protection locked="0"/>
    </xf>
    <xf numFmtId="4" fontId="5" fillId="0" borderId="16" xfId="1" applyNumberFormat="1" applyFont="1" applyFill="1" applyBorder="1" applyAlignment="1" applyProtection="1">
      <alignment wrapText="1"/>
      <protection locked="0"/>
    </xf>
    <xf numFmtId="4" fontId="4" fillId="0" borderId="15" xfId="1" applyNumberFormat="1" applyFont="1" applyFill="1" applyBorder="1" applyAlignment="1" applyProtection="1">
      <alignment vertical="top" wrapText="1"/>
      <protection locked="0"/>
    </xf>
    <xf numFmtId="4" fontId="5" fillId="0" borderId="15" xfId="1" applyNumberFormat="1" applyFont="1" applyFill="1" applyBorder="1" applyAlignment="1" applyProtection="1">
      <alignment vertical="top" wrapText="1"/>
      <protection locked="0"/>
    </xf>
    <xf numFmtId="0" fontId="4" fillId="0" borderId="14" xfId="1" applyFont="1" applyFill="1" applyBorder="1" applyAlignment="1" applyProtection="1">
      <alignment horizontal="left" vertical="top"/>
      <protection locked="0"/>
    </xf>
    <xf numFmtId="0" fontId="4" fillId="0" borderId="16" xfId="1" applyFont="1" applyFill="1" applyBorder="1" applyAlignment="1" applyProtection="1">
      <alignment horizontal="left" vertical="top"/>
      <protection locked="0"/>
    </xf>
    <xf numFmtId="0" fontId="4" fillId="0" borderId="15" xfId="1" applyFont="1" applyFill="1" applyBorder="1" applyAlignment="1" applyProtection="1">
      <alignment horizontal="left" vertical="top"/>
      <protection locked="0"/>
    </xf>
    <xf numFmtId="0" fontId="3" fillId="0" borderId="14" xfId="1" applyFont="1" applyBorder="1" applyAlignment="1" applyProtection="1">
      <alignment horizontal="center" vertical="top"/>
      <protection hidden="1"/>
    </xf>
    <xf numFmtId="0" fontId="3" fillId="0" borderId="14" xfId="1" applyFont="1" applyBorder="1" applyAlignment="1" applyProtection="1">
      <alignment horizontal="center" vertical="top"/>
    </xf>
    <xf numFmtId="0" fontId="9" fillId="0" borderId="14" xfId="4" applyFont="1" applyFill="1" applyBorder="1" applyAlignment="1" applyProtection="1">
      <alignment vertical="top" wrapText="1"/>
    </xf>
    <xf numFmtId="4" fontId="9" fillId="0" borderId="14" xfId="4" applyNumberFormat="1" applyFont="1" applyFill="1" applyBorder="1" applyAlignment="1" applyProtection="1">
      <alignment vertical="top"/>
      <protection locked="0"/>
    </xf>
    <xf numFmtId="0" fontId="6" fillId="0" borderId="16" xfId="4" applyFont="1" applyFill="1" applyBorder="1" applyAlignment="1" applyProtection="1">
      <alignment horizontal="center" vertical="top"/>
      <protection locked="0"/>
    </xf>
    <xf numFmtId="4" fontId="6" fillId="0" borderId="16" xfId="4" applyNumberFormat="1" applyFont="1" applyFill="1" applyBorder="1" applyAlignment="1" applyProtection="1">
      <alignment vertical="top"/>
      <protection locked="0"/>
    </xf>
    <xf numFmtId="0" fontId="6" fillId="0" borderId="0" xfId="3" applyFont="1" applyAlignment="1" applyProtection="1">
      <alignment horizontal="center"/>
      <protection locked="0"/>
    </xf>
    <xf numFmtId="0" fontId="5" fillId="0" borderId="14" xfId="5" applyFont="1" applyFill="1" applyBorder="1" applyAlignment="1" applyProtection="1"/>
    <xf numFmtId="4" fontId="9" fillId="0" borderId="14" xfId="3" applyNumberFormat="1" applyFont="1" applyFill="1" applyBorder="1" applyAlignment="1" applyProtection="1">
      <alignment horizontal="right"/>
      <protection locked="0"/>
    </xf>
    <xf numFmtId="0" fontId="6" fillId="0" borderId="16" xfId="3" applyFont="1" applyBorder="1" applyAlignment="1" applyProtection="1">
      <alignment horizontal="center"/>
      <protection locked="0"/>
    </xf>
    <xf numFmtId="0" fontId="6" fillId="0" borderId="16" xfId="3" applyFont="1" applyBorder="1" applyProtection="1">
      <protection locked="0"/>
    </xf>
    <xf numFmtId="4" fontId="6" fillId="0" borderId="16" xfId="3" applyNumberFormat="1" applyFont="1" applyBorder="1" applyProtection="1">
      <protection locked="0"/>
    </xf>
    <xf numFmtId="0" fontId="6" fillId="0" borderId="15" xfId="3" applyFont="1" applyBorder="1" applyProtection="1">
      <protection locked="0"/>
    </xf>
    <xf numFmtId="4" fontId="6" fillId="0" borderId="15" xfId="3" applyNumberFormat="1" applyFont="1" applyBorder="1" applyProtection="1">
      <protection locked="0"/>
    </xf>
    <xf numFmtId="4" fontId="9" fillId="0" borderId="14" xfId="0" applyNumberFormat="1" applyFont="1" applyBorder="1" applyAlignment="1" applyProtection="1">
      <alignment horizontal="right" vertical="top"/>
      <protection locked="0"/>
    </xf>
    <xf numFmtId="0" fontId="6" fillId="0" borderId="16" xfId="3" applyFont="1" applyBorder="1" applyAlignment="1" applyProtection="1">
      <alignment horizontal="center"/>
    </xf>
    <xf numFmtId="0" fontId="6" fillId="0" borderId="16" xfId="3" applyFont="1" applyBorder="1" applyProtection="1"/>
    <xf numFmtId="0" fontId="6" fillId="0" borderId="15" xfId="3" applyFont="1" applyBorder="1" applyAlignment="1" applyProtection="1">
      <alignment horizontal="center"/>
    </xf>
    <xf numFmtId="0" fontId="6" fillId="0" borderId="15" xfId="3" applyFont="1" applyBorder="1" applyProtection="1"/>
    <xf numFmtId="0" fontId="6" fillId="0" borderId="16" xfId="3" applyBorder="1" applyProtection="1">
      <protection locked="0"/>
    </xf>
    <xf numFmtId="4" fontId="6" fillId="0" borderId="16" xfId="3" applyNumberFormat="1" applyFont="1" applyFill="1" applyBorder="1" applyAlignment="1" applyProtection="1">
      <alignment horizontal="right"/>
      <protection locked="0"/>
    </xf>
    <xf numFmtId="0" fontId="6" fillId="0" borderId="15" xfId="3" applyBorder="1" applyProtection="1">
      <protection locked="0"/>
    </xf>
    <xf numFmtId="4" fontId="6" fillId="0" borderId="15" xfId="3" applyNumberFormat="1" applyBorder="1" applyProtection="1">
      <protection locked="0"/>
    </xf>
    <xf numFmtId="4" fontId="9" fillId="0" borderId="14" xfId="3" applyNumberFormat="1" applyFont="1" applyFill="1" applyBorder="1" applyAlignment="1" applyProtection="1">
      <alignment horizontal="right" vertical="center" wrapText="1"/>
      <protection locked="0"/>
    </xf>
    <xf numFmtId="4" fontId="6" fillId="0" borderId="16" xfId="3" applyNumberFormat="1" applyFont="1" applyFill="1" applyBorder="1" applyAlignment="1" applyProtection="1">
      <alignment horizontal="right" vertical="center" wrapText="1"/>
      <protection locked="0"/>
    </xf>
    <xf numFmtId="4" fontId="9" fillId="0" borderId="16" xfId="3" applyNumberFormat="1" applyFont="1" applyFill="1" applyBorder="1" applyAlignment="1" applyProtection="1">
      <alignment horizontal="right" vertical="center" wrapText="1"/>
      <protection locked="0"/>
    </xf>
    <xf numFmtId="4" fontId="9" fillId="0" borderId="15" xfId="3" applyNumberFormat="1" applyFont="1" applyFill="1" applyBorder="1" applyAlignment="1" applyProtection="1">
      <alignment horizontal="right" vertical="center" wrapText="1"/>
      <protection locked="0"/>
    </xf>
    <xf numFmtId="4" fontId="9" fillId="0" borderId="14" xfId="0" applyNumberFormat="1" applyFont="1" applyFill="1" applyBorder="1" applyAlignment="1" applyProtection="1">
      <alignment horizontal="right"/>
      <protection locked="0"/>
    </xf>
    <xf numFmtId="4" fontId="9" fillId="0" borderId="16" xfId="0" applyNumberFormat="1" applyFont="1" applyFill="1" applyBorder="1" applyAlignment="1" applyProtection="1">
      <alignment horizontal="right"/>
      <protection locked="0"/>
    </xf>
    <xf numFmtId="4" fontId="9" fillId="0" borderId="16" xfId="0" applyNumberFormat="1" applyFont="1" applyBorder="1" applyProtection="1">
      <protection locked="0"/>
    </xf>
    <xf numFmtId="0" fontId="6" fillId="0" borderId="14" xfId="3" applyFont="1" applyBorder="1" applyProtection="1">
      <protection locked="0"/>
    </xf>
    <xf numFmtId="4" fontId="6" fillId="0" borderId="14" xfId="3" applyNumberFormat="1" applyFont="1" applyBorder="1" applyProtection="1">
      <protection locked="0"/>
    </xf>
    <xf numFmtId="9" fontId="6" fillId="0" borderId="14" xfId="7" applyFont="1" applyBorder="1" applyProtection="1">
      <protection locked="0"/>
    </xf>
    <xf numFmtId="9" fontId="6" fillId="0" borderId="16" xfId="7" applyFont="1" applyBorder="1" applyProtection="1">
      <protection locked="0"/>
    </xf>
    <xf numFmtId="9" fontId="6" fillId="0" borderId="15" xfId="7" applyFont="1" applyBorder="1" applyProtection="1">
      <protection locked="0"/>
    </xf>
    <xf numFmtId="49" fontId="11" fillId="4" borderId="15" xfId="0" applyNumberFormat="1" applyFont="1" applyFill="1" applyBorder="1" applyAlignment="1">
      <alignment horizontal="left"/>
    </xf>
    <xf numFmtId="49" fontId="11" fillId="4" borderId="15" xfId="0" applyNumberFormat="1" applyFont="1" applyFill="1" applyBorder="1" applyAlignment="1">
      <alignment horizontal="center"/>
    </xf>
    <xf numFmtId="0" fontId="14" fillId="0" borderId="14" xfId="5" applyFont="1" applyFill="1" applyBorder="1" applyAlignment="1" applyProtection="1">
      <alignment horizontal="center"/>
    </xf>
    <xf numFmtId="0" fontId="3" fillId="2" borderId="4" xfId="5" applyFont="1" applyFill="1" applyBorder="1" applyAlignment="1">
      <alignment horizontal="center" vertical="center" wrapText="1"/>
    </xf>
    <xf numFmtId="0" fontId="3" fillId="2" borderId="4" xfId="5" applyFont="1" applyFill="1" applyBorder="1" applyAlignment="1">
      <alignment horizontal="center" vertical="center"/>
    </xf>
    <xf numFmtId="4" fontId="3" fillId="2" borderId="4" xfId="5" applyNumberFormat="1" applyFont="1" applyFill="1" applyBorder="1" applyAlignment="1">
      <alignment horizontal="center" vertical="center" wrapText="1"/>
    </xf>
    <xf numFmtId="0" fontId="9" fillId="0" borderId="8" xfId="4" applyFont="1" applyFill="1" applyBorder="1" applyAlignment="1" applyProtection="1">
      <alignment horizontal="left" vertical="top"/>
      <protection locked="0"/>
    </xf>
    <xf numFmtId="0" fontId="9" fillId="0" borderId="6" xfId="4" applyFont="1" applyFill="1" applyBorder="1" applyAlignment="1" applyProtection="1">
      <alignment horizontal="left" vertical="top"/>
      <protection locked="0"/>
    </xf>
    <xf numFmtId="0" fontId="6" fillId="0" borderId="10" xfId="4" applyFont="1" applyFill="1" applyBorder="1" applyAlignment="1" applyProtection="1">
      <alignment horizontal="left" vertical="top"/>
      <protection locked="0"/>
    </xf>
    <xf numFmtId="4" fontId="3" fillId="2" borderId="4" xfId="5" applyNumberFormat="1" applyFont="1" applyFill="1" applyBorder="1" applyAlignment="1">
      <alignment horizontal="center" vertical="center" wrapText="1"/>
    </xf>
    <xf numFmtId="0" fontId="3" fillId="2" borderId="4" xfId="5" applyFont="1" applyFill="1" applyBorder="1" applyAlignment="1">
      <alignment horizontal="center" vertical="center"/>
    </xf>
    <xf numFmtId="43" fontId="0" fillId="0" borderId="0" xfId="9" applyFont="1" applyFill="1"/>
    <xf numFmtId="0" fontId="4" fillId="0" borderId="9" xfId="8" applyFont="1" applyBorder="1" applyProtection="1">
      <protection locked="0"/>
    </xf>
    <xf numFmtId="0" fontId="19" fillId="14" borderId="18" xfId="0" applyFont="1" applyFill="1" applyBorder="1"/>
    <xf numFmtId="49" fontId="19" fillId="15" borderId="19" xfId="0" applyNumberFormat="1" applyFont="1" applyFill="1" applyBorder="1"/>
    <xf numFmtId="49" fontId="19" fillId="16" borderId="19" xfId="0" applyNumberFormat="1" applyFont="1" applyFill="1" applyBorder="1"/>
    <xf numFmtId="0" fontId="19" fillId="15" borderId="19" xfId="0" applyFont="1" applyFill="1" applyBorder="1"/>
    <xf numFmtId="4" fontId="19" fillId="15" borderId="19" xfId="0" applyNumberFormat="1" applyFont="1" applyFill="1" applyBorder="1"/>
    <xf numFmtId="14" fontId="19" fillId="15" borderId="19" xfId="0" applyNumberFormat="1" applyFont="1" applyFill="1" applyBorder="1"/>
    <xf numFmtId="49" fontId="19" fillId="15" borderId="18" xfId="0" applyNumberFormat="1" applyFont="1" applyFill="1" applyBorder="1"/>
    <xf numFmtId="49" fontId="19" fillId="16" borderId="18" xfId="0" applyNumberFormat="1" applyFont="1" applyFill="1" applyBorder="1"/>
    <xf numFmtId="0" fontId="19" fillId="15" borderId="18" xfId="0" applyFont="1" applyFill="1" applyBorder="1"/>
    <xf numFmtId="4" fontId="19" fillId="15" borderId="18" xfId="0" applyNumberFormat="1" applyFont="1" applyFill="1" applyBorder="1"/>
    <xf numFmtId="14" fontId="19" fillId="15" borderId="18" xfId="0" applyNumberFormat="1" applyFont="1" applyFill="1" applyBorder="1"/>
    <xf numFmtId="49" fontId="0" fillId="0" borderId="0" xfId="0" applyNumberFormat="1"/>
    <xf numFmtId="0" fontId="18" fillId="13" borderId="0" xfId="0" applyFont="1" applyFill="1"/>
    <xf numFmtId="4" fontId="18" fillId="13" borderId="0" xfId="0" applyNumberFormat="1" applyFont="1" applyFill="1"/>
    <xf numFmtId="4" fontId="0" fillId="0" borderId="0" xfId="0" applyNumberFormat="1"/>
    <xf numFmtId="49" fontId="0" fillId="7" borderId="16" xfId="0" applyNumberFormat="1" applyFill="1" applyBorder="1" applyAlignment="1" applyProtection="1">
      <alignment horizontal="left"/>
      <protection locked="0"/>
    </xf>
    <xf numFmtId="166" fontId="0" fillId="8" borderId="16" xfId="0" applyNumberFormat="1" applyFill="1" applyBorder="1" applyProtection="1">
      <protection locked="0"/>
    </xf>
    <xf numFmtId="167" fontId="0" fillId="8" borderId="16" xfId="0" applyNumberFormat="1" applyFill="1" applyBorder="1" applyProtection="1">
      <protection locked="0"/>
    </xf>
    <xf numFmtId="49" fontId="11" fillId="4" borderId="15" xfId="0" applyNumberFormat="1" applyFont="1" applyFill="1" applyBorder="1" applyAlignment="1" applyProtection="1">
      <alignment horizontal="left"/>
      <protection locked="0"/>
    </xf>
    <xf numFmtId="49" fontId="11" fillId="4" borderId="15" xfId="0" applyNumberFormat="1" applyFont="1" applyFill="1" applyBorder="1" applyAlignment="1" applyProtection="1">
      <alignment horizontal="center"/>
      <protection locked="0"/>
    </xf>
    <xf numFmtId="49" fontId="0" fillId="9" borderId="4" xfId="0" applyNumberFormat="1" applyFill="1" applyBorder="1" applyAlignment="1" applyProtection="1">
      <alignment horizontal="left"/>
      <protection locked="0"/>
    </xf>
    <xf numFmtId="166" fontId="0" fillId="9" borderId="4" xfId="0" applyNumberFormat="1" applyFill="1" applyBorder="1" applyProtection="1">
      <protection locked="0"/>
    </xf>
    <xf numFmtId="49" fontId="0" fillId="6" borderId="16" xfId="0" applyNumberFormat="1" applyFill="1" applyBorder="1" applyAlignment="1" applyProtection="1">
      <alignment horizontal="left"/>
      <protection locked="0"/>
    </xf>
    <xf numFmtId="166" fontId="0" fillId="6" borderId="16" xfId="0" applyNumberFormat="1" applyFill="1" applyBorder="1" applyProtection="1">
      <protection locked="0"/>
    </xf>
    <xf numFmtId="0" fontId="6" fillId="0" borderId="0" xfId="0" applyFont="1" applyAlignment="1">
      <alignment horizontal="left" vertical="center"/>
    </xf>
    <xf numFmtId="0" fontId="13" fillId="0" borderId="0" xfId="5" applyFont="1" applyFill="1" applyBorder="1" applyAlignment="1" applyProtection="1">
      <alignment horizontal="left" vertical="center" wrapText="1"/>
      <protection locked="0"/>
    </xf>
    <xf numFmtId="0" fontId="13" fillId="0" borderId="0" xfId="0" applyFont="1" applyAlignment="1">
      <alignment horizontal="left" vertical="center"/>
    </xf>
    <xf numFmtId="0" fontId="6" fillId="13" borderId="0" xfId="0" applyFont="1" applyFill="1" applyAlignment="1">
      <alignment vertical="top"/>
    </xf>
    <xf numFmtId="0" fontId="0" fillId="0" borderId="0" xfId="0" applyAlignment="1">
      <alignment vertical="top"/>
    </xf>
    <xf numFmtId="0" fontId="6" fillId="0" borderId="16" xfId="3" applyBorder="1" applyAlignment="1" applyProtection="1">
      <alignment horizontal="left"/>
      <protection locked="0"/>
    </xf>
    <xf numFmtId="0" fontId="6" fillId="0" borderId="16" xfId="4" applyFont="1" applyFill="1" applyBorder="1" applyAlignment="1" applyProtection="1">
      <alignment horizontal="left" vertical="top"/>
      <protection locked="0"/>
    </xf>
    <xf numFmtId="0" fontId="6" fillId="0" borderId="16" xfId="3" applyFont="1" applyBorder="1" applyAlignment="1" applyProtection="1">
      <alignment horizontal="left"/>
      <protection locked="0"/>
    </xf>
    <xf numFmtId="4" fontId="4" fillId="0" borderId="9" xfId="9" applyNumberFormat="1" applyFont="1" applyBorder="1" applyProtection="1">
      <protection locked="0"/>
    </xf>
    <xf numFmtId="0" fontId="21" fillId="0" borderId="0" xfId="0" applyFont="1"/>
    <xf numFmtId="0" fontId="22" fillId="0" borderId="0" xfId="0" applyFont="1" applyFill="1" applyBorder="1" applyAlignment="1">
      <alignment horizontal="justify" vertical="center" wrapText="1"/>
    </xf>
    <xf numFmtId="4" fontId="22" fillId="0" borderId="0" xfId="0" applyNumberFormat="1" applyFont="1" applyFill="1" applyBorder="1" applyAlignment="1">
      <alignment vertical="center" wrapText="1"/>
    </xf>
    <xf numFmtId="0" fontId="22" fillId="0" borderId="7" xfId="0" applyFont="1" applyFill="1" applyBorder="1" applyAlignment="1">
      <alignment horizontal="justify" vertical="center" wrapText="1"/>
    </xf>
    <xf numFmtId="0" fontId="25" fillId="0" borderId="0" xfId="0" applyFont="1" applyFill="1" applyBorder="1" applyAlignment="1">
      <alignment vertical="center" wrapText="1"/>
    </xf>
    <xf numFmtId="0" fontId="25" fillId="0" borderId="16" xfId="0" applyFont="1" applyFill="1" applyBorder="1" applyAlignment="1">
      <alignment vertical="center" wrapText="1"/>
    </xf>
    <xf numFmtId="0" fontId="25" fillId="0" borderId="9" xfId="0" applyFont="1" applyFill="1" applyBorder="1" applyAlignment="1">
      <alignment vertical="center" wrapText="1"/>
    </xf>
    <xf numFmtId="0" fontId="22" fillId="0" borderId="0" xfId="0" applyFont="1" applyFill="1" applyBorder="1" applyAlignment="1">
      <alignment horizontal="left" vertical="center"/>
    </xf>
    <xf numFmtId="0" fontId="22" fillId="0" borderId="9" xfId="0" applyFont="1" applyFill="1" applyBorder="1" applyAlignment="1">
      <alignment horizontal="justify" vertical="center" wrapText="1"/>
    </xf>
    <xf numFmtId="0" fontId="26" fillId="0" borderId="0" xfId="0" applyFont="1" applyFill="1" applyBorder="1" applyAlignment="1">
      <alignment horizontal="justify" vertical="center" wrapText="1"/>
    </xf>
    <xf numFmtId="0" fontId="26" fillId="0" borderId="9" xfId="0" applyFont="1" applyFill="1" applyBorder="1" applyAlignment="1">
      <alignment horizontal="justify" vertical="center" wrapText="1"/>
    </xf>
    <xf numFmtId="0" fontId="22" fillId="0" borderId="0" xfId="0" applyFont="1" applyFill="1" applyBorder="1" applyAlignment="1">
      <alignment vertical="center" wrapText="1"/>
    </xf>
    <xf numFmtId="4" fontId="22" fillId="0" borderId="16" xfId="0" applyNumberFormat="1" applyFont="1" applyFill="1" applyBorder="1" applyAlignment="1">
      <alignment vertical="center" wrapText="1"/>
    </xf>
    <xf numFmtId="0" fontId="25" fillId="0" borderId="0" xfId="0" applyFont="1" applyFill="1" applyBorder="1" applyAlignment="1">
      <alignment horizontal="left" vertical="center"/>
    </xf>
    <xf numFmtId="0" fontId="25" fillId="0" borderId="16" xfId="0" applyFont="1" applyFill="1" applyBorder="1" applyAlignment="1">
      <alignment horizontal="center" vertical="center"/>
    </xf>
    <xf numFmtId="0" fontId="25" fillId="0" borderId="9" xfId="0" applyFont="1" applyFill="1" applyBorder="1" applyAlignment="1">
      <alignment horizontal="center" vertical="center"/>
    </xf>
    <xf numFmtId="0" fontId="22" fillId="0" borderId="7" xfId="0" applyFont="1" applyFill="1" applyBorder="1" applyAlignment="1">
      <alignment horizontal="left" vertical="center"/>
    </xf>
    <xf numFmtId="4" fontId="22" fillId="0" borderId="14" xfId="0" applyNumberFormat="1" applyFont="1" applyFill="1" applyBorder="1" applyAlignment="1" applyProtection="1">
      <alignment horizontal="right" vertical="top"/>
      <protection locked="0"/>
    </xf>
    <xf numFmtId="4" fontId="22" fillId="0" borderId="14" xfId="0" applyNumberFormat="1" applyFont="1" applyBorder="1" applyAlignment="1" applyProtection="1">
      <alignment horizontal="right" vertical="top"/>
      <protection locked="0"/>
    </xf>
    <xf numFmtId="4" fontId="22" fillId="0" borderId="14" xfId="3" applyNumberFormat="1" applyFont="1" applyFill="1" applyBorder="1" applyAlignment="1" applyProtection="1">
      <alignment horizontal="right"/>
      <protection locked="0"/>
    </xf>
    <xf numFmtId="4" fontId="22" fillId="0" borderId="7" xfId="0" applyNumberFormat="1" applyFont="1" applyFill="1" applyBorder="1" applyAlignment="1">
      <alignment horizontal="right" vertical="center"/>
    </xf>
    <xf numFmtId="0" fontId="26" fillId="0" borderId="0" xfId="0" applyFont="1" applyFill="1" applyBorder="1" applyAlignment="1">
      <alignment horizontal="left" vertical="center"/>
    </xf>
    <xf numFmtId="4" fontId="26" fillId="0" borderId="0" xfId="0" applyNumberFormat="1" applyFont="1" applyFill="1" applyBorder="1" applyAlignment="1">
      <alignment vertical="center" wrapText="1"/>
    </xf>
    <xf numFmtId="0" fontId="25" fillId="0" borderId="0" xfId="0" applyFont="1" applyFill="1" applyBorder="1" applyAlignment="1">
      <alignment horizontal="justify" vertical="center" wrapText="1"/>
    </xf>
    <xf numFmtId="0" fontId="25" fillId="0" borderId="9" xfId="0" applyFont="1" applyFill="1" applyBorder="1" applyAlignment="1">
      <alignment horizontal="justify" vertical="center" wrapText="1"/>
    </xf>
    <xf numFmtId="4" fontId="22" fillId="0" borderId="9" xfId="0" applyNumberFormat="1" applyFont="1" applyFill="1" applyBorder="1" applyAlignment="1">
      <alignment vertical="center" wrapText="1"/>
    </xf>
    <xf numFmtId="0" fontId="22" fillId="0" borderId="0" xfId="0" applyFont="1" applyFill="1" applyBorder="1" applyAlignment="1">
      <alignment horizontal="left" vertical="center" wrapText="1"/>
    </xf>
    <xf numFmtId="0" fontId="25" fillId="0" borderId="0" xfId="0" applyFont="1" applyFill="1" applyBorder="1" applyAlignment="1">
      <alignment horizontal="left" vertical="center" wrapText="1" indent="2"/>
    </xf>
    <xf numFmtId="4" fontId="25" fillId="0" borderId="16" xfId="4" applyNumberFormat="1" applyFont="1" applyFill="1" applyBorder="1" applyAlignment="1" applyProtection="1">
      <alignment horizontal="right" vertical="top"/>
      <protection locked="0"/>
    </xf>
    <xf numFmtId="0" fontId="25" fillId="0" borderId="9" xfId="0" applyFont="1" applyFill="1" applyBorder="1" applyAlignment="1">
      <alignment horizontal="left" vertical="center"/>
    </xf>
    <xf numFmtId="4" fontId="22" fillId="0" borderId="16" xfId="0" applyNumberFormat="1" applyFont="1" applyBorder="1" applyAlignment="1" applyProtection="1">
      <alignment horizontal="right" vertical="top"/>
      <protection locked="0"/>
    </xf>
    <xf numFmtId="4" fontId="25" fillId="0" borderId="16" xfId="0" applyNumberFormat="1" applyFont="1" applyBorder="1" applyAlignment="1" applyProtection="1">
      <alignment horizontal="right" vertical="top"/>
      <protection locked="0"/>
    </xf>
    <xf numFmtId="0" fontId="22" fillId="0" borderId="9" xfId="0" applyFont="1" applyFill="1" applyBorder="1" applyAlignment="1">
      <alignment horizontal="left" vertical="center"/>
    </xf>
    <xf numFmtId="0" fontId="25" fillId="0" borderId="0" xfId="0" applyFont="1" applyFill="1" applyBorder="1" applyAlignment="1">
      <alignment horizontal="left" vertical="center" wrapText="1" indent="1"/>
    </xf>
    <xf numFmtId="4" fontId="25" fillId="0" borderId="0" xfId="0" applyNumberFormat="1" applyFont="1" applyFill="1" applyBorder="1" applyAlignment="1">
      <alignment vertical="center" wrapText="1"/>
    </xf>
    <xf numFmtId="4" fontId="25" fillId="0" borderId="16" xfId="0" applyNumberFormat="1" applyFont="1" applyFill="1" applyBorder="1" applyAlignment="1">
      <alignment vertical="center" wrapText="1"/>
    </xf>
    <xf numFmtId="4" fontId="22" fillId="0" borderId="16" xfId="4" applyNumberFormat="1" applyFont="1" applyFill="1" applyBorder="1" applyAlignment="1" applyProtection="1">
      <alignment horizontal="right" vertical="top"/>
      <protection locked="0"/>
    </xf>
    <xf numFmtId="0" fontId="25" fillId="0" borderId="9" xfId="0" applyFont="1" applyFill="1" applyBorder="1" applyAlignment="1">
      <alignment horizontal="left" vertical="center" indent="2"/>
    </xf>
    <xf numFmtId="43" fontId="25" fillId="0" borderId="0" xfId="9" applyFont="1" applyFill="1" applyBorder="1" applyAlignment="1">
      <alignment horizontal="left" vertical="center" indent="2"/>
    </xf>
    <xf numFmtId="4" fontId="25" fillId="0" borderId="9" xfId="0" applyNumberFormat="1" applyFont="1" applyFill="1" applyBorder="1" applyAlignment="1">
      <alignment vertical="center" wrapText="1"/>
    </xf>
    <xf numFmtId="0" fontId="25" fillId="0" borderId="0" xfId="0" applyFont="1" applyFill="1" applyBorder="1" applyAlignment="1">
      <alignment horizontal="left" vertical="center" wrapText="1"/>
    </xf>
    <xf numFmtId="0" fontId="25" fillId="18" borderId="16" xfId="0" applyFont="1" applyFill="1" applyBorder="1" applyAlignment="1">
      <alignment vertical="center" wrapText="1"/>
    </xf>
    <xf numFmtId="0" fontId="22" fillId="0" borderId="9" xfId="0" applyFont="1" applyFill="1" applyBorder="1" applyAlignment="1">
      <alignment horizontal="left" vertical="center" indent="2"/>
    </xf>
    <xf numFmtId="0" fontId="22" fillId="0" borderId="16" xfId="0" applyFont="1" applyFill="1" applyBorder="1" applyAlignment="1">
      <alignment horizontal="center" vertical="center"/>
    </xf>
    <xf numFmtId="0" fontId="25" fillId="18" borderId="0" xfId="0" applyFont="1" applyFill="1" applyBorder="1" applyAlignment="1">
      <alignment horizontal="justify" vertical="center" wrapText="1"/>
    </xf>
    <xf numFmtId="0" fontId="25" fillId="18" borderId="9" xfId="0" applyFont="1" applyFill="1" applyBorder="1" applyAlignment="1">
      <alignment horizontal="justify" vertical="center" wrapText="1"/>
    </xf>
    <xf numFmtId="0" fontId="25" fillId="0" borderId="0" xfId="0" applyFont="1" applyFill="1" applyBorder="1" applyAlignment="1">
      <alignment horizontal="left" vertical="center" indent="2"/>
    </xf>
    <xf numFmtId="0" fontId="25" fillId="0" borderId="11" xfId="0" applyFont="1" applyFill="1" applyBorder="1" applyAlignment="1">
      <alignment horizontal="justify" vertical="center" wrapText="1"/>
    </xf>
    <xf numFmtId="0" fontId="22" fillId="0" borderId="11" xfId="0" applyFont="1" applyFill="1" applyBorder="1" applyAlignment="1">
      <alignment horizontal="justify" vertical="center" wrapText="1"/>
    </xf>
    <xf numFmtId="0" fontId="22" fillId="0" borderId="12" xfId="0" applyFont="1" applyFill="1" applyBorder="1" applyAlignment="1">
      <alignment horizontal="justify" vertical="center" wrapText="1"/>
    </xf>
    <xf numFmtId="0" fontId="25" fillId="0" borderId="11" xfId="0" applyFont="1" applyFill="1" applyBorder="1" applyAlignment="1">
      <alignment vertical="center" wrapText="1"/>
    </xf>
    <xf numFmtId="0" fontId="25" fillId="0" borderId="15" xfId="0" applyFont="1" applyFill="1" applyBorder="1" applyAlignment="1">
      <alignment vertical="center" wrapText="1"/>
    </xf>
    <xf numFmtId="0" fontId="25" fillId="0" borderId="12" xfId="0" applyFont="1" applyFill="1" applyBorder="1" applyAlignment="1">
      <alignment vertical="center" wrapText="1"/>
    </xf>
    <xf numFmtId="4" fontId="22" fillId="0" borderId="16" xfId="0" applyNumberFormat="1" applyFont="1" applyFill="1" applyBorder="1" applyAlignment="1">
      <alignment vertical="center"/>
    </xf>
    <xf numFmtId="0" fontId="26" fillId="0" borderId="11" xfId="0" applyFont="1" applyFill="1" applyBorder="1" applyAlignment="1">
      <alignment horizontal="justify" vertical="center" wrapText="1"/>
    </xf>
    <xf numFmtId="0" fontId="26" fillId="0" borderId="12" xfId="0" applyFont="1" applyFill="1" applyBorder="1" applyAlignment="1">
      <alignment horizontal="justify" vertical="center" wrapText="1"/>
    </xf>
    <xf numFmtId="0" fontId="25" fillId="0" borderId="0" xfId="0" applyFont="1" applyFill="1" applyBorder="1" applyAlignment="1">
      <alignment vertical="center"/>
    </xf>
    <xf numFmtId="0" fontId="25" fillId="0" borderId="16" xfId="0" applyFont="1" applyFill="1" applyBorder="1" applyAlignment="1">
      <alignment vertical="center"/>
    </xf>
    <xf numFmtId="0" fontId="25" fillId="0" borderId="9" xfId="0" applyFont="1" applyFill="1" applyBorder="1" applyAlignment="1">
      <alignment vertical="center"/>
    </xf>
    <xf numFmtId="0" fontId="22" fillId="0" borderId="0" xfId="0" applyFont="1" applyFill="1" applyBorder="1" applyAlignment="1">
      <alignment vertical="center"/>
    </xf>
    <xf numFmtId="0" fontId="25" fillId="0" borderId="0" xfId="0" applyFont="1" applyFill="1" applyBorder="1" applyAlignment="1">
      <alignment horizontal="left" vertical="center" indent="1"/>
    </xf>
    <xf numFmtId="4" fontId="25" fillId="0" borderId="16" xfId="0" applyNumberFormat="1" applyFont="1" applyFill="1" applyBorder="1" applyAlignment="1">
      <alignment vertical="center"/>
    </xf>
    <xf numFmtId="0" fontId="25" fillId="18" borderId="16" xfId="0" applyFont="1" applyFill="1" applyBorder="1" applyAlignment="1">
      <alignment horizontal="center" vertical="center"/>
    </xf>
    <xf numFmtId="0" fontId="25" fillId="18" borderId="9" xfId="0" applyFont="1" applyFill="1" applyBorder="1" applyAlignment="1">
      <alignment horizontal="center" vertical="center"/>
    </xf>
    <xf numFmtId="0" fontId="22" fillId="0" borderId="11" xfId="0" applyFont="1" applyFill="1" applyBorder="1" applyAlignment="1">
      <alignment vertical="center"/>
    </xf>
    <xf numFmtId="0" fontId="22" fillId="0" borderId="15" xfId="0" applyFont="1" applyFill="1" applyBorder="1" applyAlignment="1">
      <alignment vertical="center"/>
    </xf>
    <xf numFmtId="0" fontId="22" fillId="0" borderId="12" xfId="0" applyFont="1" applyFill="1" applyBorder="1" applyAlignment="1">
      <alignment vertical="center"/>
    </xf>
    <xf numFmtId="0" fontId="25" fillId="0" borderId="6" xfId="0" applyFont="1" applyFill="1" applyBorder="1" applyAlignment="1">
      <alignment vertical="center"/>
    </xf>
    <xf numFmtId="0" fontId="25" fillId="18" borderId="16" xfId="0" applyFont="1" applyFill="1" applyBorder="1" applyAlignment="1">
      <alignment vertical="center"/>
    </xf>
    <xf numFmtId="0" fontId="25" fillId="0" borderId="11" xfId="0" applyFont="1" applyFill="1" applyBorder="1" applyAlignment="1">
      <alignment vertical="center"/>
    </xf>
    <xf numFmtId="0" fontId="25" fillId="0" borderId="15" xfId="0" applyFont="1" applyFill="1" applyBorder="1" applyAlignment="1">
      <alignment vertical="center"/>
    </xf>
    <xf numFmtId="0" fontId="25" fillId="0" borderId="12" xfId="0" applyFont="1" applyFill="1" applyBorder="1" applyAlignment="1">
      <alignment vertical="center"/>
    </xf>
    <xf numFmtId="0" fontId="25" fillId="0" borderId="14" xfId="0" applyFont="1" applyFill="1" applyBorder="1" applyAlignment="1">
      <alignment vertical="center"/>
    </xf>
    <xf numFmtId="0" fontId="25" fillId="0" borderId="11" xfId="0" applyFont="1" applyFill="1" applyBorder="1" applyAlignment="1">
      <alignment horizontal="left" vertical="center"/>
    </xf>
    <xf numFmtId="0" fontId="25" fillId="0" borderId="15" xfId="0" applyFont="1" applyFill="1" applyBorder="1" applyAlignment="1">
      <alignment horizontal="center" vertical="center"/>
    </xf>
    <xf numFmtId="0" fontId="25" fillId="0" borderId="12" xfId="0" applyFont="1" applyFill="1" applyBorder="1" applyAlignment="1">
      <alignment horizontal="center" vertical="center"/>
    </xf>
    <xf numFmtId="4" fontId="25" fillId="0" borderId="11" xfId="0" applyNumberFormat="1" applyFont="1" applyFill="1" applyBorder="1" applyAlignment="1">
      <alignment vertical="center" wrapText="1"/>
    </xf>
    <xf numFmtId="0" fontId="25" fillId="0" borderId="12" xfId="0" applyFont="1" applyFill="1" applyBorder="1" applyAlignment="1">
      <alignment horizontal="justify" vertical="center" wrapText="1"/>
    </xf>
    <xf numFmtId="0" fontId="25" fillId="0" borderId="32" xfId="0" applyFont="1" applyFill="1" applyBorder="1" applyAlignment="1">
      <alignment horizontal="justify" vertical="center" wrapText="1"/>
    </xf>
    <xf numFmtId="4" fontId="22" fillId="0" borderId="9" xfId="0" applyNumberFormat="1" applyFont="1" applyFill="1" applyBorder="1" applyAlignment="1">
      <alignment horizontal="right" vertical="center"/>
    </xf>
    <xf numFmtId="0" fontId="22" fillId="20" borderId="4" xfId="0" applyFont="1" applyFill="1" applyBorder="1" applyAlignment="1">
      <alignment horizontal="center" vertical="center" wrapText="1"/>
    </xf>
    <xf numFmtId="0" fontId="25" fillId="20" borderId="4" xfId="0" applyFont="1" applyFill="1" applyBorder="1" applyAlignment="1">
      <alignment horizontal="center" vertical="center" wrapText="1"/>
    </xf>
    <xf numFmtId="0" fontId="25" fillId="20" borderId="4" xfId="0" applyFont="1" applyFill="1" applyBorder="1" applyAlignment="1">
      <alignment vertical="center" wrapText="1"/>
    </xf>
    <xf numFmtId="0" fontId="22" fillId="0" borderId="4" xfId="0" applyFont="1" applyBorder="1" applyAlignment="1">
      <alignment horizontal="center" vertical="center" wrapText="1"/>
    </xf>
    <xf numFmtId="0" fontId="29" fillId="0" borderId="4" xfId="0" applyFont="1" applyBorder="1" applyAlignment="1">
      <alignment horizontal="center" vertical="center"/>
    </xf>
    <xf numFmtId="0" fontId="29" fillId="0" borderId="4" xfId="0" applyFont="1" applyBorder="1" applyAlignment="1">
      <alignment vertical="center" wrapText="1"/>
    </xf>
    <xf numFmtId="0" fontId="27"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4" xfId="0" applyFont="1" applyBorder="1" applyAlignment="1">
      <alignment vertical="center" wrapText="1"/>
    </xf>
    <xf numFmtId="4" fontId="27" fillId="0" borderId="4" xfId="0" applyNumberFormat="1" applyFont="1" applyBorder="1" applyAlignment="1">
      <alignment horizontal="center" vertical="center" wrapText="1"/>
    </xf>
    <xf numFmtId="0" fontId="30" fillId="0" borderId="4" xfId="12" applyBorder="1" applyAlignment="1">
      <alignment horizontal="left" vertical="center" wrapText="1"/>
    </xf>
    <xf numFmtId="0" fontId="27" fillId="20" borderId="4" xfId="0" applyFont="1" applyFill="1" applyBorder="1" applyAlignment="1">
      <alignment horizontal="center" vertical="center" wrapText="1"/>
    </xf>
    <xf numFmtId="4" fontId="27" fillId="20" borderId="4" xfId="0" applyNumberFormat="1" applyFont="1" applyFill="1" applyBorder="1" applyAlignment="1">
      <alignment horizontal="center" vertical="center" wrapText="1"/>
    </xf>
    <xf numFmtId="0" fontId="29" fillId="20" borderId="4" xfId="0" applyFont="1" applyFill="1" applyBorder="1" applyAlignment="1">
      <alignment horizontal="right" vertical="center" wrapText="1"/>
    </xf>
    <xf numFmtId="0" fontId="29" fillId="20" borderId="4" xfId="0" applyFont="1" applyFill="1" applyBorder="1" applyAlignment="1">
      <alignment horizontal="center" vertical="center"/>
    </xf>
    <xf numFmtId="0" fontId="29" fillId="20" borderId="4" xfId="0" applyFont="1" applyFill="1" applyBorder="1" applyAlignment="1">
      <alignment vertical="center" wrapText="1"/>
    </xf>
    <xf numFmtId="0" fontId="29" fillId="0" borderId="4" xfId="0" applyFont="1" applyBorder="1" applyAlignment="1">
      <alignment horizontal="left" vertical="center" wrapText="1" indent="2"/>
    </xf>
    <xf numFmtId="0" fontId="29" fillId="0" borderId="4" xfId="0" applyFont="1" applyBorder="1" applyAlignment="1">
      <alignment horizontal="right" vertical="center" wrapText="1"/>
    </xf>
    <xf numFmtId="0" fontId="29" fillId="0" borderId="4" xfId="0" applyFont="1" applyBorder="1" applyAlignment="1">
      <alignment horizontal="center" vertical="center" wrapText="1"/>
    </xf>
    <xf numFmtId="4" fontId="25" fillId="0" borderId="9" xfId="0" applyNumberFormat="1" applyFont="1" applyFill="1" applyBorder="1" applyAlignment="1">
      <alignment horizontal="right" vertical="center" wrapText="1"/>
    </xf>
    <xf numFmtId="0" fontId="23" fillId="0" borderId="0" xfId="0" applyFont="1"/>
    <xf numFmtId="4" fontId="22" fillId="0" borderId="16" xfId="0" applyNumberFormat="1" applyFont="1" applyFill="1" applyBorder="1" applyAlignment="1" applyProtection="1">
      <alignment horizontal="right" vertical="top"/>
      <protection locked="0"/>
    </xf>
    <xf numFmtId="4" fontId="22" fillId="0" borderId="16" xfId="3" applyNumberFormat="1" applyFont="1" applyFill="1" applyBorder="1" applyAlignment="1" applyProtection="1">
      <alignment horizontal="right"/>
      <protection locked="0"/>
    </xf>
    <xf numFmtId="0" fontId="31" fillId="0" borderId="0" xfId="0" applyFont="1"/>
    <xf numFmtId="0" fontId="32" fillId="17" borderId="4" xfId="0" applyFont="1" applyFill="1" applyBorder="1" applyAlignment="1">
      <alignment horizontal="center" vertical="center" wrapText="1"/>
    </xf>
    <xf numFmtId="0" fontId="32" fillId="17" borderId="4" xfId="0" applyFont="1" applyFill="1" applyBorder="1" applyAlignment="1">
      <alignment horizontal="center" vertical="center"/>
    </xf>
    <xf numFmtId="0" fontId="3" fillId="2" borderId="4" xfId="1" applyFont="1" applyFill="1" applyBorder="1" applyAlignment="1">
      <alignment horizontal="center" vertical="center"/>
    </xf>
    <xf numFmtId="0" fontId="3" fillId="2" borderId="4" xfId="1" applyFont="1" applyFill="1" applyBorder="1" applyAlignment="1">
      <alignment horizontal="center" vertical="center" wrapText="1"/>
    </xf>
    <xf numFmtId="4" fontId="3" fillId="2" borderId="4" xfId="1" applyNumberFormat="1" applyFont="1" applyFill="1" applyBorder="1" applyAlignment="1">
      <alignment horizontal="center" vertical="center" wrapText="1"/>
    </xf>
    <xf numFmtId="49" fontId="3" fillId="2" borderId="4" xfId="1" applyNumberFormat="1" applyFont="1" applyFill="1" applyBorder="1" applyAlignment="1">
      <alignment horizontal="center" vertical="center" wrapText="1"/>
    </xf>
    <xf numFmtId="4" fontId="3" fillId="2" borderId="4" xfId="1" applyNumberFormat="1" applyFont="1" applyFill="1" applyBorder="1" applyAlignment="1">
      <alignment horizontal="center" vertical="center"/>
    </xf>
    <xf numFmtId="4" fontId="3" fillId="2" borderId="4" xfId="5" applyNumberFormat="1" applyFont="1" applyFill="1" applyBorder="1" applyAlignment="1">
      <alignment horizontal="center" vertical="center" wrapText="1"/>
    </xf>
    <xf numFmtId="0" fontId="3" fillId="2" borderId="4" xfId="5" applyFont="1" applyFill="1" applyBorder="1" applyAlignment="1">
      <alignment horizontal="center" vertical="center" wrapText="1"/>
    </xf>
    <xf numFmtId="0" fontId="6" fillId="0" borderId="0" xfId="0" applyFont="1" applyAlignment="1" applyProtection="1">
      <alignment horizontal="left"/>
      <protection locked="0"/>
    </xf>
    <xf numFmtId="0" fontId="6" fillId="0" borderId="0" xfId="0" applyFont="1" applyAlignment="1" applyProtection="1">
      <alignment horizontal="right"/>
      <protection locked="0"/>
    </xf>
    <xf numFmtId="0" fontId="6" fillId="0" borderId="0" xfId="0" applyFont="1" applyAlignment="1" applyProtection="1">
      <alignment wrapText="1"/>
      <protection locked="0"/>
    </xf>
    <xf numFmtId="0" fontId="3" fillId="2" borderId="4" xfId="1" applyFont="1" applyFill="1" applyBorder="1" applyAlignment="1" applyProtection="1">
      <alignment horizontal="center" vertical="center"/>
      <protection locked="0"/>
    </xf>
    <xf numFmtId="0" fontId="3" fillId="2" borderId="4" xfId="1" applyFont="1" applyFill="1" applyBorder="1" applyAlignment="1" applyProtection="1">
      <alignment horizontal="center" vertical="center" wrapText="1"/>
      <protection locked="0"/>
    </xf>
    <xf numFmtId="0" fontId="3" fillId="21" borderId="4" xfId="1" applyFont="1" applyFill="1" applyBorder="1" applyAlignment="1" applyProtection="1">
      <alignment horizontal="right" vertical="center" wrapText="1"/>
      <protection locked="0"/>
    </xf>
    <xf numFmtId="0" fontId="3" fillId="21" borderId="4" xfId="1" applyFont="1" applyFill="1" applyBorder="1" applyAlignment="1" applyProtection="1">
      <alignment horizontal="center" vertical="center" wrapText="1"/>
      <protection locked="0"/>
    </xf>
    <xf numFmtId="0" fontId="3" fillId="2" borderId="4" xfId="1" applyFont="1" applyFill="1" applyBorder="1" applyAlignment="1" applyProtection="1">
      <alignment horizontal="center" vertical="center" wrapText="1"/>
      <protection locked="0"/>
    </xf>
    <xf numFmtId="165" fontId="3" fillId="2" borderId="1" xfId="2" applyNumberFormat="1" applyFont="1" applyFill="1" applyBorder="1" applyAlignment="1" applyProtection="1">
      <alignment horizontal="center" vertical="center" wrapText="1"/>
      <protection locked="0"/>
    </xf>
    <xf numFmtId="165" fontId="3" fillId="2" borderId="3" xfId="2" applyNumberFormat="1" applyFont="1" applyFill="1" applyBorder="1" applyAlignment="1" applyProtection="1">
      <alignment horizontal="center" vertical="center" wrapText="1"/>
      <protection locked="0"/>
    </xf>
    <xf numFmtId="165" fontId="3" fillId="2" borderId="4" xfId="2" applyNumberFormat="1" applyFont="1" applyFill="1" applyBorder="1" applyAlignment="1" applyProtection="1">
      <alignment horizontal="center" vertical="center" wrapText="1"/>
      <protection locked="0"/>
    </xf>
    <xf numFmtId="0" fontId="3" fillId="2" borderId="4" xfId="4" applyFont="1" applyFill="1" applyBorder="1" applyAlignment="1" applyProtection="1">
      <alignment horizontal="center" vertical="center"/>
      <protection locked="0"/>
    </xf>
    <xf numFmtId="0" fontId="3" fillId="2" borderId="4" xfId="4" applyFont="1" applyFill="1" applyBorder="1" applyAlignment="1" applyProtection="1">
      <alignment horizontal="center" vertical="center" wrapText="1"/>
      <protection locked="0"/>
    </xf>
    <xf numFmtId="0" fontId="3" fillId="2" borderId="22" xfId="0" applyFont="1" applyFill="1" applyBorder="1" applyAlignment="1" applyProtection="1">
      <alignment horizontal="center" vertical="center" wrapText="1"/>
      <protection locked="0"/>
    </xf>
    <xf numFmtId="0" fontId="3" fillId="2" borderId="23" xfId="0" applyFont="1" applyFill="1" applyBorder="1" applyAlignment="1" applyProtection="1">
      <alignment horizontal="center" vertical="center"/>
      <protection locked="0"/>
    </xf>
    <xf numFmtId="0" fontId="5" fillId="0" borderId="5" xfId="1" applyNumberFormat="1" applyFont="1" applyFill="1" applyBorder="1" applyAlignment="1" applyProtection="1">
      <alignment horizontal="left" vertical="top"/>
      <protection locked="0"/>
    </xf>
    <xf numFmtId="0" fontId="5" fillId="0" borderId="6" xfId="1" applyFont="1" applyBorder="1" applyAlignment="1" applyProtection="1">
      <alignment horizontal="left" vertical="top"/>
      <protection locked="0"/>
    </xf>
    <xf numFmtId="3" fontId="5" fillId="0" borderId="7" xfId="1" applyNumberFormat="1" applyFont="1" applyFill="1" applyBorder="1" applyAlignment="1" applyProtection="1">
      <alignment horizontal="left" vertical="top"/>
      <protection locked="0"/>
    </xf>
    <xf numFmtId="0" fontId="5" fillId="0" borderId="8" xfId="1" applyNumberFormat="1" applyFont="1" applyFill="1" applyBorder="1" applyAlignment="1" applyProtection="1">
      <alignment horizontal="left" vertical="top"/>
      <protection locked="0"/>
    </xf>
    <xf numFmtId="0" fontId="5" fillId="0" borderId="0" xfId="1" applyFont="1" applyFill="1" applyBorder="1" applyAlignment="1" applyProtection="1">
      <alignment horizontal="left" vertical="top"/>
      <protection locked="0"/>
    </xf>
    <xf numFmtId="0" fontId="9" fillId="0" borderId="9" xfId="1" applyFont="1" applyFill="1" applyBorder="1" applyAlignment="1" applyProtection="1">
      <alignment horizontal="left" vertical="top"/>
      <protection locked="0"/>
    </xf>
    <xf numFmtId="0" fontId="5" fillId="0" borderId="8" xfId="1" applyFont="1" applyBorder="1" applyAlignment="1" applyProtection="1">
      <alignment horizontal="left" vertical="top"/>
      <protection locked="0"/>
    </xf>
    <xf numFmtId="0" fontId="5" fillId="0" borderId="0" xfId="1" applyFont="1" applyBorder="1" applyAlignment="1" applyProtection="1">
      <alignment horizontal="left" vertical="top"/>
      <protection locked="0"/>
    </xf>
    <xf numFmtId="3" fontId="4" fillId="0" borderId="9" xfId="1" applyNumberFormat="1" applyFont="1" applyFill="1" applyBorder="1" applyAlignment="1" applyProtection="1">
      <alignment horizontal="left" vertical="top"/>
      <protection locked="0"/>
    </xf>
    <xf numFmtId="0" fontId="9" fillId="0" borderId="5" xfId="0" applyFont="1" applyFill="1" applyBorder="1" applyAlignment="1" applyProtection="1">
      <alignment horizontal="left" vertical="top" indent="1"/>
      <protection locked="0"/>
    </xf>
    <xf numFmtId="0" fontId="5" fillId="0" borderId="24" xfId="0" applyFont="1" applyFill="1" applyBorder="1" applyAlignment="1" applyProtection="1">
      <alignment horizontal="center"/>
      <protection locked="0"/>
    </xf>
    <xf numFmtId="0" fontId="4" fillId="0" borderId="25" xfId="0" applyFont="1" applyFill="1" applyBorder="1" applyProtection="1">
      <protection locked="0"/>
    </xf>
    <xf numFmtId="0" fontId="6" fillId="0" borderId="9" xfId="1" applyFont="1" applyFill="1" applyBorder="1" applyAlignment="1" applyProtection="1">
      <alignment horizontal="left" vertical="top"/>
      <protection locked="0"/>
    </xf>
    <xf numFmtId="0" fontId="3" fillId="0" borderId="5" xfId="1" applyFont="1" applyFill="1" applyBorder="1" applyAlignment="1" applyProtection="1">
      <alignment horizontal="left" vertical="top"/>
      <protection locked="0" hidden="1"/>
    </xf>
    <xf numFmtId="0" fontId="5" fillId="0" borderId="6" xfId="5" applyFont="1" applyFill="1" applyBorder="1" applyAlignment="1" applyProtection="1">
      <alignment horizontal="left" vertical="top"/>
      <protection locked="0"/>
    </xf>
    <xf numFmtId="0" fontId="6" fillId="0" borderId="8" xfId="0" applyFont="1" applyFill="1" applyBorder="1" applyAlignment="1" applyProtection="1">
      <alignment horizontal="left" vertical="top" indent="2"/>
      <protection locked="0"/>
    </xf>
    <xf numFmtId="0" fontId="3" fillId="0" borderId="5" xfId="1" applyFont="1" applyBorder="1" applyAlignment="1" applyProtection="1">
      <alignment horizontal="left" vertical="top"/>
      <protection locked="0" hidden="1"/>
    </xf>
    <xf numFmtId="0" fontId="5" fillId="0" borderId="13" xfId="0" applyFont="1" applyFill="1" applyBorder="1" applyAlignment="1" applyProtection="1">
      <alignment horizontal="center"/>
      <protection locked="0"/>
    </xf>
    <xf numFmtId="0" fontId="5" fillId="0" borderId="26" xfId="0" applyFont="1" applyFill="1" applyBorder="1" applyAlignment="1" applyProtection="1">
      <alignment horizontal="center"/>
      <protection locked="0"/>
    </xf>
    <xf numFmtId="0" fontId="4" fillId="0" borderId="8" xfId="1" applyNumberFormat="1" applyFont="1" applyFill="1" applyBorder="1" applyAlignment="1" applyProtection="1">
      <alignment horizontal="left" vertical="top"/>
      <protection locked="0"/>
    </xf>
    <xf numFmtId="0" fontId="4" fillId="0" borderId="9" xfId="1" applyFont="1" applyFill="1" applyBorder="1" applyAlignment="1" applyProtection="1">
      <alignment horizontal="left" vertical="top"/>
      <protection locked="0"/>
    </xf>
    <xf numFmtId="0" fontId="4" fillId="0" borderId="8" xfId="1" applyFont="1" applyBorder="1" applyAlignment="1" applyProtection="1">
      <alignment horizontal="left" vertical="top"/>
      <protection locked="0"/>
    </xf>
    <xf numFmtId="0" fontId="5" fillId="0" borderId="5" xfId="1" applyFont="1" applyBorder="1" applyAlignment="1" applyProtection="1">
      <alignment horizontal="left" vertical="top"/>
      <protection locked="0"/>
    </xf>
    <xf numFmtId="0" fontId="4" fillId="0" borderId="5" xfId="1" applyFont="1" applyFill="1" applyBorder="1" applyAlignment="1" applyProtection="1">
      <alignment horizontal="left" vertical="top"/>
      <protection locked="0"/>
    </xf>
    <xf numFmtId="0" fontId="5" fillId="0" borderId="6" xfId="1" applyFont="1" applyFill="1" applyBorder="1" applyAlignment="1" applyProtection="1">
      <alignment horizontal="left" vertical="top"/>
      <protection locked="0"/>
    </xf>
    <xf numFmtId="0" fontId="9" fillId="0" borderId="8" xfId="0" applyFont="1" applyFill="1" applyBorder="1" applyAlignment="1" applyProtection="1">
      <alignment horizontal="left" vertical="top"/>
      <protection locked="0"/>
    </xf>
    <xf numFmtId="0" fontId="9" fillId="0" borderId="0" xfId="0" applyFont="1" applyFill="1" applyBorder="1" applyAlignment="1" applyProtection="1">
      <alignment horizontal="left" vertical="top"/>
      <protection locked="0"/>
    </xf>
    <xf numFmtId="0" fontId="4" fillId="0" borderId="0" xfId="5" applyFont="1" applyFill="1" applyBorder="1" applyAlignment="1" applyProtection="1">
      <alignment horizontal="left" vertical="top"/>
      <protection locked="0"/>
    </xf>
    <xf numFmtId="0" fontId="5" fillId="0" borderId="0" xfId="1" applyFont="1" applyFill="1" applyBorder="1" applyAlignment="1" applyProtection="1">
      <alignment horizontal="left" vertical="top" indent="2"/>
      <protection locked="0"/>
    </xf>
    <xf numFmtId="0" fontId="6" fillId="0" borderId="8" xfId="0" applyFont="1" applyFill="1" applyBorder="1" applyAlignment="1" applyProtection="1">
      <alignment horizontal="left" vertical="top"/>
      <protection locked="0"/>
    </xf>
    <xf numFmtId="0" fontId="6" fillId="0" borderId="0" xfId="0" applyFont="1" applyFill="1" applyBorder="1" applyAlignment="1" applyProtection="1">
      <alignment horizontal="left" vertical="top"/>
      <protection locked="0"/>
    </xf>
    <xf numFmtId="0" fontId="9" fillId="0" borderId="8" xfId="0" applyFont="1" applyFill="1" applyBorder="1" applyAlignment="1" applyProtection="1">
      <alignment horizontal="left" vertical="top" indent="1"/>
      <protection locked="0"/>
    </xf>
    <xf numFmtId="0" fontId="9" fillId="0" borderId="0" xfId="0" applyFont="1" applyBorder="1" applyAlignment="1" applyProtection="1">
      <alignment horizontal="left" vertical="top" indent="1"/>
      <protection locked="0"/>
    </xf>
    <xf numFmtId="0" fontId="5" fillId="0" borderId="26" xfId="0" applyFont="1" applyFill="1" applyBorder="1" applyAlignment="1" applyProtection="1">
      <alignment horizontal="left" indent="1"/>
      <protection locked="0"/>
    </xf>
    <xf numFmtId="0" fontId="7" fillId="0" borderId="8" xfId="1" applyNumberFormat="1" applyFont="1" applyFill="1" applyBorder="1" applyAlignment="1" applyProtection="1">
      <alignment horizontal="left" vertical="top"/>
      <protection locked="0" hidden="1"/>
    </xf>
    <xf numFmtId="0" fontId="7" fillId="0" borderId="8" xfId="1" applyFont="1" applyBorder="1" applyAlignment="1" applyProtection="1">
      <alignment horizontal="left" vertical="top"/>
      <protection locked="0" hidden="1"/>
    </xf>
    <xf numFmtId="0" fontId="6" fillId="0" borderId="0" xfId="0" applyFont="1" applyBorder="1" applyAlignment="1" applyProtection="1">
      <alignment horizontal="left" vertical="top" indent="2"/>
      <protection locked="0"/>
    </xf>
    <xf numFmtId="0" fontId="4" fillId="0" borderId="26" xfId="0" applyFont="1" applyFill="1" applyBorder="1" applyProtection="1">
      <protection locked="0"/>
    </xf>
    <xf numFmtId="0" fontId="9" fillId="0" borderId="10" xfId="0" applyFont="1" applyFill="1" applyBorder="1" applyAlignment="1" applyProtection="1">
      <alignment horizontal="left" vertical="top" indent="1"/>
      <protection locked="0"/>
    </xf>
    <xf numFmtId="3" fontId="5" fillId="0" borderId="9" xfId="1" applyNumberFormat="1" applyFont="1" applyFill="1" applyBorder="1" applyAlignment="1" applyProtection="1">
      <alignment horizontal="left" vertical="top"/>
      <protection locked="0"/>
    </xf>
    <xf numFmtId="0" fontId="4" fillId="0" borderId="10" xfId="1" applyFont="1" applyBorder="1" applyAlignment="1" applyProtection="1">
      <alignment horizontal="left" vertical="top"/>
      <protection locked="0"/>
    </xf>
    <xf numFmtId="0" fontId="4" fillId="0" borderId="11" xfId="1" applyFont="1" applyBorder="1" applyAlignment="1" applyProtection="1">
      <alignment horizontal="left" vertical="top"/>
      <protection locked="0"/>
    </xf>
    <xf numFmtId="0" fontId="3" fillId="0" borderId="10" xfId="1" applyFont="1" applyBorder="1" applyAlignment="1" applyProtection="1">
      <alignment horizontal="left" vertical="top"/>
      <protection locked="0" hidden="1"/>
    </xf>
    <xf numFmtId="0" fontId="7" fillId="0" borderId="10" xfId="1" applyNumberFormat="1" applyFont="1" applyFill="1" applyBorder="1" applyAlignment="1" applyProtection="1">
      <alignment horizontal="left" vertical="top"/>
      <protection locked="0" hidden="1"/>
    </xf>
    <xf numFmtId="0" fontId="5" fillId="0" borderId="11" xfId="1" applyFont="1" applyFill="1" applyBorder="1" applyAlignment="1" applyProtection="1">
      <alignment horizontal="left" vertical="top"/>
      <protection locked="0"/>
    </xf>
    <xf numFmtId="4" fontId="13" fillId="0" borderId="0" xfId="1" applyNumberFormat="1" applyFont="1" applyFill="1" applyBorder="1" applyAlignment="1" applyProtection="1">
      <alignment horizontal="right" vertical="top"/>
      <protection locked="0"/>
    </xf>
    <xf numFmtId="0" fontId="3" fillId="0" borderId="8" xfId="1" applyFont="1" applyBorder="1" applyAlignment="1" applyProtection="1">
      <alignment horizontal="left" vertical="top"/>
      <protection locked="0"/>
    </xf>
    <xf numFmtId="4" fontId="13" fillId="0" borderId="0" xfId="1" applyNumberFormat="1" applyFont="1" applyFill="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1" xfId="0" applyFont="1" applyFill="1" applyBorder="1" applyAlignment="1" applyProtection="1">
      <alignment horizontal="left" vertical="top"/>
      <protection locked="0"/>
    </xf>
    <xf numFmtId="0" fontId="5" fillId="0" borderId="27" xfId="0" applyFont="1" applyFill="1" applyBorder="1" applyAlignment="1" applyProtection="1">
      <alignment horizontal="center"/>
      <protection locked="0"/>
    </xf>
    <xf numFmtId="0" fontId="4" fillId="0" borderId="28" xfId="0" applyFont="1" applyBorder="1" applyProtection="1">
      <protection locked="0"/>
    </xf>
    <xf numFmtId="0" fontId="4" fillId="0" borderId="0" xfId="0" applyFont="1" applyProtection="1">
      <protection locked="0"/>
    </xf>
    <xf numFmtId="0" fontId="4" fillId="0" borderId="8" xfId="1" quotePrefix="1" applyFont="1" applyBorder="1" applyAlignment="1" applyProtection="1">
      <alignment horizontal="left" vertical="top"/>
      <protection locked="0"/>
    </xf>
    <xf numFmtId="0" fontId="4" fillId="0" borderId="8" xfId="1" quotePrefix="1" applyFont="1" applyFill="1" applyBorder="1" applyAlignment="1" applyProtection="1">
      <alignment horizontal="left" vertical="top"/>
      <protection locked="0"/>
    </xf>
    <xf numFmtId="0" fontId="3" fillId="0" borderId="8" xfId="1" applyFont="1" applyFill="1" applyBorder="1" applyAlignment="1" applyProtection="1">
      <alignment horizontal="left" vertical="top"/>
      <protection locked="0" hidden="1"/>
    </xf>
    <xf numFmtId="0" fontId="4" fillId="0" borderId="10" xfId="1" applyNumberFormat="1" applyFont="1" applyFill="1" applyBorder="1" applyAlignment="1" applyProtection="1">
      <alignment horizontal="left" vertical="top"/>
      <protection locked="0"/>
    </xf>
    <xf numFmtId="3" fontId="4" fillId="0" borderId="12" xfId="1" applyNumberFormat="1" applyFont="1" applyFill="1" applyBorder="1" applyAlignment="1" applyProtection="1">
      <alignment horizontal="left" vertical="top"/>
      <protection locked="0"/>
    </xf>
    <xf numFmtId="43" fontId="13" fillId="0" borderId="0" xfId="9" applyFont="1" applyAlignment="1" applyProtection="1">
      <alignment horizontal="right" vertical="top"/>
      <protection locked="0"/>
    </xf>
    <xf numFmtId="0" fontId="4" fillId="0" borderId="0" xfId="1" applyFont="1" applyFill="1" applyAlignment="1" applyProtection="1">
      <alignment horizontal="left" vertical="top"/>
      <protection locked="0"/>
    </xf>
    <xf numFmtId="164" fontId="13" fillId="0" borderId="0" xfId="1" applyNumberFormat="1" applyFont="1" applyAlignment="1" applyProtection="1">
      <alignment horizontal="left" vertical="top"/>
      <protection locked="0"/>
    </xf>
    <xf numFmtId="0" fontId="4" fillId="0" borderId="0" xfId="1" applyFont="1" applyAlignment="1" applyProtection="1">
      <alignment horizontal="right" vertical="top"/>
      <protection locked="0"/>
    </xf>
    <xf numFmtId="4" fontId="4" fillId="0" borderId="0" xfId="1" applyNumberFormat="1" applyFont="1" applyAlignment="1" applyProtection="1">
      <alignment horizontal="right" vertical="top"/>
      <protection locked="0"/>
    </xf>
    <xf numFmtId="164" fontId="4" fillId="0" borderId="0" xfId="1" applyNumberFormat="1" applyFont="1" applyAlignment="1" applyProtection="1">
      <alignment horizontal="left" vertical="top"/>
      <protection locked="0"/>
    </xf>
    <xf numFmtId="4" fontId="4" fillId="0" borderId="0" xfId="1" applyNumberFormat="1" applyFont="1" applyAlignment="1" applyProtection="1">
      <alignment horizontal="left" vertical="top"/>
      <protection locked="0"/>
    </xf>
    <xf numFmtId="4" fontId="9" fillId="0" borderId="16" xfId="0" applyNumberFormat="1" applyFont="1" applyBorder="1" applyAlignment="1" applyProtection="1">
      <alignment horizontal="right"/>
      <protection locked="0"/>
    </xf>
    <xf numFmtId="0" fontId="5" fillId="0" borderId="10" xfId="1" applyNumberFormat="1" applyFont="1" applyFill="1" applyBorder="1" applyAlignment="1" applyProtection="1">
      <alignment horizontal="left" vertical="top"/>
      <protection locked="0"/>
    </xf>
    <xf numFmtId="0" fontId="5" fillId="0" borderId="11" xfId="1" applyFont="1" applyBorder="1" applyAlignment="1" applyProtection="1">
      <alignment horizontal="left" vertical="top"/>
      <protection locked="0"/>
    </xf>
    <xf numFmtId="0" fontId="5" fillId="0" borderId="12" xfId="1" applyFont="1" applyFill="1" applyBorder="1" applyAlignment="1" applyProtection="1">
      <alignment horizontal="left" vertical="top"/>
      <protection locked="0"/>
    </xf>
    <xf numFmtId="0" fontId="5" fillId="0" borderId="0" xfId="1" applyNumberFormat="1" applyFont="1" applyFill="1" applyBorder="1" applyAlignment="1" applyProtection="1">
      <alignment horizontal="left" vertical="top"/>
      <protection locked="0"/>
    </xf>
    <xf numFmtId="164" fontId="13" fillId="0" borderId="0" xfId="1" applyNumberFormat="1" applyFont="1" applyFill="1" applyBorder="1" applyAlignment="1" applyProtection="1">
      <alignment horizontal="left" vertical="top"/>
      <protection locked="0"/>
    </xf>
    <xf numFmtId="0" fontId="6" fillId="0" borderId="0" xfId="0" applyFont="1" applyAlignment="1" applyProtection="1">
      <alignment horizontal="right" vertical="top"/>
      <protection locked="0"/>
    </xf>
    <xf numFmtId="164" fontId="9" fillId="0" borderId="0" xfId="0" applyNumberFormat="1" applyFont="1" applyAlignment="1" applyProtection="1">
      <alignment horizontal="left" vertical="top"/>
      <protection locked="0"/>
    </xf>
    <xf numFmtId="0" fontId="6" fillId="0" borderId="10" xfId="0" applyFont="1" applyFill="1" applyBorder="1" applyAlignment="1" applyProtection="1">
      <alignment horizontal="left" vertical="top"/>
      <protection locked="0"/>
    </xf>
    <xf numFmtId="0" fontId="4" fillId="0" borderId="0" xfId="0" applyFont="1" applyFill="1" applyBorder="1" applyAlignment="1" applyProtection="1">
      <alignment horizontal="left" vertical="top"/>
      <protection locked="0"/>
    </xf>
    <xf numFmtId="0" fontId="6" fillId="0" borderId="8" xfId="4" applyFont="1" applyFill="1" applyBorder="1" applyAlignment="1" applyProtection="1">
      <alignment horizontal="center" vertical="top"/>
      <protection locked="0"/>
    </xf>
    <xf numFmtId="165" fontId="5" fillId="0" borderId="7" xfId="2" applyNumberFormat="1" applyFont="1" applyFill="1" applyBorder="1" applyAlignment="1" applyProtection="1">
      <alignment horizontal="center" vertical="center"/>
      <protection locked="0"/>
    </xf>
    <xf numFmtId="0" fontId="9" fillId="0" borderId="0" xfId="0" applyFont="1" applyBorder="1" applyAlignment="1" applyProtection="1">
      <alignment horizontal="left"/>
      <protection locked="0"/>
    </xf>
    <xf numFmtId="4" fontId="9" fillId="0" borderId="0" xfId="0" applyNumberFormat="1" applyFont="1" applyBorder="1" applyAlignment="1" applyProtection="1">
      <alignment horizontal="right"/>
      <protection locked="0"/>
    </xf>
    <xf numFmtId="4" fontId="9" fillId="0" borderId="9" xfId="0" applyNumberFormat="1" applyFont="1" applyBorder="1" applyAlignment="1" applyProtection="1">
      <alignment horizontal="right"/>
      <protection locked="0"/>
    </xf>
    <xf numFmtId="165" fontId="3" fillId="2" borderId="2" xfId="2" applyNumberFormat="1" applyFont="1" applyFill="1" applyBorder="1" applyAlignment="1" applyProtection="1">
      <alignment horizontal="center" vertical="center" wrapText="1"/>
    </xf>
    <xf numFmtId="0" fontId="9" fillId="0" borderId="11" xfId="0" applyFont="1" applyBorder="1" applyAlignment="1" applyProtection="1">
      <alignment horizontal="left"/>
      <protection locked="0"/>
    </xf>
    <xf numFmtId="4" fontId="9" fillId="0" borderId="11" xfId="0" applyNumberFormat="1" applyFont="1" applyBorder="1" applyAlignment="1" applyProtection="1">
      <alignment horizontal="right"/>
      <protection locked="0"/>
    </xf>
    <xf numFmtId="4" fontId="9" fillId="0" borderId="12" xfId="0" applyNumberFormat="1" applyFont="1" applyBorder="1" applyAlignment="1" applyProtection="1">
      <alignment horizontal="right"/>
      <protection locked="0"/>
    </xf>
    <xf numFmtId="0" fontId="6" fillId="0" borderId="5" xfId="0" applyFont="1" applyBorder="1" applyProtection="1">
      <protection locked="0"/>
    </xf>
    <xf numFmtId="0" fontId="6" fillId="0" borderId="8" xfId="0" applyFont="1" applyBorder="1" applyProtection="1">
      <protection locked="0"/>
    </xf>
    <xf numFmtId="0" fontId="6" fillId="0" borderId="0" xfId="0" applyFont="1" applyBorder="1" applyAlignment="1" applyProtection="1">
      <alignment horizontal="left"/>
      <protection locked="0"/>
    </xf>
    <xf numFmtId="4" fontId="6" fillId="0" borderId="0" xfId="0" applyNumberFormat="1" applyFont="1" applyBorder="1" applyAlignment="1" applyProtection="1">
      <alignment horizontal="right"/>
      <protection locked="0"/>
    </xf>
    <xf numFmtId="4" fontId="6" fillId="0" borderId="9" xfId="0" applyNumberFormat="1" applyFont="1" applyBorder="1" applyAlignment="1" applyProtection="1">
      <alignment horizontal="right"/>
      <protection locked="0"/>
    </xf>
    <xf numFmtId="4" fontId="4" fillId="0" borderId="6" xfId="2" applyNumberFormat="1" applyFont="1" applyFill="1" applyBorder="1" applyAlignment="1" applyProtection="1">
      <alignment horizontal="center" vertical="center"/>
      <protection locked="0"/>
    </xf>
    <xf numFmtId="4" fontId="4" fillId="0" borderId="7" xfId="2" applyNumberFormat="1" applyFont="1" applyFill="1" applyBorder="1" applyAlignment="1" applyProtection="1">
      <alignment horizontal="center" vertical="center"/>
      <protection locked="0"/>
    </xf>
    <xf numFmtId="165" fontId="4" fillId="0" borderId="0" xfId="2" applyNumberFormat="1" applyFont="1" applyFill="1" applyBorder="1" applyAlignment="1" applyProtection="1">
      <alignment horizontal="center" vertical="center"/>
      <protection locked="0"/>
    </xf>
    <xf numFmtId="4" fontId="4" fillId="0" borderId="0" xfId="2" applyNumberFormat="1" applyFont="1" applyFill="1" applyBorder="1" applyAlignment="1" applyProtection="1">
      <alignment horizontal="center" vertical="center"/>
      <protection locked="0"/>
    </xf>
    <xf numFmtId="4" fontId="4" fillId="0" borderId="9" xfId="2" applyNumberFormat="1" applyFont="1" applyFill="1" applyBorder="1" applyAlignment="1" applyProtection="1">
      <alignment horizontal="center" vertical="center"/>
      <protection locked="0"/>
    </xf>
    <xf numFmtId="4" fontId="6" fillId="0" borderId="0" xfId="3" applyNumberFormat="1" applyFont="1" applyBorder="1" applyAlignment="1" applyProtection="1">
      <alignment horizontal="right"/>
      <protection locked="0"/>
    </xf>
    <xf numFmtId="4" fontId="6" fillId="0" borderId="9" xfId="3" applyNumberFormat="1" applyFont="1" applyBorder="1" applyAlignment="1" applyProtection="1">
      <alignment horizontal="right"/>
      <protection locked="0"/>
    </xf>
    <xf numFmtId="4" fontId="9" fillId="0" borderId="0" xfId="3" applyNumberFormat="1" applyFont="1" applyBorder="1" applyAlignment="1" applyProtection="1">
      <alignment horizontal="right"/>
      <protection locked="0"/>
    </xf>
    <xf numFmtId="4" fontId="9" fillId="0" borderId="9" xfId="3" applyNumberFormat="1" applyFont="1" applyBorder="1" applyAlignment="1" applyProtection="1">
      <alignment horizontal="right"/>
      <protection locked="0"/>
    </xf>
    <xf numFmtId="165" fontId="3" fillId="2" borderId="2" xfId="2" applyNumberFormat="1" applyFont="1" applyFill="1" applyBorder="1" applyAlignment="1" applyProtection="1">
      <alignment horizontal="center" vertical="center" wrapText="1"/>
      <protection locked="0"/>
    </xf>
    <xf numFmtId="4" fontId="9" fillId="0" borderId="11" xfId="3" applyNumberFormat="1" applyFont="1" applyBorder="1" applyAlignment="1" applyProtection="1">
      <alignment horizontal="right"/>
      <protection locked="0"/>
    </xf>
    <xf numFmtId="4" fontId="9" fillId="0" borderId="12" xfId="3" applyNumberFormat="1" applyFont="1" applyBorder="1" applyAlignment="1" applyProtection="1">
      <alignment horizontal="right"/>
      <protection locked="0"/>
    </xf>
    <xf numFmtId="0" fontId="3" fillId="2" borderId="1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5" xfId="0" quotePrefix="1" applyFont="1" applyFill="1" applyBorder="1" applyAlignment="1">
      <alignment horizontal="center" vertical="center" wrapText="1"/>
    </xf>
    <xf numFmtId="4" fontId="9" fillId="11" borderId="7" xfId="0" applyNumberFormat="1" applyFont="1" applyFill="1" applyBorder="1" applyAlignment="1" applyProtection="1">
      <alignment horizontal="right" vertical="center" wrapText="1"/>
      <protection locked="0"/>
    </xf>
    <xf numFmtId="4" fontId="9" fillId="11" borderId="0" xfId="0" applyNumberFormat="1" applyFont="1" applyFill="1" applyBorder="1" applyAlignment="1" applyProtection="1">
      <alignment horizontal="right" vertical="center" wrapText="1"/>
      <protection locked="0"/>
    </xf>
    <xf numFmtId="0" fontId="15" fillId="11" borderId="0" xfId="0" applyNumberFormat="1" applyFont="1" applyFill="1" applyBorder="1" applyAlignment="1" applyProtection="1">
      <alignment horizontal="left" vertical="center"/>
      <protection locked="0"/>
    </xf>
    <xf numFmtId="0" fontId="9" fillId="11" borderId="0" xfId="0" applyNumberFormat="1" applyFont="1" applyFill="1" applyBorder="1" applyAlignment="1" applyProtection="1">
      <alignment horizontal="left" vertical="center" wrapText="1" indent="1"/>
      <protection locked="0"/>
    </xf>
    <xf numFmtId="0" fontId="9" fillId="11" borderId="0" xfId="0" applyNumberFormat="1" applyFont="1" applyFill="1" applyBorder="1" applyAlignment="1" applyProtection="1">
      <alignment horizontal="right" vertical="center" wrapText="1"/>
      <protection locked="0"/>
    </xf>
    <xf numFmtId="0" fontId="3" fillId="2" borderId="4" xfId="8" applyFont="1" applyFill="1" applyBorder="1" applyAlignment="1" applyProtection="1">
      <alignment horizontal="center" wrapText="1"/>
    </xf>
    <xf numFmtId="4" fontId="3" fillId="2" borderId="4" xfId="8" applyNumberFormat="1" applyFont="1" applyFill="1" applyBorder="1" applyAlignment="1" applyProtection="1">
      <alignment horizontal="center" wrapText="1"/>
    </xf>
    <xf numFmtId="0" fontId="22" fillId="0" borderId="0" xfId="0" applyFont="1" applyFill="1" applyBorder="1" applyAlignment="1">
      <alignment horizontal="center" vertical="center" wrapText="1"/>
    </xf>
    <xf numFmtId="0" fontId="22" fillId="0" borderId="0" xfId="0" applyFont="1" applyFill="1" applyBorder="1" applyAlignment="1">
      <alignment horizontal="center" vertical="center"/>
    </xf>
    <xf numFmtId="0" fontId="6" fillId="0" borderId="0" xfId="3" applyFont="1" applyFill="1" applyBorder="1" applyAlignment="1"/>
    <xf numFmtId="0" fontId="6" fillId="0" borderId="0" xfId="5" applyFont="1"/>
    <xf numFmtId="0" fontId="3" fillId="2" borderId="4" xfId="5" applyFont="1" applyFill="1" applyBorder="1" applyAlignment="1">
      <alignment horizontal="left" vertical="center" wrapText="1"/>
    </xf>
    <xf numFmtId="0" fontId="6" fillId="0" borderId="8" xfId="5" applyFont="1" applyBorder="1" applyAlignment="1">
      <alignment vertical="center" wrapText="1"/>
    </xf>
    <xf numFmtId="4" fontId="6" fillId="0" borderId="14" xfId="5" applyNumberFormat="1" applyFont="1" applyBorder="1" applyAlignment="1">
      <alignment vertical="center"/>
    </xf>
    <xf numFmtId="0" fontId="6" fillId="0" borderId="0" xfId="5" applyFont="1" applyBorder="1" applyAlignment="1">
      <alignment horizontal="justify" vertical="center" wrapText="1"/>
    </xf>
    <xf numFmtId="0" fontId="9" fillId="0" borderId="8" xfId="5" applyFont="1" applyBorder="1" applyAlignment="1">
      <alignment vertical="center" wrapText="1"/>
    </xf>
    <xf numFmtId="4" fontId="9" fillId="0" borderId="16" xfId="5" applyNumberFormat="1" applyFont="1" applyBorder="1" applyAlignment="1">
      <alignment vertical="center"/>
    </xf>
    <xf numFmtId="0" fontId="9" fillId="0" borderId="0" xfId="5" applyFont="1" applyBorder="1" applyAlignment="1">
      <alignment horizontal="justify" vertical="center" wrapText="1"/>
    </xf>
    <xf numFmtId="4" fontId="6" fillId="0" borderId="16" xfId="5" applyNumberFormat="1" applyFont="1" applyBorder="1" applyAlignment="1">
      <alignment vertical="center"/>
    </xf>
    <xf numFmtId="0" fontId="6" fillId="0" borderId="8" xfId="5" applyFont="1" applyBorder="1" applyAlignment="1">
      <alignment horizontal="left" vertical="center" wrapText="1" indent="1"/>
    </xf>
    <xf numFmtId="0" fontId="6" fillId="0" borderId="0" xfId="5" applyFont="1" applyBorder="1" applyAlignment="1">
      <alignment horizontal="left" vertical="center" wrapText="1" indent="1"/>
    </xf>
    <xf numFmtId="0" fontId="9" fillId="0" borderId="8" xfId="5" applyFont="1" applyBorder="1" applyAlignment="1">
      <alignment horizontal="justify" vertical="center" wrapText="1"/>
    </xf>
    <xf numFmtId="0" fontId="6" fillId="0" borderId="8" xfId="5" applyFont="1" applyBorder="1" applyAlignment="1">
      <alignment horizontal="justify" vertical="center" wrapText="1"/>
    </xf>
    <xf numFmtId="0" fontId="33" fillId="0" borderId="0" xfId="5" applyFont="1" applyBorder="1" applyAlignment="1">
      <alignment horizontal="justify" vertical="center" wrapText="1"/>
    </xf>
    <xf numFmtId="0" fontId="6" fillId="0" borderId="10" xfId="5" applyFont="1" applyBorder="1" applyAlignment="1">
      <alignment horizontal="justify" vertical="center" wrapText="1"/>
    </xf>
    <xf numFmtId="4" fontId="6" fillId="0" borderId="15" xfId="5" applyNumberFormat="1" applyFont="1" applyBorder="1" applyAlignment="1">
      <alignment vertical="center"/>
    </xf>
    <xf numFmtId="0" fontId="6" fillId="0" borderId="11" xfId="5" applyFont="1" applyBorder="1" applyAlignment="1">
      <alignment horizontal="justify" vertical="center" wrapText="1"/>
    </xf>
    <xf numFmtId="0" fontId="3" fillId="2" borderId="15" xfId="5" applyFont="1" applyFill="1" applyBorder="1" applyAlignment="1">
      <alignment horizontal="center" vertical="center" wrapText="1"/>
    </xf>
    <xf numFmtId="0" fontId="6" fillId="0" borderId="14" xfId="5" applyFont="1" applyBorder="1" applyAlignment="1">
      <alignment horizontal="justify" vertical="center" wrapText="1"/>
    </xf>
    <xf numFmtId="4" fontId="4" fillId="0" borderId="14" xfId="1" applyNumberFormat="1" applyFont="1" applyFill="1" applyBorder="1" applyAlignment="1" applyProtection="1">
      <alignment vertical="top" wrapText="1"/>
      <protection locked="0"/>
    </xf>
    <xf numFmtId="0" fontId="9" fillId="0" borderId="16" xfId="5" applyFont="1" applyBorder="1" applyAlignment="1">
      <alignment horizontal="justify" vertical="center" wrapText="1"/>
    </xf>
    <xf numFmtId="0" fontId="6" fillId="0" borderId="16" xfId="5" applyFont="1" applyBorder="1" applyAlignment="1">
      <alignment horizontal="left" vertical="center" wrapText="1" indent="1"/>
    </xf>
    <xf numFmtId="4" fontId="5" fillId="2" borderId="16" xfId="1" applyNumberFormat="1" applyFont="1" applyFill="1" applyBorder="1" applyAlignment="1" applyProtection="1">
      <alignment vertical="top" wrapText="1"/>
      <protection locked="0"/>
    </xf>
    <xf numFmtId="4" fontId="6" fillId="0" borderId="16" xfId="5" applyNumberFormat="1" applyFont="1" applyBorder="1" applyProtection="1">
      <protection locked="0"/>
    </xf>
    <xf numFmtId="0" fontId="6" fillId="0" borderId="16" xfId="5" applyFont="1" applyBorder="1" applyAlignment="1">
      <alignment horizontal="justify" vertical="center" wrapText="1"/>
    </xf>
    <xf numFmtId="0" fontId="6" fillId="0" borderId="15" xfId="5" applyFont="1" applyBorder="1" applyAlignment="1">
      <alignment horizontal="justify" vertical="center" wrapText="1"/>
    </xf>
    <xf numFmtId="0" fontId="33" fillId="0" borderId="6" xfId="5" applyFont="1" applyBorder="1" applyAlignment="1">
      <alignment horizontal="justify" vertical="center" wrapText="1"/>
    </xf>
    <xf numFmtId="0" fontId="3" fillId="2" borderId="4" xfId="5" applyFont="1" applyFill="1" applyBorder="1" applyAlignment="1">
      <alignment horizontal="center"/>
    </xf>
    <xf numFmtId="0" fontId="9" fillId="0" borderId="16" xfId="5" applyFont="1" applyBorder="1" applyAlignment="1">
      <alignment horizontal="left" vertical="center" wrapText="1"/>
    </xf>
    <xf numFmtId="4" fontId="6" fillId="0" borderId="0" xfId="5" applyNumberFormat="1" applyFont="1" applyAlignment="1"/>
    <xf numFmtId="0" fontId="6" fillId="0" borderId="0" xfId="5" applyFont="1" applyAlignment="1"/>
    <xf numFmtId="0" fontId="6" fillId="0" borderId="14" xfId="5" applyFont="1" applyBorder="1" applyAlignment="1">
      <alignment horizontal="left" vertical="center" wrapText="1"/>
    </xf>
    <xf numFmtId="15" fontId="6" fillId="0" borderId="14" xfId="5" applyNumberFormat="1" applyFont="1" applyBorder="1" applyProtection="1">
      <protection locked="0"/>
    </xf>
    <xf numFmtId="0" fontId="6" fillId="0" borderId="14" xfId="5" applyFont="1" applyBorder="1" applyProtection="1">
      <protection locked="0"/>
    </xf>
    <xf numFmtId="4" fontId="6" fillId="0" borderId="14" xfId="5" applyNumberFormat="1" applyFont="1" applyBorder="1" applyProtection="1">
      <protection locked="0"/>
    </xf>
    <xf numFmtId="15" fontId="6" fillId="0" borderId="16" xfId="5" applyNumberFormat="1" applyFont="1" applyBorder="1" applyProtection="1">
      <protection locked="0"/>
    </xf>
    <xf numFmtId="0" fontId="6" fillId="0" borderId="16" xfId="5" applyFont="1" applyBorder="1" applyProtection="1">
      <protection locked="0"/>
    </xf>
    <xf numFmtId="4" fontId="9" fillId="0" borderId="16" xfId="5" applyNumberFormat="1" applyFont="1" applyBorder="1" applyProtection="1">
      <protection locked="0"/>
    </xf>
    <xf numFmtId="0" fontId="9" fillId="0" borderId="15" xfId="5" applyFont="1" applyBorder="1" applyAlignment="1">
      <alignment horizontal="justify" vertical="center" wrapText="1"/>
    </xf>
    <xf numFmtId="0" fontId="6" fillId="0" borderId="5" xfId="5" applyFont="1" applyBorder="1"/>
    <xf numFmtId="0" fontId="6" fillId="0" borderId="6" xfId="5" applyFont="1" applyBorder="1" applyAlignment="1">
      <alignment vertical="center" wrapText="1"/>
    </xf>
    <xf numFmtId="0" fontId="6" fillId="0" borderId="8" xfId="5" applyFont="1" applyBorder="1"/>
    <xf numFmtId="0" fontId="9" fillId="0" borderId="0" xfId="5" applyFont="1" applyBorder="1" applyAlignment="1">
      <alignment vertical="center" wrapText="1"/>
    </xf>
    <xf numFmtId="0" fontId="6" fillId="0" borderId="0" xfId="5" applyFont="1" applyBorder="1" applyAlignment="1">
      <alignment vertical="center" wrapText="1"/>
    </xf>
    <xf numFmtId="4" fontId="6" fillId="22" borderId="16" xfId="5" applyNumberFormat="1" applyFont="1" applyFill="1" applyBorder="1" applyAlignment="1">
      <alignment vertical="center"/>
    </xf>
    <xf numFmtId="4" fontId="3" fillId="2" borderId="4" xfId="5" applyNumberFormat="1" applyFont="1" applyFill="1" applyBorder="1" applyAlignment="1">
      <alignment horizontal="center" vertical="center"/>
    </xf>
    <xf numFmtId="0" fontId="6" fillId="0" borderId="0" xfId="5" applyFont="1" applyBorder="1" applyAlignment="1">
      <alignment vertical="center"/>
    </xf>
    <xf numFmtId="0" fontId="9" fillId="0" borderId="0" xfId="5" applyFont="1" applyBorder="1" applyAlignment="1">
      <alignment vertical="center"/>
    </xf>
    <xf numFmtId="0" fontId="6" fillId="0" borderId="0" xfId="5" applyFont="1" applyBorder="1" applyAlignment="1">
      <alignment horizontal="left" vertical="center" indent="1"/>
    </xf>
    <xf numFmtId="0" fontId="6" fillId="0" borderId="10" xfId="5" applyFont="1" applyBorder="1"/>
    <xf numFmtId="0" fontId="9" fillId="0" borderId="12" xfId="5" applyFont="1" applyBorder="1" applyAlignment="1">
      <alignment vertical="center"/>
    </xf>
    <xf numFmtId="4" fontId="9" fillId="0" borderId="15" xfId="5" applyNumberFormat="1" applyFont="1" applyBorder="1" applyAlignment="1">
      <alignment vertical="center"/>
    </xf>
    <xf numFmtId="0" fontId="3" fillId="2" borderId="0" xfId="5" applyFont="1" applyFill="1" applyBorder="1" applyAlignment="1">
      <alignment horizontal="center" vertical="center"/>
    </xf>
    <xf numFmtId="0" fontId="7" fillId="2" borderId="14" xfId="5" applyFont="1" applyFill="1" applyBorder="1"/>
    <xf numFmtId="0" fontId="3" fillId="2" borderId="15" xfId="5" applyFont="1" applyFill="1" applyBorder="1" applyAlignment="1">
      <alignment horizontal="center" vertical="top"/>
    </xf>
    <xf numFmtId="0" fontId="3" fillId="2" borderId="15" xfId="5" applyFont="1" applyFill="1" applyBorder="1" applyAlignment="1">
      <alignment horizontal="center" vertical="center"/>
    </xf>
    <xf numFmtId="0" fontId="6" fillId="0" borderId="14" xfId="5" applyFont="1" applyBorder="1" applyAlignment="1">
      <alignment horizontal="justify" vertical="center"/>
    </xf>
    <xf numFmtId="0" fontId="9" fillId="0" borderId="16" xfId="5" applyFont="1" applyBorder="1" applyAlignment="1">
      <alignment horizontal="left" vertical="center"/>
    </xf>
    <xf numFmtId="0" fontId="6" fillId="0" borderId="16" xfId="5" applyFont="1" applyBorder="1" applyAlignment="1">
      <alignment horizontal="left" vertical="center" indent="1"/>
    </xf>
    <xf numFmtId="0" fontId="6" fillId="0" borderId="16" xfId="5" applyFont="1" applyBorder="1" applyAlignment="1">
      <alignment horizontal="left" vertical="center" indent="2"/>
    </xf>
    <xf numFmtId="4" fontId="6" fillId="23" borderId="16" xfId="5" applyNumberFormat="1" applyFont="1" applyFill="1" applyBorder="1" applyAlignment="1">
      <alignment vertical="center"/>
    </xf>
    <xf numFmtId="0" fontId="6" fillId="0" borderId="16" xfId="5" applyFont="1" applyBorder="1" applyAlignment="1">
      <alignment horizontal="justify" vertical="center"/>
    </xf>
    <xf numFmtId="0" fontId="6" fillId="0" borderId="16" xfId="5" applyFont="1" applyBorder="1" applyAlignment="1">
      <alignment horizontal="left" vertical="center" wrapText="1" indent="2"/>
    </xf>
    <xf numFmtId="0" fontId="9" fillId="0" borderId="16" xfId="5" applyFont="1" applyBorder="1" applyAlignment="1">
      <alignment horizontal="left" vertical="center" indent="1"/>
    </xf>
    <xf numFmtId="0" fontId="6" fillId="0" borderId="15" xfId="5" applyFont="1" applyBorder="1" applyAlignment="1">
      <alignment horizontal="justify" vertical="center"/>
    </xf>
    <xf numFmtId="0" fontId="36" fillId="0" borderId="0" xfId="5" applyFont="1"/>
    <xf numFmtId="0" fontId="35" fillId="2" borderId="14" xfId="5" applyFont="1" applyFill="1" applyBorder="1" applyAlignment="1">
      <alignment horizontal="center" vertical="center"/>
    </xf>
    <xf numFmtId="0" fontId="35" fillId="2" borderId="15" xfId="5" applyFont="1" applyFill="1" applyBorder="1" applyAlignment="1">
      <alignment horizontal="center" vertical="top"/>
    </xf>
    <xf numFmtId="0" fontId="35" fillId="2" borderId="4" xfId="5" applyFont="1" applyFill="1" applyBorder="1" applyAlignment="1">
      <alignment horizontal="center" vertical="center"/>
    </xf>
    <xf numFmtId="0" fontId="35" fillId="2" borderId="4" xfId="5" applyFont="1" applyFill="1" applyBorder="1" applyAlignment="1">
      <alignment horizontal="center" vertical="center" wrapText="1"/>
    </xf>
    <xf numFmtId="0" fontId="37" fillId="0" borderId="14" xfId="5" applyFont="1" applyBorder="1" applyAlignment="1">
      <alignment horizontal="left" vertical="center" indent="1"/>
    </xf>
    <xf numFmtId="4" fontId="37" fillId="0" borderId="14" xfId="5" applyNumberFormat="1" applyFont="1" applyBorder="1" applyAlignment="1">
      <alignment vertical="center"/>
    </xf>
    <xf numFmtId="0" fontId="38" fillId="0" borderId="16" xfId="5" applyFont="1" applyBorder="1" applyAlignment="1">
      <alignment horizontal="left" vertical="center" indent="1"/>
    </xf>
    <xf numFmtId="4" fontId="37" fillId="0" borderId="16" xfId="5" applyNumberFormat="1" applyFont="1" applyBorder="1" applyAlignment="1">
      <alignment vertical="center"/>
    </xf>
    <xf numFmtId="0" fontId="38" fillId="0" borderId="16" xfId="5" applyFont="1" applyBorder="1" applyAlignment="1">
      <alignment horizontal="left" vertical="center" indent="2"/>
    </xf>
    <xf numFmtId="4" fontId="38" fillId="0" borderId="16" xfId="5" applyNumberFormat="1" applyFont="1" applyBorder="1" applyAlignment="1">
      <alignment vertical="center"/>
    </xf>
    <xf numFmtId="0" fontId="6" fillId="0" borderId="15" xfId="5" applyFont="1" applyBorder="1" applyAlignment="1">
      <alignment horizontal="left" vertical="center"/>
    </xf>
    <xf numFmtId="0" fontId="3" fillId="2" borderId="14" xfId="5" applyFont="1" applyFill="1" applyBorder="1" applyAlignment="1">
      <alignment horizontal="center" vertical="center" wrapText="1"/>
    </xf>
    <xf numFmtId="0" fontId="3" fillId="2" borderId="15" xfId="5" applyFont="1" applyFill="1" applyBorder="1" applyAlignment="1">
      <alignment horizontal="center" vertical="top" wrapText="1"/>
    </xf>
    <xf numFmtId="0" fontId="9" fillId="0" borderId="14" xfId="5" applyFont="1" applyBorder="1" applyAlignment="1">
      <alignment horizontal="justify" vertical="center" wrapText="1"/>
    </xf>
    <xf numFmtId="0" fontId="6" fillId="0" borderId="16" xfId="5" applyFont="1" applyBorder="1" applyAlignment="1">
      <alignment horizontal="left" vertical="center" wrapText="1"/>
    </xf>
    <xf numFmtId="0" fontId="3" fillId="2" borderId="14" xfId="5" applyFont="1" applyFill="1" applyBorder="1" applyAlignment="1">
      <alignment horizontal="center" vertical="center"/>
    </xf>
    <xf numFmtId="0" fontId="9" fillId="0" borderId="15" xfId="5" applyFont="1" applyBorder="1" applyAlignment="1">
      <alignment horizontal="justify" vertical="center"/>
    </xf>
    <xf numFmtId="0" fontId="9" fillId="0" borderId="14" xfId="5" applyFont="1" applyBorder="1" applyAlignment="1">
      <alignment horizontal="left" vertical="center" wrapText="1"/>
    </xf>
    <xf numFmtId="4" fontId="9" fillId="0" borderId="14" xfId="5" applyNumberFormat="1" applyFont="1" applyBorder="1" applyAlignment="1">
      <alignment vertical="center"/>
    </xf>
    <xf numFmtId="0" fontId="9" fillId="0" borderId="15" xfId="5" applyFont="1" applyBorder="1" applyAlignment="1">
      <alignment horizontal="left" vertical="center" wrapText="1"/>
    </xf>
    <xf numFmtId="0" fontId="3" fillId="2" borderId="5" xfId="5" applyFont="1" applyFill="1" applyBorder="1" applyAlignment="1" applyProtection="1">
      <alignment horizontal="center" vertical="center" wrapText="1"/>
      <protection locked="0"/>
    </xf>
    <xf numFmtId="4" fontId="3" fillId="2" borderId="14" xfId="5" applyNumberFormat="1" applyFont="1" applyFill="1" applyBorder="1" applyAlignment="1">
      <alignment horizontal="center" vertical="center" wrapText="1"/>
    </xf>
    <xf numFmtId="4" fontId="3" fillId="2" borderId="7" xfId="5" applyNumberFormat="1" applyFont="1" applyFill="1" applyBorder="1" applyAlignment="1">
      <alignment horizontal="center" vertical="center" wrapText="1"/>
    </xf>
    <xf numFmtId="0" fontId="3" fillId="2" borderId="10" xfId="5" applyFont="1" applyFill="1" applyBorder="1" applyAlignment="1" applyProtection="1">
      <alignment horizontal="center" vertical="center" wrapText="1"/>
      <protection locked="0"/>
    </xf>
    <xf numFmtId="0" fontId="3" fillId="2" borderId="12" xfId="5" applyFont="1" applyFill="1" applyBorder="1" applyAlignment="1">
      <alignment horizontal="center" vertical="top"/>
    </xf>
    <xf numFmtId="4" fontId="3" fillId="2" borderId="15" xfId="5" applyNumberFormat="1" applyFont="1" applyFill="1" applyBorder="1" applyAlignment="1">
      <alignment horizontal="center" vertical="top" wrapText="1"/>
    </xf>
    <xf numFmtId="4" fontId="3" fillId="2" borderId="12" xfId="5" applyNumberFormat="1" applyFont="1" applyFill="1" applyBorder="1" applyAlignment="1">
      <alignment horizontal="center" vertical="top" wrapText="1"/>
    </xf>
    <xf numFmtId="0" fontId="3" fillId="0" borderId="1" xfId="1" applyFont="1" applyBorder="1" applyAlignment="1" applyProtection="1">
      <alignment horizontal="center" vertical="top"/>
      <protection hidden="1"/>
    </xf>
    <xf numFmtId="0" fontId="6" fillId="0" borderId="1" xfId="5" applyFont="1" applyFill="1" applyBorder="1" applyAlignment="1">
      <alignment horizontal="center" vertical="center"/>
    </xf>
    <xf numFmtId="0" fontId="7" fillId="0" borderId="1" xfId="5" applyFont="1" applyBorder="1" applyAlignment="1" applyProtection="1">
      <alignment horizontal="right"/>
      <protection hidden="1"/>
    </xf>
    <xf numFmtId="0" fontId="39" fillId="0" borderId="3" xfId="5" applyFont="1" applyBorder="1" applyAlignment="1">
      <alignment horizontal="left" vertical="center" indent="2"/>
    </xf>
    <xf numFmtId="0" fontId="6" fillId="0" borderId="4" xfId="5" applyFont="1" applyBorder="1" applyProtection="1">
      <protection locked="0"/>
    </xf>
    <xf numFmtId="0" fontId="6" fillId="0" borderId="4" xfId="5" applyFont="1" applyBorder="1" applyAlignment="1">
      <alignment horizontal="center" vertical="center" wrapText="1"/>
    </xf>
    <xf numFmtId="15" fontId="6" fillId="0" borderId="4" xfId="5" applyNumberFormat="1" applyFont="1" applyBorder="1" applyProtection="1">
      <protection locked="0"/>
    </xf>
    <xf numFmtId="4" fontId="6" fillId="0" borderId="4" xfId="5" applyNumberFormat="1" applyFont="1" applyBorder="1" applyProtection="1">
      <protection locked="0"/>
    </xf>
    <xf numFmtId="0" fontId="6" fillId="0" borderId="4" xfId="5" applyFont="1" applyBorder="1" applyAlignment="1">
      <alignment horizontal="center" vertical="center"/>
    </xf>
    <xf numFmtId="0" fontId="6" fillId="0" borderId="1" xfId="5" applyFont="1" applyBorder="1" applyAlignment="1">
      <alignment horizontal="center" vertical="center"/>
    </xf>
    <xf numFmtId="0" fontId="6" fillId="0" borderId="4" xfId="5" applyFont="1" applyBorder="1" applyAlignment="1" applyProtection="1">
      <alignment horizontal="center" vertical="center"/>
      <protection locked="0"/>
    </xf>
    <xf numFmtId="0" fontId="39" fillId="0" borderId="3" xfId="5" applyFont="1" applyBorder="1" applyAlignment="1">
      <alignment horizontal="left" vertical="center" indent="3"/>
    </xf>
    <xf numFmtId="0" fontId="39" fillId="0" borderId="3" xfId="5" applyFont="1" applyBorder="1" applyAlignment="1">
      <alignment horizontal="left" vertical="center" wrapText="1" indent="2"/>
    </xf>
    <xf numFmtId="0" fontId="6" fillId="24" borderId="4" xfId="5" applyFont="1" applyFill="1" applyBorder="1" applyProtection="1">
      <protection locked="0"/>
    </xf>
    <xf numFmtId="4" fontId="6" fillId="24" borderId="4" xfId="5" applyNumberFormat="1" applyFont="1" applyFill="1" applyBorder="1" applyProtection="1">
      <protection locked="0"/>
    </xf>
    <xf numFmtId="0" fontId="6" fillId="24" borderId="4" xfId="5" applyFont="1" applyFill="1" applyBorder="1" applyAlignment="1" applyProtection="1">
      <alignment horizontal="center" vertical="center"/>
      <protection locked="0"/>
    </xf>
    <xf numFmtId="0" fontId="7" fillId="0" borderId="1" xfId="1" applyFont="1" applyBorder="1" applyAlignment="1" applyProtection="1">
      <alignment horizontal="center" vertical="center"/>
      <protection hidden="1"/>
    </xf>
    <xf numFmtId="0" fontId="33" fillId="0" borderId="3" xfId="5" applyFont="1" applyBorder="1" applyAlignment="1">
      <alignment horizontal="left" vertical="center" wrapText="1" indent="1"/>
    </xf>
    <xf numFmtId="0" fontId="6" fillId="0" borderId="4" xfId="5" applyFont="1" applyBorder="1" applyAlignment="1" applyProtection="1">
      <alignment horizontal="center" vertical="center" wrapText="1"/>
      <protection locked="0"/>
    </xf>
    <xf numFmtId="15" fontId="6" fillId="0" borderId="0" xfId="5" applyNumberFormat="1" applyFont="1"/>
    <xf numFmtId="0" fontId="24" fillId="0" borderId="0" xfId="0" applyFont="1" applyFill="1" applyBorder="1" applyAlignment="1">
      <alignment horizontal="center" vertical="center" wrapText="1"/>
    </xf>
    <xf numFmtId="0" fontId="24" fillId="0" borderId="0" xfId="0" applyFont="1" applyFill="1" applyBorder="1" applyAlignment="1">
      <alignment horizontal="justify" vertical="center" wrapText="1"/>
    </xf>
    <xf numFmtId="0" fontId="32" fillId="0" borderId="0" xfId="0" applyFont="1" applyFill="1" applyBorder="1" applyAlignment="1">
      <alignment horizontal="justify" vertical="center" wrapText="1"/>
    </xf>
    <xf numFmtId="0" fontId="32" fillId="0" borderId="0" xfId="0" applyFont="1" applyFill="1" applyBorder="1" applyAlignment="1">
      <alignment horizontal="left" vertical="center"/>
    </xf>
    <xf numFmtId="0" fontId="32" fillId="0" borderId="11" xfId="0" applyFont="1" applyFill="1" applyBorder="1" applyAlignment="1">
      <alignment horizontal="justify" vertical="center" wrapText="1"/>
    </xf>
    <xf numFmtId="0" fontId="32" fillId="0" borderId="32" xfId="0" applyFont="1" applyFill="1" applyBorder="1" applyAlignment="1">
      <alignment horizontal="justify" vertical="center" wrapText="1"/>
    </xf>
    <xf numFmtId="0" fontId="24" fillId="2" borderId="3" xfId="0" applyFont="1" applyFill="1" applyBorder="1" applyAlignment="1">
      <alignment horizontal="left" vertical="center" wrapText="1"/>
    </xf>
    <xf numFmtId="0" fontId="24" fillId="2" borderId="4"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5" fillId="0" borderId="0" xfId="0" applyFont="1" applyFill="1"/>
    <xf numFmtId="0" fontId="32" fillId="0" borderId="0" xfId="0" applyFont="1" applyFill="1"/>
    <xf numFmtId="0" fontId="25" fillId="0" borderId="0" xfId="0" applyFont="1"/>
    <xf numFmtId="0" fontId="25" fillId="0" borderId="0" xfId="0" applyFont="1" applyFill="1" applyBorder="1"/>
    <xf numFmtId="0" fontId="25" fillId="0" borderId="29" xfId="0" applyFont="1" applyFill="1" applyBorder="1"/>
    <xf numFmtId="0" fontId="32" fillId="0" borderId="30" xfId="0" applyFont="1" applyFill="1" applyBorder="1"/>
    <xf numFmtId="0" fontId="25" fillId="0" borderId="31" xfId="0" applyFont="1" applyFill="1" applyBorder="1"/>
    <xf numFmtId="0" fontId="25" fillId="0" borderId="30" xfId="0" applyFont="1" applyFill="1" applyBorder="1"/>
    <xf numFmtId="0" fontId="25" fillId="0" borderId="13" xfId="0" applyFont="1" applyFill="1" applyBorder="1"/>
    <xf numFmtId="0" fontId="32" fillId="0" borderId="0" xfId="0" applyFont="1" applyFill="1" applyBorder="1"/>
    <xf numFmtId="0" fontId="25" fillId="0" borderId="26" xfId="0" applyFont="1" applyFill="1" applyBorder="1"/>
    <xf numFmtId="0" fontId="32" fillId="0" borderId="26" xfId="0" applyFont="1" applyFill="1" applyBorder="1"/>
    <xf numFmtId="0" fontId="32" fillId="0" borderId="0" xfId="0" applyFont="1"/>
    <xf numFmtId="0" fontId="32" fillId="0" borderId="13" xfId="0" applyFont="1" applyFill="1" applyBorder="1"/>
    <xf numFmtId="0" fontId="32" fillId="2" borderId="1" xfId="0" applyFont="1" applyFill="1" applyBorder="1"/>
    <xf numFmtId="0" fontId="32" fillId="0" borderId="8" xfId="0" applyFont="1" applyFill="1" applyBorder="1"/>
    <xf numFmtId="0" fontId="25" fillId="0" borderId="8" xfId="0" applyFont="1" applyFill="1" applyBorder="1"/>
    <xf numFmtId="0" fontId="25" fillId="0" borderId="10" xfId="0" applyFont="1" applyFill="1" applyBorder="1"/>
    <xf numFmtId="0" fontId="25" fillId="0" borderId="27" xfId="0" applyFont="1" applyFill="1" applyBorder="1"/>
    <xf numFmtId="0" fontId="25" fillId="0" borderId="32" xfId="0" applyFont="1" applyFill="1" applyBorder="1"/>
    <xf numFmtId="0" fontId="25" fillId="0" borderId="28" xfId="0" applyFont="1" applyFill="1" applyBorder="1"/>
    <xf numFmtId="0" fontId="25" fillId="0" borderId="12" xfId="0" applyFont="1" applyFill="1" applyBorder="1"/>
    <xf numFmtId="0" fontId="25" fillId="0" borderId="9" xfId="0" applyFont="1" applyFill="1" applyBorder="1"/>
    <xf numFmtId="0" fontId="25" fillId="0" borderId="11" xfId="0" applyFont="1" applyFill="1" applyBorder="1"/>
    <xf numFmtId="0" fontId="25" fillId="0" borderId="27" xfId="0" applyFont="1" applyBorder="1"/>
    <xf numFmtId="0" fontId="25" fillId="0" borderId="32" xfId="0" applyFont="1" applyBorder="1"/>
    <xf numFmtId="0" fontId="25" fillId="0" borderId="28" xfId="0" applyFont="1" applyBorder="1"/>
    <xf numFmtId="0" fontId="32" fillId="0" borderId="10" xfId="0" applyFont="1" applyFill="1" applyBorder="1"/>
    <xf numFmtId="0" fontId="32" fillId="0" borderId="32" xfId="0" applyFont="1" applyFill="1" applyBorder="1"/>
    <xf numFmtId="4" fontId="27" fillId="0" borderId="0" xfId="0" applyNumberFormat="1" applyFont="1" applyFill="1" applyBorder="1" applyAlignment="1">
      <alignment horizontal="justify" vertical="center" wrapText="1"/>
    </xf>
    <xf numFmtId="0" fontId="24" fillId="2" borderId="3" xfId="0" applyFont="1" applyFill="1" applyBorder="1" applyAlignment="1">
      <alignment horizontal="center" vertical="center" wrapText="1"/>
    </xf>
    <xf numFmtId="0" fontId="24" fillId="2" borderId="3" xfId="0" applyFont="1" applyFill="1" applyBorder="1" applyAlignment="1">
      <alignment horizontal="center" vertical="center"/>
    </xf>
    <xf numFmtId="0" fontId="32" fillId="0" borderId="5" xfId="0" applyFont="1" applyFill="1" applyBorder="1"/>
    <xf numFmtId="0" fontId="22" fillId="0" borderId="6" xfId="0" applyFont="1" applyFill="1" applyBorder="1" applyAlignment="1">
      <alignment horizontal="left" vertical="center" wrapText="1"/>
    </xf>
    <xf numFmtId="0" fontId="25" fillId="0" borderId="6" xfId="0" applyFont="1" applyFill="1" applyBorder="1" applyAlignment="1">
      <alignment horizontal="justify" vertical="center" wrapText="1"/>
    </xf>
    <xf numFmtId="0" fontId="25" fillId="0" borderId="7" xfId="0" applyFont="1" applyFill="1" applyBorder="1"/>
    <xf numFmtId="0" fontId="24" fillId="2" borderId="14"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32" fillId="2" borderId="10" xfId="0" applyFont="1" applyFill="1" applyBorder="1" applyAlignment="1">
      <alignment horizontal="center"/>
    </xf>
    <xf numFmtId="0" fontId="24" fillId="2" borderId="7" xfId="0" applyFont="1" applyFill="1" applyBorder="1" applyAlignment="1">
      <alignment horizontal="center" vertical="center"/>
    </xf>
    <xf numFmtId="0" fontId="3" fillId="2" borderId="14" xfId="5" applyFont="1" applyFill="1" applyBorder="1" applyAlignment="1">
      <alignment horizontal="center" vertical="center"/>
    </xf>
    <xf numFmtId="0" fontId="3" fillId="2" borderId="4" xfId="1" applyFont="1" applyFill="1" applyBorder="1" applyAlignment="1">
      <alignment horizontal="center" vertical="center" wrapText="1"/>
    </xf>
    <xf numFmtId="0" fontId="3" fillId="2" borderId="4" xfId="4" applyFont="1" applyFill="1" applyBorder="1" applyAlignment="1">
      <alignment horizontal="center" vertical="center"/>
    </xf>
    <xf numFmtId="0" fontId="3" fillId="2" borderId="4" xfId="4" applyFont="1" applyFill="1" applyBorder="1" applyAlignment="1">
      <alignment horizontal="center" vertical="center" wrapText="1"/>
    </xf>
    <xf numFmtId="0" fontId="24" fillId="2" borderId="2" xfId="0" applyFont="1" applyFill="1" applyBorder="1" applyAlignment="1">
      <alignment vertical="center"/>
    </xf>
    <xf numFmtId="0" fontId="32" fillId="2" borderId="7" xfId="0" applyFont="1" applyFill="1" applyBorder="1" applyAlignment="1">
      <alignment horizontal="center"/>
    </xf>
    <xf numFmtId="0" fontId="32" fillId="2" borderId="14" xfId="0" applyFont="1" applyFill="1" applyBorder="1" applyAlignment="1">
      <alignment horizontal="center"/>
    </xf>
    <xf numFmtId="0" fontId="24" fillId="2" borderId="11" xfId="0" applyFont="1" applyFill="1" applyBorder="1" applyAlignment="1">
      <alignment horizontal="center" vertical="center" wrapText="1"/>
    </xf>
    <xf numFmtId="0" fontId="24" fillId="2" borderId="2" xfId="0" applyFont="1" applyFill="1" applyBorder="1" applyAlignment="1">
      <alignment horizontal="center" vertical="center"/>
    </xf>
    <xf numFmtId="0" fontId="24" fillId="2" borderId="5" xfId="0" applyFont="1" applyFill="1" applyBorder="1" applyAlignment="1">
      <alignment horizontal="center" vertical="center"/>
    </xf>
    <xf numFmtId="0" fontId="24" fillId="0" borderId="0" xfId="0" applyFont="1" applyFill="1" applyBorder="1" applyAlignment="1">
      <alignment horizontal="center" vertical="center"/>
    </xf>
    <xf numFmtId="0" fontId="32" fillId="0" borderId="8" xfId="0" applyFont="1" applyFill="1" applyBorder="1" applyAlignment="1">
      <alignment horizontal="left" vertical="center"/>
    </xf>
    <xf numFmtId="0" fontId="32" fillId="0" borderId="8" xfId="0" applyFont="1" applyFill="1" applyBorder="1" applyAlignment="1">
      <alignment horizontal="left"/>
    </xf>
    <xf numFmtId="0" fontId="32" fillId="0" borderId="10" xfId="0" applyFont="1" applyFill="1" applyBorder="1" applyAlignment="1">
      <alignment horizontal="left" vertical="center"/>
    </xf>
    <xf numFmtId="0" fontId="32" fillId="0" borderId="32" xfId="0" applyFont="1" applyBorder="1"/>
    <xf numFmtId="49" fontId="32" fillId="0" borderId="8" xfId="0" applyNumberFormat="1" applyFont="1" applyFill="1" applyBorder="1" applyAlignment="1">
      <alignment horizontal="left"/>
    </xf>
    <xf numFmtId="0" fontId="32" fillId="2" borderId="5" xfId="0" applyFont="1" applyFill="1" applyBorder="1"/>
    <xf numFmtId="0" fontId="32" fillId="2" borderId="10" xfId="0" applyFont="1" applyFill="1" applyBorder="1"/>
    <xf numFmtId="0" fontId="24" fillId="2" borderId="12" xfId="0" applyFont="1" applyFill="1" applyBorder="1" applyAlignment="1">
      <alignment horizontal="center" vertical="center" wrapText="1"/>
    </xf>
    <xf numFmtId="0" fontId="24" fillId="2" borderId="4" xfId="0" applyFont="1" applyFill="1" applyBorder="1" applyAlignment="1">
      <alignment horizontal="center" vertical="center"/>
    </xf>
    <xf numFmtId="0" fontId="24" fillId="2" borderId="1" xfId="0" applyFont="1" applyFill="1" applyBorder="1" applyAlignment="1">
      <alignment horizontal="center" vertical="center"/>
    </xf>
    <xf numFmtId="0" fontId="9" fillId="0" borderId="14" xfId="5" applyFont="1" applyBorder="1" applyAlignment="1">
      <alignment horizontal="justify" vertical="center"/>
    </xf>
    <xf numFmtId="0" fontId="6" fillId="0" borderId="16" xfId="5" applyFont="1" applyBorder="1" applyAlignment="1">
      <alignment horizontal="left" vertical="center"/>
    </xf>
    <xf numFmtId="43" fontId="0" fillId="0" borderId="0" xfId="0" applyNumberFormat="1" applyFont="1"/>
    <xf numFmtId="0" fontId="3" fillId="0" borderId="8" xfId="1" applyFont="1" applyBorder="1" applyAlignment="1" applyProtection="1">
      <alignment horizontal="center" vertical="top"/>
      <protection locked="0"/>
    </xf>
    <xf numFmtId="0" fontId="9" fillId="0" borderId="0" xfId="4" applyFont="1" applyFill="1" applyBorder="1" applyAlignment="1" applyProtection="1">
      <alignment vertical="top" wrapText="1"/>
      <protection locked="0"/>
    </xf>
    <xf numFmtId="0" fontId="6" fillId="0" borderId="10" xfId="4" quotePrefix="1" applyFont="1" applyFill="1" applyBorder="1" applyAlignment="1" applyProtection="1">
      <alignment horizontal="center" vertical="top"/>
      <protection locked="0"/>
    </xf>
    <xf numFmtId="0" fontId="6" fillId="0" borderId="11" xfId="4" applyFont="1" applyFill="1" applyBorder="1" applyAlignment="1" applyProtection="1">
      <alignment vertical="top"/>
      <protection locked="0"/>
    </xf>
    <xf numFmtId="167" fontId="0" fillId="6" borderId="16" xfId="0" applyNumberFormat="1" applyFill="1" applyBorder="1" applyProtection="1">
      <protection locked="0"/>
    </xf>
    <xf numFmtId="166" fontId="6" fillId="8" borderId="16" xfId="0" applyNumberFormat="1" applyFont="1" applyFill="1" applyBorder="1"/>
    <xf numFmtId="0" fontId="13" fillId="0" borderId="13" xfId="6" applyFont="1" applyFill="1" applyBorder="1" applyAlignment="1" applyProtection="1">
      <alignment horizontal="left"/>
      <protection locked="0"/>
    </xf>
    <xf numFmtId="0" fontId="13" fillId="0" borderId="0" xfId="6" applyFont="1" applyFill="1" applyAlignment="1" applyProtection="1">
      <alignment horizontal="left"/>
      <protection locked="0"/>
    </xf>
    <xf numFmtId="49" fontId="6" fillId="7" borderId="16" xfId="0" applyNumberFormat="1" applyFont="1" applyFill="1" applyBorder="1" applyAlignment="1" applyProtection="1">
      <alignment horizontal="left"/>
      <protection locked="0"/>
    </xf>
    <xf numFmtId="166" fontId="6" fillId="8" borderId="16" xfId="0" applyNumberFormat="1" applyFont="1" applyFill="1" applyBorder="1" applyProtection="1">
      <protection locked="0"/>
    </xf>
    <xf numFmtId="167" fontId="6" fillId="8" borderId="16" xfId="0" applyNumberFormat="1" applyFont="1" applyFill="1" applyBorder="1" applyProtection="1">
      <protection locked="0"/>
    </xf>
    <xf numFmtId="49" fontId="6" fillId="7" borderId="16" xfId="0" applyNumberFormat="1" applyFont="1" applyFill="1" applyBorder="1" applyAlignment="1">
      <alignment horizontal="left"/>
    </xf>
    <xf numFmtId="167" fontId="6" fillId="8" borderId="16" xfId="0" applyNumberFormat="1" applyFont="1" applyFill="1" applyBorder="1"/>
    <xf numFmtId="0" fontId="6" fillId="0" borderId="0" xfId="0" applyFont="1" applyFill="1"/>
    <xf numFmtId="0" fontId="23" fillId="0" borderId="8" xfId="0" applyFont="1" applyFill="1" applyBorder="1"/>
    <xf numFmtId="10" fontId="6" fillId="0" borderId="14" xfId="7" applyNumberFormat="1" applyFont="1" applyBorder="1" applyProtection="1">
      <protection locked="0"/>
    </xf>
    <xf numFmtId="10" fontId="6" fillId="0" borderId="16" xfId="7" applyNumberFormat="1" applyFont="1" applyBorder="1" applyProtection="1">
      <protection locked="0"/>
    </xf>
    <xf numFmtId="0" fontId="6" fillId="0" borderId="11" xfId="3" applyFont="1" applyBorder="1" applyProtection="1">
      <protection locked="0"/>
    </xf>
    <xf numFmtId="4" fontId="6" fillId="0" borderId="2" xfId="3" applyNumberFormat="1" applyFont="1" applyBorder="1" applyProtection="1">
      <protection locked="0"/>
    </xf>
    <xf numFmtId="10" fontId="6" fillId="0" borderId="2" xfId="11" applyNumberFormat="1" applyFont="1" applyBorder="1" applyProtection="1">
      <protection locked="0"/>
    </xf>
    <xf numFmtId="10" fontId="6" fillId="0" borderId="3" xfId="11" applyNumberFormat="1" applyFont="1" applyBorder="1" applyProtection="1">
      <protection locked="0"/>
    </xf>
    <xf numFmtId="10" fontId="6" fillId="0" borderId="11" xfId="3" applyNumberFormat="1" applyFont="1" applyBorder="1" applyProtection="1">
      <protection locked="0"/>
    </xf>
    <xf numFmtId="10" fontId="6" fillId="0" borderId="12" xfId="3" applyNumberFormat="1" applyFont="1" applyBorder="1" applyProtection="1">
      <protection locked="0"/>
    </xf>
    <xf numFmtId="49" fontId="17" fillId="5" borderId="16" xfId="0" applyNumberFormat="1" applyFont="1" applyFill="1" applyBorder="1" applyAlignment="1" applyProtection="1">
      <alignment horizontal="left"/>
      <protection locked="0"/>
    </xf>
    <xf numFmtId="166" fontId="17" fillId="5" borderId="16" xfId="0" applyNumberFormat="1" applyFont="1" applyFill="1" applyBorder="1" applyProtection="1">
      <protection locked="0"/>
    </xf>
    <xf numFmtId="167" fontId="17" fillId="5" borderId="16" xfId="0" applyNumberFormat="1" applyFont="1" applyFill="1" applyBorder="1" applyProtection="1">
      <protection locked="0"/>
    </xf>
    <xf numFmtId="166" fontId="0" fillId="25" borderId="4" xfId="0" applyNumberFormat="1" applyFill="1" applyBorder="1"/>
    <xf numFmtId="166" fontId="17" fillId="25" borderId="16" xfId="0" applyNumberFormat="1" applyFont="1" applyFill="1" applyBorder="1"/>
    <xf numFmtId="167" fontId="17" fillId="25" borderId="16" xfId="0" applyNumberFormat="1" applyFont="1" applyFill="1" applyBorder="1"/>
    <xf numFmtId="166" fontId="0" fillId="25" borderId="16" xfId="0" applyNumberFormat="1" applyFill="1" applyBorder="1"/>
    <xf numFmtId="167" fontId="0" fillId="25" borderId="16" xfId="0" applyNumberFormat="1" applyFill="1" applyBorder="1"/>
    <xf numFmtId="49" fontId="11" fillId="25" borderId="4" xfId="0" applyNumberFormat="1" applyFont="1" applyFill="1" applyBorder="1" applyAlignment="1" applyProtection="1">
      <alignment horizontal="left"/>
      <protection locked="0"/>
    </xf>
    <xf numFmtId="49" fontId="11" fillId="25" borderId="4" xfId="0" applyNumberFormat="1" applyFont="1" applyFill="1" applyBorder="1" applyAlignment="1" applyProtection="1">
      <alignment horizontal="center"/>
      <protection locked="0"/>
    </xf>
    <xf numFmtId="49" fontId="0" fillId="25" borderId="16" xfId="0" applyNumberFormat="1" applyFill="1" applyBorder="1" applyAlignment="1" applyProtection="1">
      <alignment horizontal="left"/>
      <protection locked="0"/>
    </xf>
    <xf numFmtId="166" fontId="0" fillId="25" borderId="16" xfId="0" applyNumberFormat="1" applyFill="1" applyBorder="1" applyProtection="1">
      <protection locked="0"/>
    </xf>
    <xf numFmtId="167" fontId="0" fillId="25" borderId="16" xfId="0" applyNumberFormat="1" applyFill="1" applyBorder="1" applyProtection="1">
      <protection locked="0"/>
    </xf>
    <xf numFmtId="49" fontId="17" fillId="25" borderId="4" xfId="0" applyNumberFormat="1" applyFont="1" applyFill="1" applyBorder="1" applyAlignment="1" applyProtection="1">
      <alignment horizontal="left"/>
      <protection locked="0"/>
    </xf>
    <xf numFmtId="166" fontId="17" fillId="25" borderId="4" xfId="0" applyNumberFormat="1" applyFont="1" applyFill="1" applyBorder="1" applyProtection="1">
      <protection locked="0"/>
    </xf>
    <xf numFmtId="0" fontId="0" fillId="25" borderId="0" xfId="0" applyFill="1"/>
    <xf numFmtId="4" fontId="0" fillId="25" borderId="0" xfId="9" applyNumberFormat="1" applyFont="1" applyFill="1" applyProtection="1">
      <protection locked="0"/>
    </xf>
    <xf numFmtId="4" fontId="0" fillId="25" borderId="0" xfId="0" applyNumberFormat="1" applyFill="1" applyProtection="1">
      <protection locked="0"/>
    </xf>
    <xf numFmtId="49" fontId="0" fillId="25" borderId="4" xfId="0" applyNumberFormat="1" applyFill="1" applyBorder="1" applyAlignment="1" applyProtection="1">
      <alignment horizontal="left"/>
      <protection locked="0"/>
    </xf>
    <xf numFmtId="166" fontId="0" fillId="25" borderId="4" xfId="0" applyNumberFormat="1" applyFill="1" applyBorder="1" applyProtection="1">
      <protection locked="0"/>
    </xf>
    <xf numFmtId="49" fontId="0" fillId="25" borderId="4" xfId="0" applyNumberFormat="1" applyFont="1" applyFill="1" applyBorder="1" applyAlignment="1" applyProtection="1">
      <alignment horizontal="left"/>
      <protection locked="0"/>
    </xf>
    <xf numFmtId="169" fontId="0" fillId="25" borderId="4" xfId="0" applyNumberFormat="1" applyFont="1" applyFill="1" applyBorder="1" applyProtection="1">
      <protection locked="0"/>
    </xf>
    <xf numFmtId="49" fontId="0" fillId="25" borderId="16" xfId="0" applyNumberFormat="1" applyFont="1" applyFill="1" applyBorder="1" applyAlignment="1" applyProtection="1">
      <alignment horizontal="left"/>
      <protection locked="0"/>
    </xf>
    <xf numFmtId="167" fontId="0" fillId="25" borderId="16" xfId="0" applyNumberFormat="1" applyFont="1" applyFill="1" applyBorder="1" applyProtection="1">
      <protection locked="0"/>
    </xf>
    <xf numFmtId="169" fontId="0" fillId="25" borderId="16" xfId="0" applyNumberFormat="1" applyFont="1" applyFill="1" applyBorder="1" applyProtection="1">
      <protection locked="0"/>
    </xf>
    <xf numFmtId="0" fontId="3" fillId="2" borderId="4" xfId="5" applyFont="1" applyFill="1" applyBorder="1" applyAlignment="1">
      <alignment horizontal="center" vertical="center"/>
    </xf>
    <xf numFmtId="4" fontId="3" fillId="2" borderId="4" xfId="5" applyNumberFormat="1" applyFont="1" applyFill="1" applyBorder="1" applyAlignment="1">
      <alignment horizontal="center" vertical="center" wrapText="1"/>
    </xf>
    <xf numFmtId="0" fontId="24" fillId="17" borderId="4" xfId="0" applyFont="1" applyFill="1" applyBorder="1" applyAlignment="1">
      <alignment horizontal="center" vertical="center"/>
    </xf>
    <xf numFmtId="0" fontId="24" fillId="17" borderId="4" xfId="0" applyFont="1" applyFill="1" applyBorder="1" applyAlignment="1">
      <alignment horizontal="center" vertical="center" wrapText="1"/>
    </xf>
    <xf numFmtId="0" fontId="3" fillId="2" borderId="7" xfId="5" applyFont="1" applyFill="1" applyBorder="1" applyAlignment="1">
      <alignment horizontal="center" vertical="center"/>
    </xf>
    <xf numFmtId="0" fontId="3" fillId="2" borderId="15" xfId="5" applyFont="1" applyFill="1" applyBorder="1" applyAlignment="1">
      <alignment horizontal="center" vertical="center" wrapText="1"/>
    </xf>
    <xf numFmtId="0" fontId="40" fillId="3" borderId="0" xfId="0" applyFont="1" applyFill="1"/>
    <xf numFmtId="0" fontId="41" fillId="0" borderId="0" xfId="0" applyFont="1"/>
    <xf numFmtId="0" fontId="40" fillId="0" borderId="0" xfId="0" applyFont="1"/>
    <xf numFmtId="0" fontId="41" fillId="0" borderId="0" xfId="0" applyFont="1" applyAlignment="1">
      <alignment horizontal="left"/>
    </xf>
    <xf numFmtId="0" fontId="13" fillId="0" borderId="0" xfId="5" applyFont="1" applyFill="1" applyAlignment="1" applyProtection="1">
      <alignment horizontal="justify" vertical="center" wrapText="1"/>
      <protection locked="0"/>
    </xf>
    <xf numFmtId="0" fontId="13" fillId="0" borderId="0" xfId="0" applyFont="1" applyAlignment="1">
      <alignment vertical="center"/>
    </xf>
    <xf numFmtId="49" fontId="6" fillId="7" borderId="9" xfId="0" applyNumberFormat="1" applyFont="1" applyFill="1" applyBorder="1" applyAlignment="1">
      <alignment horizontal="left"/>
    </xf>
    <xf numFmtId="43" fontId="6" fillId="8" borderId="16" xfId="9" applyFont="1" applyFill="1" applyBorder="1"/>
    <xf numFmtId="43" fontId="6" fillId="8" borderId="8" xfId="9" applyFont="1" applyFill="1" applyBorder="1"/>
    <xf numFmtId="49" fontId="11" fillId="25" borderId="15" xfId="0" applyNumberFormat="1" applyFont="1" applyFill="1" applyBorder="1" applyAlignment="1" applyProtection="1">
      <alignment horizontal="center"/>
      <protection locked="0"/>
    </xf>
    <xf numFmtId="43" fontId="6" fillId="25" borderId="0" xfId="9" applyFont="1" applyFill="1"/>
    <xf numFmtId="43" fontId="0" fillId="0" borderId="0" xfId="0" applyNumberFormat="1"/>
    <xf numFmtId="49" fontId="17" fillId="25" borderId="0" xfId="0" applyNumberFormat="1" applyFont="1" applyFill="1" applyBorder="1" applyAlignment="1" applyProtection="1">
      <alignment horizontal="left"/>
      <protection locked="0"/>
    </xf>
    <xf numFmtId="166" fontId="17" fillId="25" borderId="0" xfId="0" applyNumberFormat="1" applyFont="1" applyFill="1" applyBorder="1" applyProtection="1">
      <protection locked="0"/>
    </xf>
    <xf numFmtId="167" fontId="17" fillId="25" borderId="4" xfId="0" applyNumberFormat="1" applyFont="1" applyFill="1" applyBorder="1" applyProtection="1">
      <protection locked="0"/>
    </xf>
    <xf numFmtId="169" fontId="17" fillId="25" borderId="4" xfId="0" applyNumberFormat="1" applyFont="1" applyFill="1" applyBorder="1" applyProtection="1">
      <protection locked="0"/>
    </xf>
    <xf numFmtId="49" fontId="12" fillId="25" borderId="4" xfId="0" applyNumberFormat="1" applyFont="1" applyFill="1" applyBorder="1" applyAlignment="1" applyProtection="1">
      <alignment horizontal="left"/>
      <protection locked="0"/>
    </xf>
    <xf numFmtId="166" fontId="12" fillId="25" borderId="4" xfId="0" applyNumberFormat="1" applyFont="1" applyFill="1" applyBorder="1" applyProtection="1">
      <protection locked="0"/>
    </xf>
    <xf numFmtId="49" fontId="42" fillId="25" borderId="16" xfId="0" applyNumberFormat="1" applyFont="1" applyFill="1" applyBorder="1" applyAlignment="1" applyProtection="1">
      <alignment horizontal="left"/>
      <protection locked="0"/>
    </xf>
    <xf numFmtId="166" fontId="42" fillId="25" borderId="16" xfId="0" applyNumberFormat="1" applyFont="1" applyFill="1" applyBorder="1" applyProtection="1">
      <protection locked="0"/>
    </xf>
    <xf numFmtId="167" fontId="42" fillId="25" borderId="16" xfId="0" applyNumberFormat="1" applyFont="1" applyFill="1" applyBorder="1" applyProtection="1">
      <protection locked="0"/>
    </xf>
    <xf numFmtId="0" fontId="12" fillId="0" borderId="0" xfId="0" applyFont="1"/>
    <xf numFmtId="49" fontId="0" fillId="9" borderId="16" xfId="0" applyNumberFormat="1" applyFill="1" applyBorder="1" applyAlignment="1" applyProtection="1">
      <alignment horizontal="left"/>
      <protection locked="0"/>
    </xf>
    <xf numFmtId="166" fontId="0" fillId="9" borderId="16" xfId="0" applyNumberFormat="1" applyFill="1" applyBorder="1" applyProtection="1">
      <protection locked="0"/>
    </xf>
    <xf numFmtId="167" fontId="0" fillId="9" borderId="16" xfId="0" applyNumberFormat="1" applyFill="1" applyBorder="1" applyProtection="1">
      <protection locked="0"/>
    </xf>
    <xf numFmtId="4" fontId="3" fillId="2" borderId="15" xfId="5" applyNumberFormat="1" applyFont="1" applyFill="1" applyBorder="1" applyAlignment="1">
      <alignment horizontal="center" vertical="center" wrapText="1"/>
    </xf>
    <xf numFmtId="0" fontId="5" fillId="0" borderId="0" xfId="5" applyFont="1" applyFill="1" applyBorder="1" applyAlignment="1" applyProtection="1"/>
    <xf numFmtId="0" fontId="6" fillId="0" borderId="14" xfId="3" applyFont="1" applyBorder="1" applyProtection="1"/>
    <xf numFmtId="14" fontId="6" fillId="0" borderId="14" xfId="3" applyNumberFormat="1" applyFont="1" applyBorder="1" applyProtection="1"/>
    <xf numFmtId="4" fontId="6" fillId="0" borderId="14" xfId="0" applyNumberFormat="1" applyFont="1" applyBorder="1" applyAlignment="1" applyProtection="1">
      <alignment horizontal="right" vertical="top"/>
      <protection locked="0"/>
    </xf>
    <xf numFmtId="0" fontId="6" fillId="0" borderId="14" xfId="3" applyFont="1" applyFill="1" applyBorder="1" applyProtection="1"/>
    <xf numFmtId="14" fontId="6" fillId="0" borderId="16" xfId="3" applyNumberFormat="1" applyFont="1" applyBorder="1" applyProtection="1"/>
    <xf numFmtId="0" fontId="6" fillId="0" borderId="16" xfId="3" applyFont="1" applyFill="1" applyBorder="1" applyProtection="1"/>
    <xf numFmtId="14" fontId="6" fillId="0" borderId="15" xfId="3" applyNumberFormat="1" applyFont="1" applyBorder="1" applyProtection="1"/>
    <xf numFmtId="0" fontId="6" fillId="0" borderId="15" xfId="3" applyFont="1" applyFill="1" applyBorder="1" applyProtection="1"/>
    <xf numFmtId="0" fontId="25" fillId="0" borderId="0" xfId="0" applyFont="1" applyAlignment="1">
      <alignment horizontal="left" vertical="center"/>
    </xf>
    <xf numFmtId="0" fontId="6" fillId="0" borderId="8" xfId="3" applyNumberFormat="1" applyFont="1" applyFill="1" applyBorder="1" applyAlignment="1" applyProtection="1">
      <alignment horizontal="center"/>
    </xf>
    <xf numFmtId="0" fontId="25" fillId="0" borderId="0" xfId="0" applyFont="1" applyBorder="1" applyAlignment="1">
      <alignment horizontal="left" vertical="center"/>
    </xf>
    <xf numFmtId="0" fontId="6" fillId="0" borderId="4" xfId="5" applyFont="1" applyBorder="1" applyAlignment="1" applyProtection="1">
      <alignment wrapText="1"/>
      <protection locked="0"/>
    </xf>
    <xf numFmtId="4" fontId="44" fillId="25" borderId="0" xfId="9" applyNumberFormat="1" applyFont="1" applyFill="1" applyProtection="1">
      <protection locked="0"/>
    </xf>
    <xf numFmtId="0" fontId="4" fillId="0" borderId="0" xfId="1" applyFont="1" applyAlignment="1" applyProtection="1">
      <alignment horizontal="left" vertical="top" wrapText="1"/>
      <protection locked="0"/>
    </xf>
    <xf numFmtId="0" fontId="3" fillId="2" borderId="4" xfId="1" applyFont="1" applyFill="1" applyBorder="1" applyAlignment="1" applyProtection="1">
      <alignment horizontal="center" vertical="center"/>
      <protection locked="0"/>
    </xf>
    <xf numFmtId="0" fontId="3" fillId="2" borderId="4" xfId="1" applyFont="1" applyFill="1" applyBorder="1" applyAlignment="1" applyProtection="1">
      <alignment horizontal="center" vertical="center" wrapText="1"/>
      <protection locked="0"/>
    </xf>
    <xf numFmtId="4" fontId="3" fillId="2" borderId="4" xfId="1" applyNumberFormat="1" applyFont="1" applyFill="1" applyBorder="1" applyAlignment="1" applyProtection="1">
      <alignment horizontal="center" vertical="center" wrapText="1"/>
      <protection locked="0"/>
    </xf>
    <xf numFmtId="165" fontId="3" fillId="2" borderId="4" xfId="2" applyNumberFormat="1" applyFont="1" applyFill="1" applyBorder="1" applyAlignment="1" applyProtection="1">
      <alignment horizontal="center" vertical="center" wrapText="1"/>
      <protection locked="0"/>
    </xf>
    <xf numFmtId="4" fontId="3" fillId="2" borderId="14" xfId="1" applyNumberFormat="1" applyFont="1" applyFill="1" applyBorder="1" applyAlignment="1" applyProtection="1">
      <alignment horizontal="center" vertical="center" wrapText="1"/>
      <protection locked="0"/>
    </xf>
    <xf numFmtId="4" fontId="3" fillId="2" borderId="16" xfId="1" applyNumberFormat="1" applyFont="1" applyFill="1" applyBorder="1" applyAlignment="1" applyProtection="1">
      <alignment horizontal="center" vertical="center" wrapText="1"/>
      <protection locked="0"/>
    </xf>
    <xf numFmtId="4" fontId="3" fillId="2" borderId="15" xfId="1" applyNumberFormat="1" applyFont="1" applyFill="1" applyBorder="1" applyAlignment="1" applyProtection="1">
      <alignment horizontal="center" vertical="center" wrapText="1"/>
      <protection locked="0"/>
    </xf>
    <xf numFmtId="0" fontId="4" fillId="0" borderId="0" xfId="1" applyFont="1" applyAlignment="1" applyProtection="1">
      <alignment horizontal="left" vertical="top"/>
      <protection locked="0"/>
    </xf>
    <xf numFmtId="0" fontId="3" fillId="2" borderId="1" xfId="5" applyFont="1" applyFill="1" applyBorder="1" applyAlignment="1" applyProtection="1">
      <alignment horizontal="center" vertical="center" wrapText="1"/>
      <protection locked="0"/>
    </xf>
    <xf numFmtId="0" fontId="3" fillId="2" borderId="2" xfId="5" applyFont="1" applyFill="1" applyBorder="1" applyAlignment="1" applyProtection="1">
      <alignment horizontal="center" vertical="center" wrapText="1"/>
      <protection locked="0"/>
    </xf>
    <xf numFmtId="0" fontId="3" fillId="2" borderId="3" xfId="5" applyFont="1" applyFill="1" applyBorder="1" applyAlignment="1" applyProtection="1">
      <alignment horizontal="center" vertical="center" wrapText="1"/>
      <protection locked="0"/>
    </xf>
    <xf numFmtId="0" fontId="3" fillId="2" borderId="1" xfId="1" applyFont="1" applyFill="1" applyBorder="1" applyAlignment="1" applyProtection="1">
      <alignment horizontal="center" vertical="center" wrapText="1"/>
      <protection locked="0"/>
    </xf>
    <xf numFmtId="0" fontId="3" fillId="2" borderId="2" xfId="1" applyFont="1" applyFill="1" applyBorder="1" applyAlignment="1" applyProtection="1">
      <alignment horizontal="center" vertical="center" wrapText="1"/>
      <protection locked="0"/>
    </xf>
    <xf numFmtId="0" fontId="3" fillId="2" borderId="3" xfId="1" applyFont="1" applyFill="1" applyBorder="1" applyAlignment="1" applyProtection="1">
      <alignment horizontal="center" vertical="center" wrapText="1"/>
      <protection locked="0"/>
    </xf>
    <xf numFmtId="0" fontId="3" fillId="2" borderId="14" xfId="1" applyFont="1" applyFill="1" applyBorder="1" applyAlignment="1" applyProtection="1">
      <alignment horizontal="center" vertical="center" wrapText="1"/>
      <protection locked="0"/>
    </xf>
    <xf numFmtId="0" fontId="3" fillId="2" borderId="14" xfId="1" applyFont="1" applyFill="1" applyBorder="1" applyAlignment="1" applyProtection="1">
      <alignment horizontal="center" vertical="center"/>
      <protection locked="0"/>
    </xf>
    <xf numFmtId="0" fontId="3" fillId="2" borderId="0"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3" fillId="2" borderId="11" xfId="3" applyFont="1" applyFill="1" applyBorder="1" applyAlignment="1" applyProtection="1">
      <alignment horizontal="center" vertical="center" wrapText="1"/>
      <protection locked="0"/>
    </xf>
    <xf numFmtId="0" fontId="3" fillId="2" borderId="12" xfId="3"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4" xfId="5" applyFont="1" applyFill="1" applyBorder="1" applyAlignment="1" applyProtection="1">
      <alignment horizontal="center" vertical="center" wrapText="1"/>
      <protection locked="0"/>
    </xf>
    <xf numFmtId="0" fontId="3" fillId="2" borderId="4" xfId="5" applyFont="1" applyFill="1" applyBorder="1" applyAlignment="1" applyProtection="1">
      <alignment horizontal="center" vertical="center"/>
      <protection locked="0"/>
    </xf>
    <xf numFmtId="4" fontId="3" fillId="2" borderId="4" xfId="5" applyNumberFormat="1" applyFont="1" applyFill="1" applyBorder="1" applyAlignment="1" applyProtection="1">
      <alignment horizontal="center" vertical="center" wrapText="1"/>
      <protection locked="0"/>
    </xf>
    <xf numFmtId="0" fontId="3" fillId="2" borderId="1" xfId="4" applyFont="1" applyFill="1" applyBorder="1" applyAlignment="1" applyProtection="1">
      <alignment horizontal="center" vertical="center" wrapText="1"/>
      <protection locked="0"/>
    </xf>
    <xf numFmtId="0" fontId="3" fillId="2" borderId="2" xfId="4" applyFont="1" applyFill="1" applyBorder="1" applyAlignment="1" applyProtection="1">
      <alignment horizontal="center" vertical="center" wrapText="1"/>
      <protection locked="0"/>
    </xf>
    <xf numFmtId="0" fontId="3" fillId="2" borderId="3" xfId="4" applyFont="1" applyFill="1" applyBorder="1" applyAlignment="1" applyProtection="1">
      <alignment horizontal="center" vertical="center" wrapText="1"/>
      <protection locked="0"/>
    </xf>
    <xf numFmtId="0" fontId="3" fillId="2" borderId="5" xfId="4" applyFont="1" applyFill="1" applyBorder="1" applyAlignment="1" applyProtection="1">
      <alignment horizontal="center" vertical="center" wrapText="1"/>
      <protection locked="0"/>
    </xf>
    <xf numFmtId="0" fontId="3" fillId="2" borderId="6" xfId="4" applyFont="1" applyFill="1" applyBorder="1" applyAlignment="1" applyProtection="1">
      <alignment horizontal="center" vertical="center" wrapText="1"/>
      <protection locked="0"/>
    </xf>
    <xf numFmtId="0" fontId="3" fillId="2" borderId="7" xfId="4" applyFont="1" applyFill="1" applyBorder="1" applyAlignment="1" applyProtection="1">
      <alignment horizontal="center" vertical="center" wrapText="1"/>
      <protection locked="0"/>
    </xf>
    <xf numFmtId="0" fontId="3" fillId="2" borderId="8" xfId="4" applyFont="1" applyFill="1" applyBorder="1" applyAlignment="1" applyProtection="1">
      <alignment horizontal="center" vertical="center" wrapText="1"/>
      <protection locked="0"/>
    </xf>
    <xf numFmtId="0" fontId="3" fillId="2" borderId="0" xfId="4" applyFont="1" applyFill="1" applyBorder="1" applyAlignment="1" applyProtection="1">
      <alignment horizontal="center" vertical="center" wrapText="1"/>
      <protection locked="0"/>
    </xf>
    <xf numFmtId="0" fontId="3" fillId="2" borderId="9" xfId="4" applyFont="1" applyFill="1" applyBorder="1" applyAlignment="1" applyProtection="1">
      <alignment horizontal="center" vertical="center" wrapText="1"/>
      <protection locked="0"/>
    </xf>
    <xf numFmtId="0" fontId="3" fillId="2" borderId="10" xfId="4" applyFont="1" applyFill="1" applyBorder="1" applyAlignment="1" applyProtection="1">
      <alignment horizontal="center" vertical="center" wrapText="1"/>
      <protection locked="0"/>
    </xf>
    <xf numFmtId="0" fontId="3" fillId="2" borderId="11" xfId="4" applyFont="1" applyFill="1" applyBorder="1" applyAlignment="1" applyProtection="1">
      <alignment horizontal="center" vertical="center" wrapText="1"/>
      <protection locked="0"/>
    </xf>
    <xf numFmtId="0" fontId="3" fillId="2" borderId="12" xfId="4" applyFont="1" applyFill="1" applyBorder="1" applyAlignment="1" applyProtection="1">
      <alignment horizontal="center" vertical="center" wrapText="1"/>
      <protection locked="0"/>
    </xf>
    <xf numFmtId="0" fontId="3" fillId="2" borderId="4" xfId="4" applyFont="1" applyFill="1" applyBorder="1" applyAlignment="1" applyProtection="1">
      <alignment horizontal="center" vertical="center" wrapText="1"/>
      <protection locked="0"/>
    </xf>
    <xf numFmtId="0" fontId="3" fillId="2" borderId="4" xfId="4" applyFont="1" applyFill="1" applyBorder="1" applyAlignment="1" applyProtection="1">
      <alignment horizontal="center" vertical="center"/>
      <protection locked="0"/>
    </xf>
    <xf numFmtId="0" fontId="3" fillId="2" borderId="20" xfId="0" applyFont="1" applyFill="1" applyBorder="1" applyAlignment="1" applyProtection="1">
      <alignment horizontal="right" vertical="center"/>
      <protection locked="0"/>
    </xf>
    <xf numFmtId="0" fontId="3" fillId="2" borderId="21" xfId="0" applyFont="1" applyFill="1" applyBorder="1" applyAlignment="1" applyProtection="1">
      <alignment horizontal="right" vertical="center"/>
      <protection locked="0"/>
    </xf>
    <xf numFmtId="0" fontId="4" fillId="0" borderId="0" xfId="1" applyFont="1" applyAlignment="1" applyProtection="1">
      <alignment horizontal="center" vertical="top"/>
      <protection locked="0"/>
    </xf>
    <xf numFmtId="0" fontId="4" fillId="0" borderId="0" xfId="1" applyFont="1" applyBorder="1" applyAlignment="1" applyProtection="1">
      <alignment horizontal="left" vertical="top" wrapText="1"/>
      <protection locked="0"/>
    </xf>
    <xf numFmtId="0" fontId="3" fillId="2" borderId="4" xfId="1" applyFont="1" applyFill="1" applyBorder="1" applyAlignment="1">
      <alignment horizontal="center" vertical="center"/>
    </xf>
    <xf numFmtId="0" fontId="3" fillId="2" borderId="4" xfId="1" applyFont="1" applyFill="1" applyBorder="1" applyAlignment="1">
      <alignment horizontal="center" vertical="center" wrapText="1"/>
    </xf>
    <xf numFmtId="165" fontId="3" fillId="2" borderId="4" xfId="2" applyNumberFormat="1" applyFont="1" applyFill="1" applyBorder="1" applyAlignment="1">
      <alignment horizontal="center" vertical="center" wrapText="1"/>
    </xf>
    <xf numFmtId="4" fontId="3" fillId="2" borderId="4" xfId="1" applyNumberFormat="1" applyFont="1" applyFill="1" applyBorder="1" applyAlignment="1">
      <alignment horizontal="center" vertical="center" wrapText="1"/>
    </xf>
    <xf numFmtId="4" fontId="3" fillId="2" borderId="4" xfId="5" applyNumberFormat="1" applyFont="1" applyFill="1" applyBorder="1" applyAlignment="1">
      <alignment horizontal="center" vertical="center" wrapText="1"/>
    </xf>
    <xf numFmtId="0" fontId="4" fillId="0" borderId="0" xfId="1" applyFont="1" applyAlignment="1">
      <alignment horizontal="left" vertical="top" wrapText="1"/>
    </xf>
    <xf numFmtId="0" fontId="3" fillId="2" borderId="4" xfId="5" applyFont="1" applyFill="1" applyBorder="1" applyAlignment="1">
      <alignment horizontal="center" vertical="center"/>
    </xf>
    <xf numFmtId="0" fontId="3" fillId="2" borderId="4" xfId="5" applyFont="1" applyFill="1" applyBorder="1" applyAlignment="1">
      <alignment horizontal="center" vertical="center" wrapText="1"/>
    </xf>
    <xf numFmtId="0" fontId="4" fillId="0" borderId="0" xfId="1" applyFont="1" applyAlignment="1" applyProtection="1">
      <alignment horizontal="left" vertical="top"/>
    </xf>
    <xf numFmtId="0" fontId="4" fillId="0" borderId="0" xfId="1" applyFont="1" applyAlignment="1" applyProtection="1">
      <alignment horizontal="center" vertical="top"/>
    </xf>
    <xf numFmtId="0" fontId="4" fillId="0" borderId="0" xfId="1" applyFont="1" applyAlignment="1" applyProtection="1">
      <alignment horizontal="left" vertical="top" wrapText="1"/>
    </xf>
    <xf numFmtId="0" fontId="3" fillId="2" borderId="14" xfId="4" applyFont="1" applyFill="1" applyBorder="1" applyAlignment="1">
      <alignment horizontal="center" vertical="center"/>
    </xf>
    <xf numFmtId="0" fontId="3" fillId="2" borderId="15" xfId="4" applyFont="1" applyFill="1" applyBorder="1" applyAlignment="1">
      <alignment horizontal="center" vertical="center"/>
    </xf>
    <xf numFmtId="0" fontId="3" fillId="2" borderId="14" xfId="4" applyFont="1" applyFill="1" applyBorder="1" applyAlignment="1">
      <alignment horizontal="center" vertical="center" wrapText="1"/>
    </xf>
    <xf numFmtId="0" fontId="3" fillId="2" borderId="15" xfId="4" applyFont="1" applyFill="1" applyBorder="1" applyAlignment="1">
      <alignment horizontal="center" vertical="center" wrapText="1"/>
    </xf>
    <xf numFmtId="0" fontId="3" fillId="2" borderId="4" xfId="4" applyFont="1" applyFill="1" applyBorder="1" applyAlignment="1">
      <alignment horizontal="center" vertical="center"/>
    </xf>
    <xf numFmtId="0" fontId="3" fillId="2" borderId="4" xfId="4" applyFont="1" applyFill="1" applyBorder="1" applyAlignment="1">
      <alignment horizontal="center" vertical="center" wrapText="1"/>
    </xf>
    <xf numFmtId="0" fontId="43" fillId="0" borderId="4" xfId="0" applyFont="1" applyBorder="1" applyAlignment="1">
      <alignment horizontal="center" wrapText="1" readingOrder="1"/>
    </xf>
    <xf numFmtId="0" fontId="43" fillId="0" borderId="4" xfId="0" applyFont="1" applyBorder="1" applyAlignment="1">
      <alignment horizontal="center" vertical="center" wrapText="1" readingOrder="1"/>
    </xf>
    <xf numFmtId="0" fontId="3" fillId="10" borderId="1" xfId="1" applyFont="1" applyFill="1" applyBorder="1" applyAlignment="1" applyProtection="1">
      <alignment horizontal="center" vertical="center" wrapText="1"/>
      <protection locked="0"/>
    </xf>
    <xf numFmtId="0" fontId="3" fillId="10" borderId="2" xfId="1" applyFont="1" applyFill="1" applyBorder="1" applyAlignment="1" applyProtection="1">
      <alignment horizontal="center" vertical="center" wrapText="1"/>
      <protection locked="0"/>
    </xf>
    <xf numFmtId="0" fontId="3" fillId="10" borderId="3" xfId="1" applyFont="1" applyFill="1" applyBorder="1" applyAlignment="1" applyProtection="1">
      <alignment horizontal="center" vertical="center" wrapText="1"/>
      <protection locked="0"/>
    </xf>
    <xf numFmtId="0" fontId="3" fillId="2" borderId="0" xfId="3" applyFont="1" applyFill="1" applyBorder="1" applyAlignment="1" applyProtection="1">
      <alignment horizontal="center" vertical="center" wrapText="1"/>
      <protection locked="0"/>
    </xf>
    <xf numFmtId="0" fontId="3" fillId="2" borderId="9" xfId="3" applyFont="1" applyFill="1" applyBorder="1" applyAlignment="1" applyProtection="1">
      <alignment horizontal="center" vertical="center" wrapText="1"/>
      <protection locked="0"/>
    </xf>
    <xf numFmtId="0" fontId="3" fillId="2" borderId="1" xfId="4" applyFont="1" applyFill="1" applyBorder="1" applyAlignment="1">
      <alignment horizontal="center" vertical="center"/>
    </xf>
    <xf numFmtId="0" fontId="3" fillId="2" borderId="3" xfId="4" applyFont="1" applyFill="1" applyBorder="1" applyAlignment="1">
      <alignment horizontal="center" vertical="center"/>
    </xf>
    <xf numFmtId="0" fontId="3" fillId="2" borderId="4" xfId="3" applyFont="1" applyFill="1" applyBorder="1" applyAlignment="1" applyProtection="1">
      <alignment horizontal="center" wrapText="1"/>
      <protection locked="0"/>
    </xf>
    <xf numFmtId="0" fontId="3" fillId="2" borderId="10" xfId="1" applyFont="1" applyFill="1" applyBorder="1" applyAlignment="1" applyProtection="1">
      <alignment horizontal="center" vertical="center" wrapText="1"/>
      <protection locked="0"/>
    </xf>
    <xf numFmtId="0" fontId="3" fillId="2" borderId="11" xfId="1" applyFont="1" applyFill="1" applyBorder="1" applyAlignment="1" applyProtection="1">
      <alignment horizontal="center" vertical="center" wrapText="1"/>
      <protection locked="0"/>
    </xf>
    <xf numFmtId="0" fontId="3" fillId="2" borderId="1" xfId="8" applyFont="1" applyFill="1" applyBorder="1" applyAlignment="1" applyProtection="1">
      <alignment horizontal="center" vertical="center" wrapText="1"/>
      <protection locked="0"/>
    </xf>
    <xf numFmtId="0" fontId="3" fillId="2" borderId="2" xfId="8" applyFont="1" applyFill="1" applyBorder="1" applyAlignment="1" applyProtection="1">
      <alignment horizontal="center" vertical="center" wrapText="1"/>
      <protection locked="0"/>
    </xf>
    <xf numFmtId="0" fontId="22" fillId="0" borderId="30" xfId="0" applyFont="1" applyFill="1" applyBorder="1" applyAlignment="1">
      <alignment horizontal="center" vertical="center"/>
    </xf>
    <xf numFmtId="0" fontId="22" fillId="0" borderId="0" xfId="0" applyFont="1" applyFill="1" applyBorder="1" applyAlignment="1">
      <alignment horizontal="center" vertical="center" wrapText="1"/>
    </xf>
    <xf numFmtId="0" fontId="22" fillId="0" borderId="0" xfId="0" applyFont="1" applyFill="1" applyBorder="1" applyAlignment="1">
      <alignment horizontal="center" vertical="center"/>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3" xfId="0" applyFont="1" applyFill="1" applyBorder="1" applyAlignment="1">
      <alignment horizontal="center" vertical="center"/>
    </xf>
    <xf numFmtId="0" fontId="24" fillId="2" borderId="4" xfId="0" applyFont="1" applyFill="1" applyBorder="1" applyAlignment="1">
      <alignment horizontal="center" vertical="center"/>
    </xf>
    <xf numFmtId="0" fontId="24" fillId="2" borderId="1" xfId="0" applyFont="1" applyFill="1" applyBorder="1" applyAlignment="1">
      <alignment horizontal="center" vertical="center"/>
    </xf>
    <xf numFmtId="0" fontId="32" fillId="2" borderId="5" xfId="0" applyFont="1" applyFill="1" applyBorder="1" applyAlignment="1">
      <alignment horizontal="center"/>
    </xf>
    <xf numFmtId="0" fontId="32" fillId="2" borderId="8" xfId="0" applyFont="1" applyFill="1" applyBorder="1" applyAlignment="1">
      <alignment horizontal="center"/>
    </xf>
    <xf numFmtId="0" fontId="32" fillId="2" borderId="10" xfId="0" applyFont="1" applyFill="1" applyBorder="1" applyAlignment="1">
      <alignment horizontal="center"/>
    </xf>
    <xf numFmtId="0" fontId="24" fillId="2" borderId="7" xfId="0" applyFont="1" applyFill="1" applyBorder="1" applyAlignment="1">
      <alignment horizontal="center" vertical="center"/>
    </xf>
    <xf numFmtId="0" fontId="24" fillId="2" borderId="9" xfId="0" applyFont="1" applyFill="1" applyBorder="1" applyAlignment="1">
      <alignment horizontal="center" vertical="center"/>
    </xf>
    <xf numFmtId="0" fontId="24" fillId="2" borderId="12" xfId="0" applyFont="1" applyFill="1" applyBorder="1" applyAlignment="1">
      <alignment horizontal="center" vertical="center"/>
    </xf>
    <xf numFmtId="0" fontId="24" fillId="2" borderId="15" xfId="0" applyFont="1" applyFill="1" applyBorder="1" applyAlignment="1">
      <alignment horizontal="center"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2" fillId="20" borderId="4" xfId="0" applyFont="1" applyFill="1" applyBorder="1" applyAlignment="1">
      <alignment vertical="center" wrapText="1"/>
    </xf>
    <xf numFmtId="0" fontId="24" fillId="17" borderId="14" xfId="0" applyFont="1" applyFill="1" applyBorder="1" applyAlignment="1">
      <alignment horizontal="center" vertical="center"/>
    </xf>
    <xf numFmtId="0" fontId="24" fillId="17" borderId="16" xfId="0" applyFont="1" applyFill="1" applyBorder="1" applyAlignment="1">
      <alignment horizontal="center" vertical="center"/>
    </xf>
    <xf numFmtId="0" fontId="24" fillId="17" borderId="15" xfId="0" applyFont="1" applyFill="1" applyBorder="1" applyAlignment="1">
      <alignment horizontal="center" vertical="center"/>
    </xf>
    <xf numFmtId="0" fontId="24" fillId="17" borderId="4" xfId="0" applyFont="1" applyFill="1" applyBorder="1" applyAlignment="1">
      <alignment vertical="center" wrapText="1"/>
    </xf>
    <xf numFmtId="0" fontId="24" fillId="17" borderId="4" xfId="0" applyFont="1" applyFill="1" applyBorder="1" applyAlignment="1">
      <alignment horizontal="center" vertical="center"/>
    </xf>
    <xf numFmtId="0" fontId="24" fillId="17" borderId="4" xfId="0" applyFont="1" applyFill="1" applyBorder="1" applyAlignment="1">
      <alignment horizontal="center" vertical="center" wrapText="1"/>
    </xf>
    <xf numFmtId="0" fontId="22" fillId="11" borderId="1" xfId="0" applyFont="1" applyFill="1" applyBorder="1" applyAlignment="1">
      <alignment horizontal="left" vertical="center" wrapText="1"/>
    </xf>
    <xf numFmtId="0" fontId="22" fillId="11" borderId="2" xfId="0" applyFont="1" applyFill="1" applyBorder="1" applyAlignment="1">
      <alignment horizontal="left" vertical="center" wrapText="1"/>
    </xf>
    <xf numFmtId="0" fontId="22" fillId="11" borderId="3" xfId="0" applyFont="1" applyFill="1" applyBorder="1" applyAlignment="1">
      <alignment horizontal="left" vertical="center" wrapText="1"/>
    </xf>
    <xf numFmtId="0" fontId="22" fillId="19" borderId="4" xfId="0" applyFont="1" applyFill="1" applyBorder="1" applyAlignment="1">
      <alignment vertical="center" wrapText="1"/>
    </xf>
    <xf numFmtId="0" fontId="22" fillId="0" borderId="4" xfId="0" applyFont="1" applyBorder="1" applyAlignment="1">
      <alignment vertical="center" wrapText="1"/>
    </xf>
    <xf numFmtId="0" fontId="3" fillId="2" borderId="5" xfId="5" applyFont="1" applyFill="1" applyBorder="1" applyAlignment="1">
      <alignment horizontal="center" vertical="center" wrapText="1"/>
    </xf>
    <xf numFmtId="0" fontId="3" fillId="2" borderId="6" xfId="5" applyFont="1" applyFill="1" applyBorder="1" applyAlignment="1">
      <alignment horizontal="center" vertical="center"/>
    </xf>
    <xf numFmtId="0" fontId="3" fillId="2" borderId="7" xfId="5" applyFont="1" applyFill="1" applyBorder="1" applyAlignment="1">
      <alignment horizontal="center" vertical="center"/>
    </xf>
    <xf numFmtId="0" fontId="3" fillId="2" borderId="1" xfId="5" applyFont="1" applyFill="1" applyBorder="1" applyAlignment="1">
      <alignment horizontal="center" vertical="center" wrapText="1"/>
    </xf>
    <xf numFmtId="0" fontId="3" fillId="2" borderId="2" xfId="5" applyFont="1" applyFill="1" applyBorder="1" applyAlignment="1">
      <alignment horizontal="center" vertical="center"/>
    </xf>
    <xf numFmtId="0" fontId="3" fillId="2" borderId="3" xfId="5" applyFont="1" applyFill="1" applyBorder="1" applyAlignment="1">
      <alignment horizontal="center" vertical="center"/>
    </xf>
    <xf numFmtId="0" fontId="3" fillId="2" borderId="14" xfId="5" applyFont="1" applyFill="1" applyBorder="1" applyAlignment="1">
      <alignment horizontal="center" vertical="center"/>
    </xf>
    <xf numFmtId="0" fontId="3" fillId="2" borderId="16" xfId="5" applyFont="1" applyFill="1" applyBorder="1" applyAlignment="1">
      <alignment horizontal="center" vertical="center"/>
    </xf>
    <xf numFmtId="0" fontId="3" fillId="2" borderId="15" xfId="5" applyFont="1" applyFill="1" applyBorder="1" applyAlignment="1">
      <alignment horizontal="center" vertical="center"/>
    </xf>
    <xf numFmtId="0" fontId="3" fillId="2" borderId="14" xfId="5" applyFont="1" applyFill="1" applyBorder="1" applyAlignment="1">
      <alignment horizontal="center" vertical="center" wrapText="1"/>
    </xf>
    <xf numFmtId="0" fontId="3" fillId="2" borderId="16" xfId="5" applyFont="1" applyFill="1" applyBorder="1" applyAlignment="1">
      <alignment horizontal="center" vertical="center" wrapText="1"/>
    </xf>
    <xf numFmtId="0" fontId="3" fillId="2" borderId="15" xfId="5" applyFont="1" applyFill="1" applyBorder="1" applyAlignment="1">
      <alignment horizontal="center" vertical="center" wrapText="1"/>
    </xf>
    <xf numFmtId="0" fontId="3" fillId="2" borderId="29" xfId="5" applyFont="1" applyFill="1" applyBorder="1" applyAlignment="1">
      <alignment horizontal="center" vertical="center" wrapText="1"/>
    </xf>
    <xf numFmtId="0" fontId="3" fillId="2" borderId="30" xfId="5" applyFont="1" applyFill="1" applyBorder="1" applyAlignment="1">
      <alignment horizontal="center" vertical="center"/>
    </xf>
    <xf numFmtId="0" fontId="3" fillId="2" borderId="31" xfId="5" applyFont="1" applyFill="1" applyBorder="1" applyAlignment="1">
      <alignment horizontal="center" vertical="center"/>
    </xf>
    <xf numFmtId="0" fontId="3" fillId="2" borderId="4" xfId="5" applyFont="1" applyFill="1" applyBorder="1" applyAlignment="1">
      <alignment vertical="center"/>
    </xf>
    <xf numFmtId="0" fontId="3" fillId="2" borderId="8" xfId="5" applyFont="1" applyFill="1" applyBorder="1" applyAlignment="1">
      <alignment horizontal="center" vertical="center"/>
    </xf>
    <xf numFmtId="0" fontId="3" fillId="2" borderId="0" xfId="5" applyFont="1" applyFill="1" applyBorder="1" applyAlignment="1">
      <alignment horizontal="center" vertical="center"/>
    </xf>
    <xf numFmtId="0" fontId="3" fillId="2" borderId="9" xfId="5" applyFont="1" applyFill="1" applyBorder="1" applyAlignment="1">
      <alignment horizontal="center" vertical="center"/>
    </xf>
    <xf numFmtId="0" fontId="3" fillId="2" borderId="10" xfId="5" applyFont="1" applyFill="1" applyBorder="1" applyAlignment="1">
      <alignment horizontal="center" vertical="center"/>
    </xf>
    <xf numFmtId="0" fontId="3" fillId="2" borderId="11" xfId="5" applyFont="1" applyFill="1" applyBorder="1" applyAlignment="1">
      <alignment horizontal="center" vertical="center"/>
    </xf>
    <xf numFmtId="0" fontId="3" fillId="2" borderId="12" xfId="5" applyFont="1" applyFill="1" applyBorder="1" applyAlignment="1">
      <alignment horizontal="center" vertical="center"/>
    </xf>
    <xf numFmtId="0" fontId="3" fillId="2" borderId="1" xfId="5" applyFont="1" applyFill="1" applyBorder="1" applyAlignment="1">
      <alignment vertical="center"/>
    </xf>
    <xf numFmtId="0" fontId="3" fillId="2" borderId="3" xfId="5" applyFont="1" applyFill="1" applyBorder="1" applyAlignment="1">
      <alignment vertical="center"/>
    </xf>
    <xf numFmtId="0" fontId="3" fillId="2" borderId="2" xfId="5" applyFont="1" applyFill="1" applyBorder="1" applyAlignment="1">
      <alignment horizontal="center" vertical="center" wrapText="1"/>
    </xf>
    <xf numFmtId="0" fontId="35" fillId="2" borderId="1" xfId="5" applyFont="1" applyFill="1" applyBorder="1" applyAlignment="1">
      <alignment horizontal="center" vertical="center" wrapText="1"/>
    </xf>
    <xf numFmtId="0" fontId="35" fillId="2" borderId="2" xfId="5" applyFont="1" applyFill="1" applyBorder="1" applyAlignment="1">
      <alignment horizontal="center" vertical="center"/>
    </xf>
    <xf numFmtId="0" fontId="35" fillId="2" borderId="3" xfId="5" applyFont="1" applyFill="1" applyBorder="1" applyAlignment="1">
      <alignment horizontal="center" vertical="center"/>
    </xf>
    <xf numFmtId="0" fontId="35" fillId="2" borderId="4" xfId="5" applyFont="1" applyFill="1" applyBorder="1" applyAlignment="1">
      <alignment horizontal="center" vertical="center"/>
    </xf>
    <xf numFmtId="0" fontId="3" fillId="2" borderId="3" xfId="5" applyFont="1" applyFill="1" applyBorder="1" applyAlignment="1">
      <alignment horizontal="center" vertical="center" wrapText="1"/>
    </xf>
    <xf numFmtId="0" fontId="5" fillId="0" borderId="2" xfId="5" applyFont="1" applyFill="1" applyBorder="1" applyAlignment="1" applyProtection="1">
      <alignment vertical="center"/>
    </xf>
    <xf numFmtId="0" fontId="5" fillId="0" borderId="3" xfId="5" applyFont="1" applyFill="1" applyBorder="1" applyAlignment="1" applyProtection="1">
      <alignment vertical="center"/>
    </xf>
    <xf numFmtId="4" fontId="3" fillId="2" borderId="1" xfId="5" applyNumberFormat="1" applyFont="1" applyFill="1" applyBorder="1" applyAlignment="1">
      <alignment horizontal="center" vertical="center" wrapText="1"/>
    </xf>
    <xf numFmtId="4" fontId="3" fillId="2" borderId="3" xfId="5" applyNumberFormat="1" applyFont="1" applyFill="1" applyBorder="1" applyAlignment="1">
      <alignment horizontal="center" vertical="center" wrapText="1"/>
    </xf>
    <xf numFmtId="0" fontId="9" fillId="0" borderId="2" xfId="5" applyFont="1" applyFill="1" applyBorder="1" applyAlignment="1">
      <alignment horizontal="left" vertical="center" wrapText="1" indent="1"/>
    </xf>
    <xf numFmtId="0" fontId="9" fillId="0" borderId="3" xfId="5" applyFont="1" applyFill="1" applyBorder="1" applyAlignment="1">
      <alignment horizontal="left" vertical="center" wrapText="1" indent="1"/>
    </xf>
    <xf numFmtId="0" fontId="9" fillId="0" borderId="2" xfId="5" applyFont="1" applyFill="1" applyBorder="1" applyAlignment="1">
      <alignment horizontal="left" vertical="center" wrapText="1"/>
    </xf>
    <xf numFmtId="0" fontId="9" fillId="0" borderId="3" xfId="5" applyFont="1" applyFill="1" applyBorder="1" applyAlignment="1">
      <alignment horizontal="left" vertical="center" wrapText="1"/>
    </xf>
    <xf numFmtId="0" fontId="39" fillId="0" borderId="2" xfId="5" applyFont="1" applyFill="1" applyBorder="1" applyAlignment="1">
      <alignment horizontal="left" vertical="center" wrapText="1" indent="1"/>
    </xf>
    <xf numFmtId="0" fontId="39" fillId="0" borderId="3" xfId="5" applyFont="1" applyFill="1" applyBorder="1" applyAlignment="1">
      <alignment horizontal="left" vertical="center" wrapText="1" indent="1"/>
    </xf>
    <xf numFmtId="49" fontId="11" fillId="25" borderId="15" xfId="0" applyNumberFormat="1" applyFont="1" applyFill="1" applyBorder="1" applyAlignment="1" applyProtection="1">
      <alignment horizontal="left"/>
      <protection locked="0"/>
    </xf>
    <xf numFmtId="0" fontId="45" fillId="26" borderId="33" xfId="0" applyFont="1" applyFill="1" applyBorder="1" applyAlignment="1">
      <alignment horizontal="center" vertical="center" wrapText="1"/>
    </xf>
    <xf numFmtId="0" fontId="45" fillId="26" borderId="34" xfId="0" applyFont="1" applyFill="1" applyBorder="1" applyAlignment="1">
      <alignment horizontal="center" vertical="center"/>
    </xf>
    <xf numFmtId="0" fontId="45" fillId="26" borderId="35" xfId="0" applyFont="1" applyFill="1" applyBorder="1" applyAlignment="1">
      <alignment horizontal="center" vertical="center"/>
    </xf>
  </cellXfs>
  <cellStyles count="13">
    <cellStyle name="Hipervínculo" xfId="12" builtinId="8"/>
    <cellStyle name="Millares" xfId="9" builtinId="3"/>
    <cellStyle name="Millares 2" xfId="2"/>
    <cellStyle name="Normal" xfId="0" builtinId="0"/>
    <cellStyle name="Normal 2" xfId="3"/>
    <cellStyle name="Normal 2 2" xfId="1"/>
    <cellStyle name="Normal 2 3" xfId="4"/>
    <cellStyle name="Normal 2 3 2" xfId="8"/>
    <cellStyle name="Normal 3" xfId="5"/>
    <cellStyle name="Normal 4 2" xfId="6"/>
    <cellStyle name="Normal_141008Reportes Cuadros Institucionales-sectorialesADV" xfId="10"/>
    <cellStyle name="Porcentaje" xfId="11" builtinId="5"/>
    <cellStyle name="Porcentaje 2" xfId="7"/>
  </cellStyles>
  <dxfs count="48">
    <dxf>
      <fill>
        <patternFill patternType="solid">
          <fgColor rgb="FF800080"/>
          <bgColor rgb="FF000000"/>
        </patternFill>
      </fill>
    </dxf>
    <dxf>
      <font>
        <b val="0"/>
        <i val="0"/>
        <strike val="0"/>
        <condense val="0"/>
        <extend val="0"/>
        <outline val="0"/>
        <shadow val="0"/>
        <u val="none"/>
        <vertAlign val="baseline"/>
        <sz val="8"/>
        <color theme="1"/>
        <name val="Arial"/>
        <scheme val="none"/>
      </font>
      <numFmt numFmtId="166" formatCode="#,##0.00;\-#,##0.00;&quot; &quot;"/>
      <fill>
        <patternFill patternType="solid">
          <fgColor indexed="64"/>
          <bgColor indexed="10"/>
        </patternFill>
      </fill>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8"/>
        <color theme="1"/>
        <name val="Arial"/>
        <scheme val="none"/>
      </font>
      <numFmt numFmtId="166" formatCode="#,##0.00;\-#,##0.00;&quot; &quot;"/>
      <fill>
        <patternFill patternType="solid">
          <fgColor indexed="64"/>
          <bgColor indexed="10"/>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numFmt numFmtId="166" formatCode="#,##0.00;\-#,##0.00;&quot; &quot;"/>
      <fill>
        <patternFill patternType="solid">
          <fgColor indexed="64"/>
          <bgColor indexed="10"/>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numFmt numFmtId="166" formatCode="#,##0.00;\-#,##0.00;&quot; &quot;"/>
      <fill>
        <patternFill patternType="solid">
          <fgColor indexed="64"/>
          <bgColor indexed="10"/>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numFmt numFmtId="166" formatCode="#,##0.00;\-#,##0.00;&quot; &quot;"/>
      <fill>
        <patternFill patternType="solid">
          <fgColor indexed="64"/>
          <bgColor indexed="10"/>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numFmt numFmtId="167" formatCode="#,##0;\-#,##0;&quot; &quot;"/>
      <fill>
        <patternFill patternType="solid">
          <fgColor indexed="64"/>
          <bgColor indexed="10"/>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numFmt numFmtId="166" formatCode="#,##0.00;\-#,##0.00;&quot; &quot;"/>
      <fill>
        <patternFill patternType="solid">
          <fgColor indexed="64"/>
          <bgColor indexed="10"/>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solid">
          <fgColor indexed="64"/>
          <bgColor indexed="20"/>
        </patternFill>
      </fill>
      <alignment horizontal="lef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rgb="FFFF0000"/>
        <name val="Arial"/>
        <scheme val="none"/>
      </font>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rgb="FFFF0000"/>
        <name val="Arial"/>
        <scheme val="none"/>
      </font>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rgb="FFFF0000"/>
        <name val="Arial"/>
        <scheme val="none"/>
      </font>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rgb="FFFF0000"/>
        <name val="Arial"/>
        <scheme val="none"/>
      </font>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rgb="FFFF0000"/>
        <name val="Arial"/>
        <scheme val="none"/>
      </font>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rgb="FFFF0000"/>
        <name val="Arial"/>
        <scheme val="none"/>
      </font>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rgb="FFFF0000"/>
        <name val="Arial"/>
        <scheme val="none"/>
      </font>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rgb="FFFF0000"/>
        <name val="Arial"/>
        <scheme val="none"/>
      </font>
      <alignment horizontal="left" vertical="bottom" textRotation="0" wrapText="0" indent="0" justifyLastLine="0" shrinkToFit="0" readingOrder="0"/>
      <border diagonalUp="0" diagonalDown="0">
        <left style="medium">
          <color indexed="64"/>
        </left>
        <right/>
        <top/>
        <bottom/>
        <vertical/>
        <horizontal/>
      </border>
      <protection locked="0" hidden="0"/>
    </dxf>
    <dxf>
      <border outline="0">
        <right style="thin">
          <color indexed="64"/>
        </right>
      </border>
    </dxf>
    <dxf>
      <font>
        <b val="0"/>
        <i val="0"/>
        <strike val="0"/>
        <condense val="0"/>
        <extend val="0"/>
        <outline val="0"/>
        <shadow val="0"/>
        <u val="none"/>
        <vertAlign val="baseline"/>
        <sz val="8"/>
        <color theme="1"/>
        <name val="Arial"/>
        <scheme val="none"/>
      </font>
      <fill>
        <patternFill patternType="solid">
          <fgColor indexed="64"/>
          <bgColor indexed="10"/>
        </patternFill>
      </fill>
    </dxf>
    <dxf>
      <font>
        <b/>
        <i val="0"/>
        <strike val="0"/>
        <condense val="0"/>
        <extend val="0"/>
        <outline val="0"/>
        <shadow val="0"/>
        <u val="none"/>
        <vertAlign val="baseline"/>
        <sz val="8"/>
        <color auto="1"/>
        <name val="Arial"/>
        <scheme val="none"/>
      </font>
      <numFmt numFmtId="30" formatCode="@"/>
      <fill>
        <patternFill patternType="solid">
          <fgColor indexed="64"/>
          <bgColor indexed="17"/>
        </patternFill>
      </fill>
      <alignment horizontal="general" vertical="top" textRotation="0" wrapText="0" indent="0" justifyLastLine="0" shrinkToFit="0" readingOrder="0"/>
      <border diagonalUp="0" diagonalDown="0" outline="0">
        <left style="thin">
          <color indexed="64"/>
        </left>
        <right style="thin">
          <color indexed="64"/>
        </right>
        <top/>
        <bottom/>
      </border>
    </dxf>
    <dxf>
      <fill>
        <patternFill patternType="solid">
          <fgColor rgb="FF800080"/>
          <bgColor rgb="FF000000"/>
        </patternFill>
      </fill>
    </dxf>
    <dxf>
      <font>
        <b val="0"/>
        <i val="0"/>
        <strike val="0"/>
        <condense val="0"/>
        <extend val="0"/>
        <outline val="0"/>
        <shadow val="0"/>
        <u val="none"/>
        <vertAlign val="baseline"/>
        <sz val="8"/>
        <color theme="1"/>
        <name val="Arial"/>
        <scheme val="none"/>
      </font>
      <fill>
        <patternFill patternType="solid">
          <fgColor indexed="64"/>
          <bgColor indexed="10"/>
        </patternFill>
      </fill>
      <border diagonalUp="0" diagonalDown="0">
        <left style="thin">
          <color indexed="64"/>
        </left>
        <right/>
        <top/>
        <bottom/>
        <vertical/>
        <horizontal/>
      </border>
    </dxf>
    <dxf>
      <font>
        <b val="0"/>
        <i val="0"/>
        <strike val="0"/>
        <condense val="0"/>
        <extend val="0"/>
        <outline val="0"/>
        <shadow val="0"/>
        <u val="none"/>
        <vertAlign val="baseline"/>
        <sz val="8"/>
        <color theme="1"/>
        <name val="Arial"/>
        <scheme val="none"/>
      </font>
      <fill>
        <patternFill patternType="solid">
          <fgColor indexed="64"/>
          <bgColor indexed="10"/>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fill>
        <patternFill patternType="solid">
          <fgColor indexed="64"/>
          <bgColor indexed="10"/>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fill>
        <patternFill patternType="solid">
          <fgColor indexed="64"/>
          <bgColor indexed="10"/>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fill>
        <patternFill patternType="solid">
          <fgColor indexed="64"/>
          <bgColor indexed="10"/>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solid">
          <fgColor indexed="64"/>
          <bgColor indexed="2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rgb="FFFF0000"/>
        <name val="Arial"/>
        <scheme val="none"/>
      </font>
      <alignment vertical="center" textRotation="0" indent="0" justifyLastLine="0" shrinkToFit="0" readingOrder="0"/>
    </dxf>
    <dxf>
      <font>
        <b val="0"/>
        <i val="0"/>
        <strike val="0"/>
        <condense val="0"/>
        <extend val="0"/>
        <outline val="0"/>
        <shadow val="0"/>
        <u val="none"/>
        <vertAlign val="baseline"/>
        <sz val="8"/>
        <color rgb="FFFF0000"/>
        <name val="Arial"/>
        <scheme val="none"/>
      </font>
      <fill>
        <patternFill patternType="none">
          <fgColor indexed="64"/>
          <bgColor indexed="65"/>
        </patternFill>
      </fill>
      <alignment horizontal="justify" vertical="center" textRotation="0" wrapText="1" indent="0" justifyLastLine="0" shrinkToFit="0" readingOrder="0"/>
      <protection locked="0" hidden="0"/>
    </dxf>
    <dxf>
      <font>
        <b val="0"/>
        <i val="0"/>
        <strike val="0"/>
        <condense val="0"/>
        <extend val="0"/>
        <outline val="0"/>
        <shadow val="0"/>
        <u val="none"/>
        <vertAlign val="baseline"/>
        <sz val="8"/>
        <color rgb="FFFF0000"/>
        <name val="Arial"/>
        <scheme val="none"/>
      </font>
      <fill>
        <patternFill patternType="none">
          <fgColor indexed="64"/>
          <bgColor indexed="65"/>
        </patternFill>
      </fill>
      <alignment horizontal="justify" vertical="center" textRotation="0" wrapText="1" indent="0" justifyLastLine="0" shrinkToFit="0" readingOrder="0"/>
      <protection locked="0" hidden="0"/>
    </dxf>
    <dxf>
      <font>
        <b val="0"/>
        <i val="0"/>
        <strike val="0"/>
        <condense val="0"/>
        <extend val="0"/>
        <outline val="0"/>
        <shadow val="0"/>
        <u val="none"/>
        <vertAlign val="baseline"/>
        <sz val="8"/>
        <color rgb="FFFF0000"/>
        <name val="Arial"/>
        <scheme val="none"/>
      </font>
      <fill>
        <patternFill patternType="none">
          <fgColor indexed="64"/>
          <bgColor indexed="65"/>
        </patternFill>
      </fill>
      <alignment horizontal="justify" vertical="center" textRotation="0" wrapText="1" indent="0" justifyLastLine="0" shrinkToFit="0" readingOrder="0"/>
      <protection locked="0" hidden="0"/>
    </dxf>
    <dxf>
      <border outline="0">
        <right style="thin">
          <color indexed="64"/>
        </right>
      </border>
    </dxf>
    <dxf>
      <font>
        <b val="0"/>
        <i val="0"/>
        <strike val="0"/>
        <condense val="0"/>
        <extend val="0"/>
        <outline val="0"/>
        <shadow val="0"/>
        <u val="none"/>
        <vertAlign val="baseline"/>
        <sz val="8"/>
        <color theme="1"/>
        <name val="Arial"/>
        <scheme val="none"/>
      </font>
      <fill>
        <patternFill patternType="solid">
          <fgColor indexed="64"/>
          <bgColor indexed="10"/>
        </patternFill>
      </fill>
    </dxf>
    <dxf>
      <font>
        <b/>
        <i val="0"/>
        <strike val="0"/>
        <condense val="0"/>
        <extend val="0"/>
        <outline val="0"/>
        <shadow val="0"/>
        <u val="none"/>
        <vertAlign val="baseline"/>
        <sz val="8"/>
        <color auto="1"/>
        <name val="Arial"/>
        <scheme val="none"/>
      </font>
      <fill>
        <patternFill patternType="solid">
          <fgColor indexed="64"/>
          <bgColor indexed="17"/>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66" formatCode="#,##0.00;\-#,##0.00;&quot; &quot;"/>
      <fill>
        <patternFill patternType="solid">
          <fgColor indexed="64"/>
          <bgColor indexed="10"/>
        </patternFill>
      </fill>
      <border diagonalUp="0" diagonalDown="0">
        <left style="thin">
          <color indexed="64"/>
        </left>
        <right style="thin">
          <color indexed="64"/>
        </right>
        <top/>
        <bottom/>
        <vertical/>
        <horizontal/>
      </border>
      <protection locked="0" hidden="0"/>
    </dxf>
    <dxf>
      <numFmt numFmtId="167" formatCode="#,##0;\-#,##0;&quot; &quot;"/>
      <fill>
        <patternFill patternType="solid">
          <fgColor indexed="64"/>
          <bgColor indexed="10"/>
        </patternFill>
      </fill>
      <border diagonalUp="0" diagonalDown="0">
        <left style="thin">
          <color indexed="64"/>
        </left>
        <right style="thin">
          <color indexed="64"/>
        </right>
        <top/>
        <bottom/>
        <vertical/>
        <horizontal/>
      </border>
      <protection locked="0" hidden="0"/>
    </dxf>
    <dxf>
      <numFmt numFmtId="166" formatCode="#,##0.00;\-#,##0.00;&quot; &quot;"/>
      <fill>
        <patternFill patternType="solid">
          <fgColor indexed="64"/>
          <bgColor indexed="10"/>
        </patternFill>
      </fill>
      <border diagonalUp="0" diagonalDown="0">
        <left style="thin">
          <color indexed="64"/>
        </left>
        <right style="thin">
          <color indexed="64"/>
        </right>
        <top/>
        <bottom/>
        <vertical/>
        <horizontal/>
      </border>
      <protection locked="0" hidden="0"/>
    </dxf>
    <dxf>
      <numFmt numFmtId="166" formatCode="#,##0.00;\-#,##0.00;&quot; &quot;"/>
      <fill>
        <patternFill patternType="solid">
          <fgColor indexed="64"/>
          <bgColor indexed="10"/>
        </patternFill>
      </fill>
      <border diagonalUp="0" diagonalDown="0">
        <left style="thin">
          <color indexed="64"/>
        </left>
        <right style="thin">
          <color indexed="64"/>
        </right>
        <top/>
        <bottom/>
        <vertical/>
        <horizontal/>
      </border>
      <protection locked="0" hidden="0"/>
    </dxf>
    <dxf>
      <numFmt numFmtId="167" formatCode="#,##0;\-#,##0;&quot; &quot;"/>
      <fill>
        <patternFill patternType="solid">
          <fgColor indexed="64"/>
          <bgColor indexed="10"/>
        </patternFill>
      </fill>
      <border diagonalUp="0" diagonalDown="0">
        <left style="thin">
          <color indexed="64"/>
        </left>
        <right style="thin">
          <color indexed="64"/>
        </right>
        <top/>
        <bottom/>
        <vertical/>
        <horizontal/>
      </border>
      <protection locked="0" hidden="0"/>
    </dxf>
    <dxf>
      <numFmt numFmtId="166" formatCode="#,##0.00;\-#,##0.00;&quot; &quot;"/>
      <fill>
        <patternFill patternType="solid">
          <fgColor indexed="64"/>
          <bgColor indexed="10"/>
        </patternFill>
      </fill>
      <border diagonalUp="0" diagonalDown="0">
        <left style="thin">
          <color indexed="64"/>
        </left>
        <right style="thin">
          <color indexed="64"/>
        </right>
        <top/>
        <bottom/>
        <vertical/>
        <horizontal/>
      </border>
      <protection locked="0" hidden="0"/>
    </dxf>
    <dxf>
      <numFmt numFmtId="166" formatCode="#,##0.00;\-#,##0.00;&quot; &quot;"/>
      <fill>
        <patternFill patternType="solid">
          <fgColor indexed="64"/>
          <bgColor indexed="10"/>
        </patternFill>
      </fill>
      <border diagonalUp="0" diagonalDown="0">
        <left style="thin">
          <color indexed="64"/>
        </left>
        <right style="thin">
          <color indexed="64"/>
        </right>
        <top/>
        <bottom/>
        <vertical/>
        <horizontal/>
      </border>
      <protection locked="0" hidden="0"/>
    </dxf>
    <dxf>
      <numFmt numFmtId="167" formatCode="#,##0;\-#,##0;&quot; &quot;"/>
      <fill>
        <patternFill patternType="solid">
          <fgColor indexed="64"/>
          <bgColor indexed="10"/>
        </patternFill>
      </fill>
      <border diagonalUp="0" diagonalDown="0">
        <left style="thin">
          <color indexed="64"/>
        </left>
        <right style="thin">
          <color indexed="64"/>
        </right>
        <top/>
        <bottom/>
        <vertical/>
        <horizontal/>
      </border>
      <protection locked="0" hidden="0"/>
    </dxf>
    <dxf>
      <numFmt numFmtId="166" formatCode="#,##0.00;\-#,##0.00;&quot; &quot;"/>
      <fill>
        <patternFill patternType="solid">
          <fgColor indexed="64"/>
          <bgColor indexed="10"/>
        </patternFill>
      </fill>
      <border diagonalUp="0" diagonalDown="0">
        <left style="thin">
          <color indexed="64"/>
        </left>
        <right style="thin">
          <color indexed="64"/>
        </right>
        <top/>
        <bottom/>
        <vertical/>
        <horizontal/>
      </border>
      <protection locked="0" hidden="0"/>
    </dxf>
    <dxf>
      <numFmt numFmtId="166" formatCode="#,##0.00;\-#,##0.00;&quot; &quot;"/>
      <fill>
        <patternFill patternType="solid">
          <fgColor indexed="64"/>
          <bgColor indexed="10"/>
        </patternFill>
      </fill>
      <border diagonalUp="0" diagonalDown="0">
        <left style="thin">
          <color indexed="64"/>
        </left>
        <right style="thin">
          <color indexed="64"/>
        </right>
        <top/>
        <bottom/>
        <vertical/>
        <horizontal/>
      </border>
      <protection locked="0" hidden="0"/>
    </dxf>
    <dxf>
      <numFmt numFmtId="30" formatCode="@"/>
      <fill>
        <patternFill patternType="solid">
          <fgColor indexed="64"/>
          <bgColor indexed="20"/>
        </patternFill>
      </fill>
      <alignment horizontal="left" vertical="bottom" textRotation="0" wrapText="0" indent="0" justifyLastLine="0" shrinkToFit="0" readingOrder="0"/>
      <border diagonalUp="0" diagonalDown="0">
        <left style="thin">
          <color indexed="64"/>
        </left>
        <right style="thin">
          <color indexed="64"/>
        </right>
        <top/>
        <bottom/>
        <vertical/>
        <horizontal/>
      </border>
      <protection locked="0" hidden="0"/>
    </dxf>
    <dxf>
      <font>
        <b val="0"/>
        <i val="0"/>
        <strike val="0"/>
        <condense val="0"/>
        <extend val="0"/>
        <outline val="0"/>
        <shadow val="0"/>
        <u val="none"/>
        <vertAlign val="baseline"/>
        <sz val="10"/>
        <color auto="1"/>
        <name val="Arial"/>
        <scheme val="none"/>
      </font>
      <numFmt numFmtId="0" formatCode="General"/>
      <alignment horizontal="left" vertical="bottom" textRotation="0" wrapText="0" indent="0" justifyLastLine="0" shrinkToFit="0" readingOrder="0"/>
      <border diagonalUp="0" diagonalDown="0">
        <left style="thin">
          <color indexed="64"/>
        </left>
        <right/>
        <top style="thin">
          <color theme="4" tint="0.39997558519241921"/>
        </top>
        <bottom/>
        <vertical/>
        <horizontal/>
      </border>
    </dxf>
    <dxf>
      <border outline="0">
        <top style="thin">
          <color theme="4" tint="0.39997558519241921"/>
        </top>
      </border>
    </dxf>
    <dxf>
      <font>
        <b/>
        <i val="0"/>
        <strike val="0"/>
        <condense val="0"/>
        <extend val="0"/>
        <outline val="0"/>
        <shadow val="0"/>
        <u val="none"/>
        <vertAlign val="baseline"/>
        <sz val="11"/>
        <color auto="1"/>
        <name val="Arial"/>
        <scheme val="none"/>
      </font>
      <numFmt numFmtId="30" formatCode="@"/>
      <fill>
        <patternFill patternType="solid">
          <fgColor indexed="64"/>
          <bgColor rgb="FFFFFF00"/>
        </patternFill>
      </fill>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twoCellAnchor>
    <xdr:from>
      <xdr:col>97</xdr:col>
      <xdr:colOff>1110614</xdr:colOff>
      <xdr:row>19</xdr:row>
      <xdr:rowOff>9525</xdr:rowOff>
    </xdr:from>
    <xdr:to>
      <xdr:col>98</xdr:col>
      <xdr:colOff>3809</xdr:colOff>
      <xdr:row>20</xdr:row>
      <xdr:rowOff>106741</xdr:rowOff>
    </xdr:to>
    <xdr:sp macro="" textlink="">
      <xdr:nvSpPr>
        <xdr:cNvPr id="111" name="5 CuadroTexto">
          <a:extLst>
            <a:ext uri="{FF2B5EF4-FFF2-40B4-BE49-F238E27FC236}">
              <a16:creationId xmlns:a16="http://schemas.microsoft.com/office/drawing/2014/main" xmlns="" id="{00000000-0008-0000-0200-00006F000000}"/>
            </a:ext>
          </a:extLst>
        </xdr:cNvPr>
        <xdr:cNvSpPr txBox="1"/>
      </xdr:nvSpPr>
      <xdr:spPr>
        <a:xfrm>
          <a:off x="4090034" y="3331845"/>
          <a:ext cx="5715" cy="2267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a:latin typeface="Arial" pitchFamily="34" charset="0"/>
              <a:cs typeface="Arial" pitchFamily="34" charset="0"/>
            </a:rPr>
            <a:t>Firma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145</xdr:col>
      <xdr:colOff>1110614</xdr:colOff>
      <xdr:row>19</xdr:row>
      <xdr:rowOff>9525</xdr:rowOff>
    </xdr:from>
    <xdr:to>
      <xdr:col>146</xdr:col>
      <xdr:colOff>3809</xdr:colOff>
      <xdr:row>20</xdr:row>
      <xdr:rowOff>106741</xdr:rowOff>
    </xdr:to>
    <xdr:sp macro="" textlink="">
      <xdr:nvSpPr>
        <xdr:cNvPr id="2" name="5 CuadroTexto">
          <a:extLst>
            <a:ext uri="{FF2B5EF4-FFF2-40B4-BE49-F238E27FC236}">
              <a16:creationId xmlns:a16="http://schemas.microsoft.com/office/drawing/2014/main" xmlns="" id="{00000000-0008-0000-0400-000002000000}"/>
            </a:ext>
          </a:extLst>
        </xdr:cNvPr>
        <xdr:cNvSpPr txBox="1"/>
      </xdr:nvSpPr>
      <xdr:spPr>
        <a:xfrm>
          <a:off x="100079174" y="3034665"/>
          <a:ext cx="5715" cy="2267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a:latin typeface="Arial" pitchFamily="34" charset="0"/>
              <a:cs typeface="Arial" pitchFamily="34" charset="0"/>
            </a:rPr>
            <a:t>Firma</a:t>
          </a:r>
        </a:p>
      </xdr:txBody>
    </xdr:sp>
    <xdr:clientData/>
  </xdr:twoCellAnchor>
</xdr:wsDr>
</file>

<file path=xl/tables/table1.xml><?xml version="1.0" encoding="utf-8"?>
<table xmlns="http://schemas.openxmlformats.org/spreadsheetml/2006/main" id="1" name="BC" displayName="BC" ref="B2:M215" totalsRowShown="0" headerRowDxfId="47" tableBorderDxfId="46" headerRowCellStyle="Normal 2 2">
  <autoFilter ref="B2:M215"/>
  <tableColumns count="12">
    <tableColumn id="1" name="PC" dataDxfId="45" dataCellStyle="Normal 2 2"/>
    <tableColumn id="2" name="CUENTA" dataDxfId="44"/>
    <tableColumn id="3" name="2014" dataDxfId="43"/>
    <tableColumn id="4" name="2015C" dataDxfId="42"/>
    <tableColumn id="5" name="2015A" dataDxfId="41"/>
    <tableColumn id="6" name="2015" dataDxfId="40"/>
    <tableColumn id="7" name="2016C" dataDxfId="39"/>
    <tableColumn id="8" name="2016A" dataDxfId="38"/>
    <tableColumn id="9" name="2016" dataDxfId="37"/>
    <tableColumn id="10" name="2017C" dataDxfId="36"/>
    <tableColumn id="11" name="2017A" dataDxfId="35"/>
    <tableColumn id="12" name="2017" dataDxfId="34"/>
  </tableColumns>
  <tableStyleInfo name="TableStyleMedium2" showFirstColumn="1" showLastColumn="0" showRowStripes="1" showColumnStripes="0"/>
</table>
</file>

<file path=xl/tables/table2.xml><?xml version="1.0" encoding="utf-8"?>
<table xmlns="http://schemas.openxmlformats.org/spreadsheetml/2006/main" id="3" name="PI" displayName="PI" ref="A2:J12" totalsRowShown="0" headerRowDxfId="33" dataDxfId="32" tableBorderDxfId="31" headerRowCellStyle="Millares" dataCellStyle="Millares">
  <autoFilter ref="A2:J12"/>
  <tableColumns count="10">
    <tableColumn id="1" name="CFF" dataDxfId="30" dataCellStyle="Normal 3"/>
    <tableColumn id="2" name="CE" dataDxfId="29" dataCellStyle="Normal 3"/>
    <tableColumn id="3" name="CRI" dataDxfId="28" dataCellStyle="Normal 3"/>
    <tableColumn id="4" name="Clave" dataDxfId="27"/>
    <tableColumn id="5" name="Concepto" dataDxfId="26"/>
    <tableColumn id="6" name="Estimado" dataDxfId="25" dataCellStyle="Millares"/>
    <tableColumn id="7" name="Amp/Red" dataDxfId="24" dataCellStyle="Millares"/>
    <tableColumn id="8" name="Modificado" dataDxfId="23" dataCellStyle="Millares"/>
    <tableColumn id="9" name="Devengado" dataDxfId="22" dataCellStyle="Millares"/>
    <tableColumn id="10" name="Recaudado" dataDxfId="21" dataCellStyle="Millares"/>
  </tableColumns>
  <tableStyleInfo name="TableStyleMedium2" showFirstColumn="0" showLastColumn="0" showRowStripes="1" showColumnStripes="0"/>
</table>
</file>

<file path=xl/tables/table3.xml><?xml version="1.0" encoding="utf-8"?>
<table xmlns="http://schemas.openxmlformats.org/spreadsheetml/2006/main" id="4" name="PE" displayName="PE" ref="A2:P224" totalsRowShown="0" headerRowDxfId="19" dataDxfId="18" tableBorderDxfId="17">
  <autoFilter ref="A2:P224"/>
  <tableColumns count="16">
    <tableColumn id="1" name="CP" dataDxfId="16" dataCellStyle="Normal 4 2"/>
    <tableColumn id="2" name="CFG" dataDxfId="15" dataCellStyle="Normal 4 2"/>
    <tableColumn id="16" name="PY" dataDxfId="14" dataCellStyle="Normal 4 2"/>
    <tableColumn id="3" name="CFF" dataDxfId="13" dataCellStyle="Normal 4 2"/>
    <tableColumn id="4" name="CA" dataDxfId="12" dataCellStyle="Normal 4 2"/>
    <tableColumn id="5" name="CTG" dataDxfId="11" dataCellStyle="Normal 4 2"/>
    <tableColumn id="6" name="COG" dataDxfId="10" dataCellStyle="Normal 4 2"/>
    <tableColumn id="7" name="Clave" dataDxfId="9" dataCellStyle="Normal 4 2"/>
    <tableColumn id="8" name="Concepto" dataDxfId="8"/>
    <tableColumn id="9" name="Aprobado" dataDxfId="7"/>
    <tableColumn id="10" name="Amp/Red" dataDxfId="6"/>
    <tableColumn id="11" name="Modificado" dataDxfId="5"/>
    <tableColumn id="12" name="Comprometido" dataDxfId="4"/>
    <tableColumn id="13" name="Devengado" dataDxfId="3"/>
    <tableColumn id="14" name="Ejercido" dataDxfId="2"/>
    <tableColumn id="15" name="Pagado" dataDxfId="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hyperlink" Target="http://rendiciondecuentas.tcagto.gob.mx/wp-content/uploads/2016/06/IAPPE_GTO_TCA_00_16.pdf" TargetMode="External"/><Relationship Id="rId2" Type="http://schemas.openxmlformats.org/officeDocument/2006/relationships/hyperlink" Target="http://rendiciondecuentas.tcagto.gob.mx/wp-content/uploads/2016/06/IAPPE_GTO_TCA_00_16.pdf" TargetMode="External"/><Relationship Id="rId1" Type="http://schemas.openxmlformats.org/officeDocument/2006/relationships/hyperlink" Target="http://rendiciondecuentas.tcagto.gob.mx/wp-content/uploads/2016/06/IAPPE_GTO_TCA_00_16.pdf" TargetMode="External"/><Relationship Id="rId5" Type="http://schemas.openxmlformats.org/officeDocument/2006/relationships/hyperlink" Target="http://rendiciondecuentas.tcagto.gob.mx/wp-content/uploads/2016/06/IAPPE_GTO_TCA_00_16.pdf" TargetMode="External"/><Relationship Id="rId4" Type="http://schemas.openxmlformats.org/officeDocument/2006/relationships/hyperlink" Target="http://rendiciondecuentas.tcagto.gob.mx/wp-content/uploads/2016/06/IAPPE_GTO_TCA_00_16.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5"/>
  <sheetViews>
    <sheetView zoomScale="110" zoomScaleNormal="110" workbookViewId="0">
      <selection activeCell="B11" sqref="B11"/>
    </sheetView>
  </sheetViews>
  <sheetFormatPr baseColWidth="10" defaultColWidth="11.5703125" defaultRowHeight="15"/>
  <cols>
    <col min="1" max="1" width="8.42578125" style="951" bestFit="1" customWidth="1"/>
    <col min="2" max="2" width="44" style="951" bestFit="1" customWidth="1"/>
    <col min="3" max="16384" width="11.5703125" style="951"/>
  </cols>
  <sheetData>
    <row r="2" spans="1:2">
      <c r="A2" s="949" t="s">
        <v>371</v>
      </c>
      <c r="B2" s="950" t="s">
        <v>2542</v>
      </c>
    </row>
    <row r="3" spans="1:2">
      <c r="A3" s="949" t="s">
        <v>372</v>
      </c>
      <c r="B3" s="970" t="s">
        <v>2605</v>
      </c>
    </row>
    <row r="4" spans="1:2">
      <c r="A4" s="949" t="s">
        <v>1519</v>
      </c>
      <c r="B4" s="952">
        <v>2017</v>
      </c>
    </row>
    <row r="5" spans="1:2">
      <c r="A5" s="949" t="s">
        <v>1698</v>
      </c>
      <c r="B5" s="952">
        <f>+B4-1</f>
        <v>2016</v>
      </c>
    </row>
  </sheetData>
  <pageMargins left="0.7" right="0.7" top="0.75" bottom="0.75" header="0.3" footer="0.3"/>
  <pageSetup paperSize="11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showGridLines="0" topLeftCell="C1" zoomScaleNormal="100" workbookViewId="0">
      <pane ySplit="2" topLeftCell="A3" activePane="bottomLeft" state="frozen"/>
      <selection pane="bottomLeft" activeCell="C3" sqref="C3:G23"/>
    </sheetView>
  </sheetViews>
  <sheetFormatPr baseColWidth="10" defaultColWidth="9.28515625" defaultRowHeight="11.25"/>
  <cols>
    <col min="1" max="1" width="8.7109375" style="166" customWidth="1"/>
    <col min="2" max="2" width="58.140625" style="166" customWidth="1"/>
    <col min="3" max="3" width="18.5703125" style="178" customWidth="1"/>
    <col min="4" max="4" width="18.7109375" style="178" customWidth="1"/>
    <col min="5" max="6" width="17.28515625" style="178" customWidth="1"/>
    <col min="7" max="7" width="14.28515625" style="178" customWidth="1"/>
    <col min="8" max="256" width="9.28515625" style="166"/>
    <col min="257" max="257" width="8.7109375" style="166" customWidth="1"/>
    <col min="258" max="258" width="52.85546875" style="166" customWidth="1"/>
    <col min="259" max="259" width="18.5703125" style="166" customWidth="1"/>
    <col min="260" max="260" width="18.7109375" style="166" customWidth="1"/>
    <col min="261" max="262" width="17.28515625" style="166" customWidth="1"/>
    <col min="263" max="263" width="14.28515625" style="166" customWidth="1"/>
    <col min="264" max="512" width="9.28515625" style="166"/>
    <col min="513" max="513" width="8.7109375" style="166" customWidth="1"/>
    <col min="514" max="514" width="52.85546875" style="166" customWidth="1"/>
    <col min="515" max="515" width="18.5703125" style="166" customWidth="1"/>
    <col min="516" max="516" width="18.7109375" style="166" customWidth="1"/>
    <col min="517" max="518" width="17.28515625" style="166" customWidth="1"/>
    <col min="519" max="519" width="14.28515625" style="166" customWidth="1"/>
    <col min="520" max="768" width="9.28515625" style="166"/>
    <col min="769" max="769" width="8.7109375" style="166" customWidth="1"/>
    <col min="770" max="770" width="52.85546875" style="166" customWidth="1"/>
    <col min="771" max="771" width="18.5703125" style="166" customWidth="1"/>
    <col min="772" max="772" width="18.7109375" style="166" customWidth="1"/>
    <col min="773" max="774" width="17.28515625" style="166" customWidth="1"/>
    <col min="775" max="775" width="14.28515625" style="166" customWidth="1"/>
    <col min="776" max="1024" width="9.28515625" style="166"/>
    <col min="1025" max="1025" width="8.7109375" style="166" customWidth="1"/>
    <col min="1026" max="1026" width="52.85546875" style="166" customWidth="1"/>
    <col min="1027" max="1027" width="18.5703125" style="166" customWidth="1"/>
    <col min="1028" max="1028" width="18.7109375" style="166" customWidth="1"/>
    <col min="1029" max="1030" width="17.28515625" style="166" customWidth="1"/>
    <col min="1031" max="1031" width="14.28515625" style="166" customWidth="1"/>
    <col min="1032" max="1280" width="9.28515625" style="166"/>
    <col min="1281" max="1281" width="8.7109375" style="166" customWidth="1"/>
    <col min="1282" max="1282" width="52.85546875" style="166" customWidth="1"/>
    <col min="1283" max="1283" width="18.5703125" style="166" customWidth="1"/>
    <col min="1284" max="1284" width="18.7109375" style="166" customWidth="1"/>
    <col min="1285" max="1286" width="17.28515625" style="166" customWidth="1"/>
    <col min="1287" max="1287" width="14.28515625" style="166" customWidth="1"/>
    <col min="1288" max="1536" width="9.28515625" style="166"/>
    <col min="1537" max="1537" width="8.7109375" style="166" customWidth="1"/>
    <col min="1538" max="1538" width="52.85546875" style="166" customWidth="1"/>
    <col min="1539" max="1539" width="18.5703125" style="166" customWidth="1"/>
    <col min="1540" max="1540" width="18.7109375" style="166" customWidth="1"/>
    <col min="1541" max="1542" width="17.28515625" style="166" customWidth="1"/>
    <col min="1543" max="1543" width="14.28515625" style="166" customWidth="1"/>
    <col min="1544" max="1792" width="9.28515625" style="166"/>
    <col min="1793" max="1793" width="8.7109375" style="166" customWidth="1"/>
    <col min="1794" max="1794" width="52.85546875" style="166" customWidth="1"/>
    <col min="1795" max="1795" width="18.5703125" style="166" customWidth="1"/>
    <col min="1796" max="1796" width="18.7109375" style="166" customWidth="1"/>
    <col min="1797" max="1798" width="17.28515625" style="166" customWidth="1"/>
    <col min="1799" max="1799" width="14.28515625" style="166" customWidth="1"/>
    <col min="1800" max="2048" width="9.28515625" style="166"/>
    <col min="2049" max="2049" width="8.7109375" style="166" customWidth="1"/>
    <col min="2050" max="2050" width="52.85546875" style="166" customWidth="1"/>
    <col min="2051" max="2051" width="18.5703125" style="166" customWidth="1"/>
    <col min="2052" max="2052" width="18.7109375" style="166" customWidth="1"/>
    <col min="2053" max="2054" width="17.28515625" style="166" customWidth="1"/>
    <col min="2055" max="2055" width="14.28515625" style="166" customWidth="1"/>
    <col min="2056" max="2304" width="9.28515625" style="166"/>
    <col min="2305" max="2305" width="8.7109375" style="166" customWidth="1"/>
    <col min="2306" max="2306" width="52.85546875" style="166" customWidth="1"/>
    <col min="2307" max="2307" width="18.5703125" style="166" customWidth="1"/>
    <col min="2308" max="2308" width="18.7109375" style="166" customWidth="1"/>
    <col min="2309" max="2310" width="17.28515625" style="166" customWidth="1"/>
    <col min="2311" max="2311" width="14.28515625" style="166" customWidth="1"/>
    <col min="2312" max="2560" width="9.28515625" style="166"/>
    <col min="2561" max="2561" width="8.7109375" style="166" customWidth="1"/>
    <col min="2562" max="2562" width="52.85546875" style="166" customWidth="1"/>
    <col min="2563" max="2563" width="18.5703125" style="166" customWidth="1"/>
    <col min="2564" max="2564" width="18.7109375" style="166" customWidth="1"/>
    <col min="2565" max="2566" width="17.28515625" style="166" customWidth="1"/>
    <col min="2567" max="2567" width="14.28515625" style="166" customWidth="1"/>
    <col min="2568" max="2816" width="9.28515625" style="166"/>
    <col min="2817" max="2817" width="8.7109375" style="166" customWidth="1"/>
    <col min="2818" max="2818" width="52.85546875" style="166" customWidth="1"/>
    <col min="2819" max="2819" width="18.5703125" style="166" customWidth="1"/>
    <col min="2820" max="2820" width="18.7109375" style="166" customWidth="1"/>
    <col min="2821" max="2822" width="17.28515625" style="166" customWidth="1"/>
    <col min="2823" max="2823" width="14.28515625" style="166" customWidth="1"/>
    <col min="2824" max="3072" width="9.28515625" style="166"/>
    <col min="3073" max="3073" width="8.7109375" style="166" customWidth="1"/>
    <col min="3074" max="3074" width="52.85546875" style="166" customWidth="1"/>
    <col min="3075" max="3075" width="18.5703125" style="166" customWidth="1"/>
    <col min="3076" max="3076" width="18.7109375" style="166" customWidth="1"/>
    <col min="3077" max="3078" width="17.28515625" style="166" customWidth="1"/>
    <col min="3079" max="3079" width="14.28515625" style="166" customWidth="1"/>
    <col min="3080" max="3328" width="9.28515625" style="166"/>
    <col min="3329" max="3329" width="8.7109375" style="166" customWidth="1"/>
    <col min="3330" max="3330" width="52.85546875" style="166" customWidth="1"/>
    <col min="3331" max="3331" width="18.5703125" style="166" customWidth="1"/>
    <col min="3332" max="3332" width="18.7109375" style="166" customWidth="1"/>
    <col min="3333" max="3334" width="17.28515625" style="166" customWidth="1"/>
    <col min="3335" max="3335" width="14.28515625" style="166" customWidth="1"/>
    <col min="3336" max="3584" width="9.28515625" style="166"/>
    <col min="3585" max="3585" width="8.7109375" style="166" customWidth="1"/>
    <col min="3586" max="3586" width="52.85546875" style="166" customWidth="1"/>
    <col min="3587" max="3587" width="18.5703125" style="166" customWidth="1"/>
    <col min="3588" max="3588" width="18.7109375" style="166" customWidth="1"/>
    <col min="3589" max="3590" width="17.28515625" style="166" customWidth="1"/>
    <col min="3591" max="3591" width="14.28515625" style="166" customWidth="1"/>
    <col min="3592" max="3840" width="9.28515625" style="166"/>
    <col min="3841" max="3841" width="8.7109375" style="166" customWidth="1"/>
    <col min="3842" max="3842" width="52.85546875" style="166" customWidth="1"/>
    <col min="3843" max="3843" width="18.5703125" style="166" customWidth="1"/>
    <col min="3844" max="3844" width="18.7109375" style="166" customWidth="1"/>
    <col min="3845" max="3846" width="17.28515625" style="166" customWidth="1"/>
    <col min="3847" max="3847" width="14.28515625" style="166" customWidth="1"/>
    <col min="3848" max="4096" width="9.28515625" style="166"/>
    <col min="4097" max="4097" width="8.7109375" style="166" customWidth="1"/>
    <col min="4098" max="4098" width="52.85546875" style="166" customWidth="1"/>
    <col min="4099" max="4099" width="18.5703125" style="166" customWidth="1"/>
    <col min="4100" max="4100" width="18.7109375" style="166" customWidth="1"/>
    <col min="4101" max="4102" width="17.28515625" style="166" customWidth="1"/>
    <col min="4103" max="4103" width="14.28515625" style="166" customWidth="1"/>
    <col min="4104" max="4352" width="9.28515625" style="166"/>
    <col min="4353" max="4353" width="8.7109375" style="166" customWidth="1"/>
    <col min="4354" max="4354" width="52.85546875" style="166" customWidth="1"/>
    <col min="4355" max="4355" width="18.5703125" style="166" customWidth="1"/>
    <col min="4356" max="4356" width="18.7109375" style="166" customWidth="1"/>
    <col min="4357" max="4358" width="17.28515625" style="166" customWidth="1"/>
    <col min="4359" max="4359" width="14.28515625" style="166" customWidth="1"/>
    <col min="4360" max="4608" width="9.28515625" style="166"/>
    <col min="4609" max="4609" width="8.7109375" style="166" customWidth="1"/>
    <col min="4610" max="4610" width="52.85546875" style="166" customWidth="1"/>
    <col min="4611" max="4611" width="18.5703125" style="166" customWidth="1"/>
    <col min="4612" max="4612" width="18.7109375" style="166" customWidth="1"/>
    <col min="4613" max="4614" width="17.28515625" style="166" customWidth="1"/>
    <col min="4615" max="4615" width="14.28515625" style="166" customWidth="1"/>
    <col min="4616" max="4864" width="9.28515625" style="166"/>
    <col min="4865" max="4865" width="8.7109375" style="166" customWidth="1"/>
    <col min="4866" max="4866" width="52.85546875" style="166" customWidth="1"/>
    <col min="4867" max="4867" width="18.5703125" style="166" customWidth="1"/>
    <col min="4868" max="4868" width="18.7109375" style="166" customWidth="1"/>
    <col min="4869" max="4870" width="17.28515625" style="166" customWidth="1"/>
    <col min="4871" max="4871" width="14.28515625" style="166" customWidth="1"/>
    <col min="4872" max="5120" width="9.28515625" style="166"/>
    <col min="5121" max="5121" width="8.7109375" style="166" customWidth="1"/>
    <col min="5122" max="5122" width="52.85546875" style="166" customWidth="1"/>
    <col min="5123" max="5123" width="18.5703125" style="166" customWidth="1"/>
    <col min="5124" max="5124" width="18.7109375" style="166" customWidth="1"/>
    <col min="5125" max="5126" width="17.28515625" style="166" customWidth="1"/>
    <col min="5127" max="5127" width="14.28515625" style="166" customWidth="1"/>
    <col min="5128" max="5376" width="9.28515625" style="166"/>
    <col min="5377" max="5377" width="8.7109375" style="166" customWidth="1"/>
    <col min="5378" max="5378" width="52.85546875" style="166" customWidth="1"/>
    <col min="5379" max="5379" width="18.5703125" style="166" customWidth="1"/>
    <col min="5380" max="5380" width="18.7109375" style="166" customWidth="1"/>
    <col min="5381" max="5382" width="17.28515625" style="166" customWidth="1"/>
    <col min="5383" max="5383" width="14.28515625" style="166" customWidth="1"/>
    <col min="5384" max="5632" width="9.28515625" style="166"/>
    <col min="5633" max="5633" width="8.7109375" style="166" customWidth="1"/>
    <col min="5634" max="5634" width="52.85546875" style="166" customWidth="1"/>
    <col min="5635" max="5635" width="18.5703125" style="166" customWidth="1"/>
    <col min="5636" max="5636" width="18.7109375" style="166" customWidth="1"/>
    <col min="5637" max="5638" width="17.28515625" style="166" customWidth="1"/>
    <col min="5639" max="5639" width="14.28515625" style="166" customWidth="1"/>
    <col min="5640" max="5888" width="9.28515625" style="166"/>
    <col min="5889" max="5889" width="8.7109375" style="166" customWidth="1"/>
    <col min="5890" max="5890" width="52.85546875" style="166" customWidth="1"/>
    <col min="5891" max="5891" width="18.5703125" style="166" customWidth="1"/>
    <col min="5892" max="5892" width="18.7109375" style="166" customWidth="1"/>
    <col min="5893" max="5894" width="17.28515625" style="166" customWidth="1"/>
    <col min="5895" max="5895" width="14.28515625" style="166" customWidth="1"/>
    <col min="5896" max="6144" width="9.28515625" style="166"/>
    <col min="6145" max="6145" width="8.7109375" style="166" customWidth="1"/>
    <col min="6146" max="6146" width="52.85546875" style="166" customWidth="1"/>
    <col min="6147" max="6147" width="18.5703125" style="166" customWidth="1"/>
    <col min="6148" max="6148" width="18.7109375" style="166" customWidth="1"/>
    <col min="6149" max="6150" width="17.28515625" style="166" customWidth="1"/>
    <col min="6151" max="6151" width="14.28515625" style="166" customWidth="1"/>
    <col min="6152" max="6400" width="9.28515625" style="166"/>
    <col min="6401" max="6401" width="8.7109375" style="166" customWidth="1"/>
    <col min="6402" max="6402" width="52.85546875" style="166" customWidth="1"/>
    <col min="6403" max="6403" width="18.5703125" style="166" customWidth="1"/>
    <col min="6404" max="6404" width="18.7109375" style="166" customWidth="1"/>
    <col min="6405" max="6406" width="17.28515625" style="166" customWidth="1"/>
    <col min="6407" max="6407" width="14.28515625" style="166" customWidth="1"/>
    <col min="6408" max="6656" width="9.28515625" style="166"/>
    <col min="6657" max="6657" width="8.7109375" style="166" customWidth="1"/>
    <col min="6658" max="6658" width="52.85546875" style="166" customWidth="1"/>
    <col min="6659" max="6659" width="18.5703125" style="166" customWidth="1"/>
    <col min="6660" max="6660" width="18.7109375" style="166" customWidth="1"/>
    <col min="6661" max="6662" width="17.28515625" style="166" customWidth="1"/>
    <col min="6663" max="6663" width="14.28515625" style="166" customWidth="1"/>
    <col min="6664" max="6912" width="9.28515625" style="166"/>
    <col min="6913" max="6913" width="8.7109375" style="166" customWidth="1"/>
    <col min="6914" max="6914" width="52.85546875" style="166" customWidth="1"/>
    <col min="6915" max="6915" width="18.5703125" style="166" customWidth="1"/>
    <col min="6916" max="6916" width="18.7109375" style="166" customWidth="1"/>
    <col min="6917" max="6918" width="17.28515625" style="166" customWidth="1"/>
    <col min="6919" max="6919" width="14.28515625" style="166" customWidth="1"/>
    <col min="6920" max="7168" width="9.28515625" style="166"/>
    <col min="7169" max="7169" width="8.7109375" style="166" customWidth="1"/>
    <col min="7170" max="7170" width="52.85546875" style="166" customWidth="1"/>
    <col min="7171" max="7171" width="18.5703125" style="166" customWidth="1"/>
    <col min="7172" max="7172" width="18.7109375" style="166" customWidth="1"/>
    <col min="7173" max="7174" width="17.28515625" style="166" customWidth="1"/>
    <col min="7175" max="7175" width="14.28515625" style="166" customWidth="1"/>
    <col min="7176" max="7424" width="9.28515625" style="166"/>
    <col min="7425" max="7425" width="8.7109375" style="166" customWidth="1"/>
    <col min="7426" max="7426" width="52.85546875" style="166" customWidth="1"/>
    <col min="7427" max="7427" width="18.5703125" style="166" customWidth="1"/>
    <col min="7428" max="7428" width="18.7109375" style="166" customWidth="1"/>
    <col min="7429" max="7430" width="17.28515625" style="166" customWidth="1"/>
    <col min="7431" max="7431" width="14.28515625" style="166" customWidth="1"/>
    <col min="7432" max="7680" width="9.28515625" style="166"/>
    <col min="7681" max="7681" width="8.7109375" style="166" customWidth="1"/>
    <col min="7682" max="7682" width="52.85546875" style="166" customWidth="1"/>
    <col min="7683" max="7683" width="18.5703125" style="166" customWidth="1"/>
    <col min="7684" max="7684" width="18.7109375" style="166" customWidth="1"/>
    <col min="7685" max="7686" width="17.28515625" style="166" customWidth="1"/>
    <col min="7687" max="7687" width="14.28515625" style="166" customWidth="1"/>
    <col min="7688" max="7936" width="9.28515625" style="166"/>
    <col min="7937" max="7937" width="8.7109375" style="166" customWidth="1"/>
    <col min="7938" max="7938" width="52.85546875" style="166" customWidth="1"/>
    <col min="7939" max="7939" width="18.5703125" style="166" customWidth="1"/>
    <col min="7940" max="7940" width="18.7109375" style="166" customWidth="1"/>
    <col min="7941" max="7942" width="17.28515625" style="166" customWidth="1"/>
    <col min="7943" max="7943" width="14.28515625" style="166" customWidth="1"/>
    <col min="7944" max="8192" width="9.28515625" style="166"/>
    <col min="8193" max="8193" width="8.7109375" style="166" customWidth="1"/>
    <col min="8194" max="8194" width="52.85546875" style="166" customWidth="1"/>
    <col min="8195" max="8195" width="18.5703125" style="166" customWidth="1"/>
    <col min="8196" max="8196" width="18.7109375" style="166" customWidth="1"/>
    <col min="8197" max="8198" width="17.28515625" style="166" customWidth="1"/>
    <col min="8199" max="8199" width="14.28515625" style="166" customWidth="1"/>
    <col min="8200" max="8448" width="9.28515625" style="166"/>
    <col min="8449" max="8449" width="8.7109375" style="166" customWidth="1"/>
    <col min="8450" max="8450" width="52.85546875" style="166" customWidth="1"/>
    <col min="8451" max="8451" width="18.5703125" style="166" customWidth="1"/>
    <col min="8452" max="8452" width="18.7109375" style="166" customWidth="1"/>
    <col min="8453" max="8454" width="17.28515625" style="166" customWidth="1"/>
    <col min="8455" max="8455" width="14.28515625" style="166" customWidth="1"/>
    <col min="8456" max="8704" width="9.28515625" style="166"/>
    <col min="8705" max="8705" width="8.7109375" style="166" customWidth="1"/>
    <col min="8706" max="8706" width="52.85546875" style="166" customWidth="1"/>
    <col min="8707" max="8707" width="18.5703125" style="166" customWidth="1"/>
    <col min="8708" max="8708" width="18.7109375" style="166" customWidth="1"/>
    <col min="8709" max="8710" width="17.28515625" style="166" customWidth="1"/>
    <col min="8711" max="8711" width="14.28515625" style="166" customWidth="1"/>
    <col min="8712" max="8960" width="9.28515625" style="166"/>
    <col min="8961" max="8961" width="8.7109375" style="166" customWidth="1"/>
    <col min="8962" max="8962" width="52.85546875" style="166" customWidth="1"/>
    <col min="8963" max="8963" width="18.5703125" style="166" customWidth="1"/>
    <col min="8964" max="8964" width="18.7109375" style="166" customWidth="1"/>
    <col min="8965" max="8966" width="17.28515625" style="166" customWidth="1"/>
    <col min="8967" max="8967" width="14.28515625" style="166" customWidth="1"/>
    <col min="8968" max="9216" width="9.28515625" style="166"/>
    <col min="9217" max="9217" width="8.7109375" style="166" customWidth="1"/>
    <col min="9218" max="9218" width="52.85546875" style="166" customWidth="1"/>
    <col min="9219" max="9219" width="18.5703125" style="166" customWidth="1"/>
    <col min="9220" max="9220" width="18.7109375" style="166" customWidth="1"/>
    <col min="9221" max="9222" width="17.28515625" style="166" customWidth="1"/>
    <col min="9223" max="9223" width="14.28515625" style="166" customWidth="1"/>
    <col min="9224" max="9472" width="9.28515625" style="166"/>
    <col min="9473" max="9473" width="8.7109375" style="166" customWidth="1"/>
    <col min="9474" max="9474" width="52.85546875" style="166" customWidth="1"/>
    <col min="9475" max="9475" width="18.5703125" style="166" customWidth="1"/>
    <col min="9476" max="9476" width="18.7109375" style="166" customWidth="1"/>
    <col min="9477" max="9478" width="17.28515625" style="166" customWidth="1"/>
    <col min="9479" max="9479" width="14.28515625" style="166" customWidth="1"/>
    <col min="9480" max="9728" width="9.28515625" style="166"/>
    <col min="9729" max="9729" width="8.7109375" style="166" customWidth="1"/>
    <col min="9730" max="9730" width="52.85546875" style="166" customWidth="1"/>
    <col min="9731" max="9731" width="18.5703125" style="166" customWidth="1"/>
    <col min="9732" max="9732" width="18.7109375" style="166" customWidth="1"/>
    <col min="9733" max="9734" width="17.28515625" style="166" customWidth="1"/>
    <col min="9735" max="9735" width="14.28515625" style="166" customWidth="1"/>
    <col min="9736" max="9984" width="9.28515625" style="166"/>
    <col min="9985" max="9985" width="8.7109375" style="166" customWidth="1"/>
    <col min="9986" max="9986" width="52.85546875" style="166" customWidth="1"/>
    <col min="9987" max="9987" width="18.5703125" style="166" customWidth="1"/>
    <col min="9988" max="9988" width="18.7109375" style="166" customWidth="1"/>
    <col min="9989" max="9990" width="17.28515625" style="166" customWidth="1"/>
    <col min="9991" max="9991" width="14.28515625" style="166" customWidth="1"/>
    <col min="9992" max="10240" width="9.28515625" style="166"/>
    <col min="10241" max="10241" width="8.7109375" style="166" customWidth="1"/>
    <col min="10242" max="10242" width="52.85546875" style="166" customWidth="1"/>
    <col min="10243" max="10243" width="18.5703125" style="166" customWidth="1"/>
    <col min="10244" max="10244" width="18.7109375" style="166" customWidth="1"/>
    <col min="10245" max="10246" width="17.28515625" style="166" customWidth="1"/>
    <col min="10247" max="10247" width="14.28515625" style="166" customWidth="1"/>
    <col min="10248" max="10496" width="9.28515625" style="166"/>
    <col min="10497" max="10497" width="8.7109375" style="166" customWidth="1"/>
    <col min="10498" max="10498" width="52.85546875" style="166" customWidth="1"/>
    <col min="10499" max="10499" width="18.5703125" style="166" customWidth="1"/>
    <col min="10500" max="10500" width="18.7109375" style="166" customWidth="1"/>
    <col min="10501" max="10502" width="17.28515625" style="166" customWidth="1"/>
    <col min="10503" max="10503" width="14.28515625" style="166" customWidth="1"/>
    <col min="10504" max="10752" width="9.28515625" style="166"/>
    <col min="10753" max="10753" width="8.7109375" style="166" customWidth="1"/>
    <col min="10754" max="10754" width="52.85546875" style="166" customWidth="1"/>
    <col min="10755" max="10755" width="18.5703125" style="166" customWidth="1"/>
    <col min="10756" max="10756" width="18.7109375" style="166" customWidth="1"/>
    <col min="10757" max="10758" width="17.28515625" style="166" customWidth="1"/>
    <col min="10759" max="10759" width="14.28515625" style="166" customWidth="1"/>
    <col min="10760" max="11008" width="9.28515625" style="166"/>
    <col min="11009" max="11009" width="8.7109375" style="166" customWidth="1"/>
    <col min="11010" max="11010" width="52.85546875" style="166" customWidth="1"/>
    <col min="11011" max="11011" width="18.5703125" style="166" customWidth="1"/>
    <col min="11012" max="11012" width="18.7109375" style="166" customWidth="1"/>
    <col min="11013" max="11014" width="17.28515625" style="166" customWidth="1"/>
    <col min="11015" max="11015" width="14.28515625" style="166" customWidth="1"/>
    <col min="11016" max="11264" width="9.28515625" style="166"/>
    <col min="11265" max="11265" width="8.7109375" style="166" customWidth="1"/>
    <col min="11266" max="11266" width="52.85546875" style="166" customWidth="1"/>
    <col min="11267" max="11267" width="18.5703125" style="166" customWidth="1"/>
    <col min="11268" max="11268" width="18.7109375" style="166" customWidth="1"/>
    <col min="11269" max="11270" width="17.28515625" style="166" customWidth="1"/>
    <col min="11271" max="11271" width="14.28515625" style="166" customWidth="1"/>
    <col min="11272" max="11520" width="9.28515625" style="166"/>
    <col min="11521" max="11521" width="8.7109375" style="166" customWidth="1"/>
    <col min="11522" max="11522" width="52.85546875" style="166" customWidth="1"/>
    <col min="11523" max="11523" width="18.5703125" style="166" customWidth="1"/>
    <col min="11524" max="11524" width="18.7109375" style="166" customWidth="1"/>
    <col min="11525" max="11526" width="17.28515625" style="166" customWidth="1"/>
    <col min="11527" max="11527" width="14.28515625" style="166" customWidth="1"/>
    <col min="11528" max="11776" width="9.28515625" style="166"/>
    <col min="11777" max="11777" width="8.7109375" style="166" customWidth="1"/>
    <col min="11778" max="11778" width="52.85546875" style="166" customWidth="1"/>
    <col min="11779" max="11779" width="18.5703125" style="166" customWidth="1"/>
    <col min="11780" max="11780" width="18.7109375" style="166" customWidth="1"/>
    <col min="11781" max="11782" width="17.28515625" style="166" customWidth="1"/>
    <col min="11783" max="11783" width="14.28515625" style="166" customWidth="1"/>
    <col min="11784" max="12032" width="9.28515625" style="166"/>
    <col min="12033" max="12033" width="8.7109375" style="166" customWidth="1"/>
    <col min="12034" max="12034" width="52.85546875" style="166" customWidth="1"/>
    <col min="12035" max="12035" width="18.5703125" style="166" customWidth="1"/>
    <col min="12036" max="12036" width="18.7109375" style="166" customWidth="1"/>
    <col min="12037" max="12038" width="17.28515625" style="166" customWidth="1"/>
    <col min="12039" max="12039" width="14.28515625" style="166" customWidth="1"/>
    <col min="12040" max="12288" width="9.28515625" style="166"/>
    <col min="12289" max="12289" width="8.7109375" style="166" customWidth="1"/>
    <col min="12290" max="12290" width="52.85546875" style="166" customWidth="1"/>
    <col min="12291" max="12291" width="18.5703125" style="166" customWidth="1"/>
    <col min="12292" max="12292" width="18.7109375" style="166" customWidth="1"/>
    <col min="12293" max="12294" width="17.28515625" style="166" customWidth="1"/>
    <col min="12295" max="12295" width="14.28515625" style="166" customWidth="1"/>
    <col min="12296" max="12544" width="9.28515625" style="166"/>
    <col min="12545" max="12545" width="8.7109375" style="166" customWidth="1"/>
    <col min="12546" max="12546" width="52.85546875" style="166" customWidth="1"/>
    <col min="12547" max="12547" width="18.5703125" style="166" customWidth="1"/>
    <col min="12548" max="12548" width="18.7109375" style="166" customWidth="1"/>
    <col min="12549" max="12550" width="17.28515625" style="166" customWidth="1"/>
    <col min="12551" max="12551" width="14.28515625" style="166" customWidth="1"/>
    <col min="12552" max="12800" width="9.28515625" style="166"/>
    <col min="12801" max="12801" width="8.7109375" style="166" customWidth="1"/>
    <col min="12802" max="12802" width="52.85546875" style="166" customWidth="1"/>
    <col min="12803" max="12803" width="18.5703125" style="166" customWidth="1"/>
    <col min="12804" max="12804" width="18.7109375" style="166" customWidth="1"/>
    <col min="12805" max="12806" width="17.28515625" style="166" customWidth="1"/>
    <col min="12807" max="12807" width="14.28515625" style="166" customWidth="1"/>
    <col min="12808" max="13056" width="9.28515625" style="166"/>
    <col min="13057" max="13057" width="8.7109375" style="166" customWidth="1"/>
    <col min="13058" max="13058" width="52.85546875" style="166" customWidth="1"/>
    <col min="13059" max="13059" width="18.5703125" style="166" customWidth="1"/>
    <col min="13060" max="13060" width="18.7109375" style="166" customWidth="1"/>
    <col min="13061" max="13062" width="17.28515625" style="166" customWidth="1"/>
    <col min="13063" max="13063" width="14.28515625" style="166" customWidth="1"/>
    <col min="13064" max="13312" width="9.28515625" style="166"/>
    <col min="13313" max="13313" width="8.7109375" style="166" customWidth="1"/>
    <col min="13314" max="13314" width="52.85546875" style="166" customWidth="1"/>
    <col min="13315" max="13315" width="18.5703125" style="166" customWidth="1"/>
    <col min="13316" max="13316" width="18.7109375" style="166" customWidth="1"/>
    <col min="13317" max="13318" width="17.28515625" style="166" customWidth="1"/>
    <col min="13319" max="13319" width="14.28515625" style="166" customWidth="1"/>
    <col min="13320" max="13568" width="9.28515625" style="166"/>
    <col min="13569" max="13569" width="8.7109375" style="166" customWidth="1"/>
    <col min="13570" max="13570" width="52.85546875" style="166" customWidth="1"/>
    <col min="13571" max="13571" width="18.5703125" style="166" customWidth="1"/>
    <col min="13572" max="13572" width="18.7109375" style="166" customWidth="1"/>
    <col min="13573" max="13574" width="17.28515625" style="166" customWidth="1"/>
    <col min="13575" max="13575" width="14.28515625" style="166" customWidth="1"/>
    <col min="13576" max="13824" width="9.28515625" style="166"/>
    <col min="13825" max="13825" width="8.7109375" style="166" customWidth="1"/>
    <col min="13826" max="13826" width="52.85546875" style="166" customWidth="1"/>
    <col min="13827" max="13827" width="18.5703125" style="166" customWidth="1"/>
    <col min="13828" max="13828" width="18.7109375" style="166" customWidth="1"/>
    <col min="13829" max="13830" width="17.28515625" style="166" customWidth="1"/>
    <col min="13831" max="13831" width="14.28515625" style="166" customWidth="1"/>
    <col min="13832" max="14080" width="9.28515625" style="166"/>
    <col min="14081" max="14081" width="8.7109375" style="166" customWidth="1"/>
    <col min="14082" max="14082" width="52.85546875" style="166" customWidth="1"/>
    <col min="14083" max="14083" width="18.5703125" style="166" customWidth="1"/>
    <col min="14084" max="14084" width="18.7109375" style="166" customWidth="1"/>
    <col min="14085" max="14086" width="17.28515625" style="166" customWidth="1"/>
    <col min="14087" max="14087" width="14.28515625" style="166" customWidth="1"/>
    <col min="14088" max="14336" width="9.28515625" style="166"/>
    <col min="14337" max="14337" width="8.7109375" style="166" customWidth="1"/>
    <col min="14338" max="14338" width="52.85546875" style="166" customWidth="1"/>
    <col min="14339" max="14339" width="18.5703125" style="166" customWidth="1"/>
    <col min="14340" max="14340" width="18.7109375" style="166" customWidth="1"/>
    <col min="14341" max="14342" width="17.28515625" style="166" customWidth="1"/>
    <col min="14343" max="14343" width="14.28515625" style="166" customWidth="1"/>
    <col min="14344" max="14592" width="9.28515625" style="166"/>
    <col min="14593" max="14593" width="8.7109375" style="166" customWidth="1"/>
    <col min="14594" max="14594" width="52.85546875" style="166" customWidth="1"/>
    <col min="14595" max="14595" width="18.5703125" style="166" customWidth="1"/>
    <col min="14596" max="14596" width="18.7109375" style="166" customWidth="1"/>
    <col min="14597" max="14598" width="17.28515625" style="166" customWidth="1"/>
    <col min="14599" max="14599" width="14.28515625" style="166" customWidth="1"/>
    <col min="14600" max="14848" width="9.28515625" style="166"/>
    <col min="14849" max="14849" width="8.7109375" style="166" customWidth="1"/>
    <col min="14850" max="14850" width="52.85546875" style="166" customWidth="1"/>
    <col min="14851" max="14851" width="18.5703125" style="166" customWidth="1"/>
    <col min="14852" max="14852" width="18.7109375" style="166" customWidth="1"/>
    <col min="14853" max="14854" width="17.28515625" style="166" customWidth="1"/>
    <col min="14855" max="14855" width="14.28515625" style="166" customWidth="1"/>
    <col min="14856" max="15104" width="9.28515625" style="166"/>
    <col min="15105" max="15105" width="8.7109375" style="166" customWidth="1"/>
    <col min="15106" max="15106" width="52.85546875" style="166" customWidth="1"/>
    <col min="15107" max="15107" width="18.5703125" style="166" customWidth="1"/>
    <col min="15108" max="15108" width="18.7109375" style="166" customWidth="1"/>
    <col min="15109" max="15110" width="17.28515625" style="166" customWidth="1"/>
    <col min="15111" max="15111" width="14.28515625" style="166" customWidth="1"/>
    <col min="15112" max="15360" width="9.28515625" style="166"/>
    <col min="15361" max="15361" width="8.7109375" style="166" customWidth="1"/>
    <col min="15362" max="15362" width="52.85546875" style="166" customWidth="1"/>
    <col min="15363" max="15363" width="18.5703125" style="166" customWidth="1"/>
    <col min="15364" max="15364" width="18.7109375" style="166" customWidth="1"/>
    <col min="15365" max="15366" width="17.28515625" style="166" customWidth="1"/>
    <col min="15367" max="15367" width="14.28515625" style="166" customWidth="1"/>
    <col min="15368" max="15616" width="9.28515625" style="166"/>
    <col min="15617" max="15617" width="8.7109375" style="166" customWidth="1"/>
    <col min="15618" max="15618" width="52.85546875" style="166" customWidth="1"/>
    <col min="15619" max="15619" width="18.5703125" style="166" customWidth="1"/>
    <col min="15620" max="15620" width="18.7109375" style="166" customWidth="1"/>
    <col min="15621" max="15622" width="17.28515625" style="166" customWidth="1"/>
    <col min="15623" max="15623" width="14.28515625" style="166" customWidth="1"/>
    <col min="15624" max="15872" width="9.28515625" style="166"/>
    <col min="15873" max="15873" width="8.7109375" style="166" customWidth="1"/>
    <col min="15874" max="15874" width="52.85546875" style="166" customWidth="1"/>
    <col min="15875" max="15875" width="18.5703125" style="166" customWidth="1"/>
    <col min="15876" max="15876" width="18.7109375" style="166" customWidth="1"/>
    <col min="15877" max="15878" width="17.28515625" style="166" customWidth="1"/>
    <col min="15879" max="15879" width="14.28515625" style="166" customWidth="1"/>
    <col min="15880" max="16128" width="9.28515625" style="166"/>
    <col min="16129" max="16129" width="8.7109375" style="166" customWidth="1"/>
    <col min="16130" max="16130" width="52.85546875" style="166" customWidth="1"/>
    <col min="16131" max="16131" width="18.5703125" style="166" customWidth="1"/>
    <col min="16132" max="16132" width="18.7109375" style="166" customWidth="1"/>
    <col min="16133" max="16134" width="17.28515625" style="166" customWidth="1"/>
    <col min="16135" max="16135" width="14.28515625" style="166" customWidth="1"/>
    <col min="16136" max="16384" width="9.28515625" style="166"/>
  </cols>
  <sheetData>
    <row r="1" spans="1:7" ht="35.1" customHeight="1">
      <c r="A1" s="1001" t="str">
        <f>+Títulos!$B$2&amp;"
ESTADO DE VARIACIÓN EN LA HACIENDA PÚBLICA
DEL 01 DE ENERO AL "&amp;Títulos!$B$3</f>
        <v>TRIBUNAL DE JUSTICIA ADMINISTRATIVA
ESTADO DE VARIACIÓN EN LA HACIENDA PÚBLICA
DEL 01 DE ENERO AL 31 DE DICIEMBRE DE 2017</v>
      </c>
      <c r="B1" s="1002"/>
      <c r="C1" s="1002"/>
      <c r="D1" s="1002"/>
      <c r="E1" s="1002"/>
      <c r="F1" s="1002"/>
      <c r="G1" s="1002"/>
    </row>
    <row r="2" spans="1:7" s="170" customFormat="1" ht="54.95" customHeight="1">
      <c r="A2" s="141" t="s">
        <v>0</v>
      </c>
      <c r="B2" s="363" t="s">
        <v>150</v>
      </c>
      <c r="C2" s="144" t="s">
        <v>151</v>
      </c>
      <c r="D2" s="144" t="s">
        <v>152</v>
      </c>
      <c r="E2" s="144" t="s">
        <v>153</v>
      </c>
      <c r="F2" s="144" t="s">
        <v>154</v>
      </c>
      <c r="G2" s="144" t="s">
        <v>155</v>
      </c>
    </row>
    <row r="3" spans="1:7" s="168" customFormat="1">
      <c r="A3" s="175">
        <v>3250</v>
      </c>
      <c r="B3" s="364" t="s">
        <v>156</v>
      </c>
      <c r="C3" s="114"/>
      <c r="D3" s="355">
        <f ca="1">-SUMIF(BC[],MID(A3,1,3)&amp;"*",bc_2016)</f>
        <v>0</v>
      </c>
      <c r="E3" s="355">
        <f ca="1">-SUMIF(BC[],MID(A3,1,3)&amp;"*",bc_2016)</f>
        <v>0</v>
      </c>
      <c r="F3" s="114">
        <v>0</v>
      </c>
      <c r="G3" s="114"/>
    </row>
    <row r="4" spans="1:7">
      <c r="A4" s="176">
        <v>900001</v>
      </c>
      <c r="B4" s="168" t="s">
        <v>157</v>
      </c>
      <c r="C4" s="115">
        <f ca="1">SUM(C5:C7)</f>
        <v>26724265.559999999</v>
      </c>
      <c r="D4" s="133"/>
      <c r="E4" s="133"/>
      <c r="F4" s="115">
        <f>SUM(F5:F7)</f>
        <v>0</v>
      </c>
      <c r="G4" s="115">
        <f t="shared" ref="G4:G12" ca="1" si="0">SUM(C4:F4)</f>
        <v>26724265.559999999</v>
      </c>
    </row>
    <row r="5" spans="1:7">
      <c r="A5" s="158">
        <v>3110</v>
      </c>
      <c r="B5" s="191" t="s">
        <v>59</v>
      </c>
      <c r="C5" s="112">
        <f ca="1">-SUMIF(BC[],MID(A5,1,3)&amp;"*",bc_2016)</f>
        <v>26724265.559999999</v>
      </c>
      <c r="D5" s="133"/>
      <c r="E5" s="133"/>
      <c r="F5" s="133">
        <v>0</v>
      </c>
      <c r="G5" s="133">
        <f t="shared" ca="1" si="0"/>
        <v>26724265.559999999</v>
      </c>
    </row>
    <row r="6" spans="1:7">
      <c r="A6" s="158">
        <v>3120</v>
      </c>
      <c r="B6" s="191" t="s">
        <v>60</v>
      </c>
      <c r="C6" s="112">
        <f ca="1">-SUMIF(BC[],MID(A6,1,3)&amp;"*",bc_2016)</f>
        <v>0</v>
      </c>
      <c r="D6" s="133"/>
      <c r="E6" s="133"/>
      <c r="F6" s="133">
        <v>0</v>
      </c>
      <c r="G6" s="133">
        <f t="shared" ca="1" si="0"/>
        <v>0</v>
      </c>
    </row>
    <row r="7" spans="1:7">
      <c r="A7" s="158">
        <v>3130</v>
      </c>
      <c r="B7" s="191" t="s">
        <v>61</v>
      </c>
      <c r="C7" s="112">
        <f ca="1">-SUMIF(BC[],MID(A7,1,3)&amp;"*",bc_2016)</f>
        <v>0</v>
      </c>
      <c r="D7" s="133"/>
      <c r="E7" s="133"/>
      <c r="F7" s="133">
        <v>0</v>
      </c>
      <c r="G7" s="133">
        <f t="shared" ca="1" si="0"/>
        <v>0</v>
      </c>
    </row>
    <row r="8" spans="1:7">
      <c r="A8" s="176">
        <v>900002</v>
      </c>
      <c r="B8" s="168" t="s">
        <v>158</v>
      </c>
      <c r="C8" s="133"/>
      <c r="D8" s="115">
        <f ca="1">SUM(D9:D12)</f>
        <v>-953582.36999997729</v>
      </c>
      <c r="E8" s="133"/>
      <c r="F8" s="115">
        <f>SUM(F9:F12)</f>
        <v>0</v>
      </c>
      <c r="G8" s="115">
        <f t="shared" ca="1" si="0"/>
        <v>-953582.36999997729</v>
      </c>
    </row>
    <row r="9" spans="1:7">
      <c r="A9" s="158">
        <v>3210</v>
      </c>
      <c r="B9" s="191" t="s">
        <v>64</v>
      </c>
      <c r="C9" s="133"/>
      <c r="D9" s="112">
        <f ca="1">-SUMIF(BC[],MID(A9,1,3)&amp;"*",bc_2016)+'0312_EA'!D207</f>
        <v>-1484625.6799999774</v>
      </c>
      <c r="E9" s="133"/>
      <c r="F9" s="133">
        <v>0</v>
      </c>
      <c r="G9" s="133">
        <f t="shared" ca="1" si="0"/>
        <v>-1484625.6799999774</v>
      </c>
    </row>
    <row r="10" spans="1:7">
      <c r="A10" s="158">
        <v>3220</v>
      </c>
      <c r="B10" s="191" t="s">
        <v>65</v>
      </c>
      <c r="C10" s="133"/>
      <c r="D10" s="112">
        <f ca="1">-SUMIF(BC[],MID(A10,1,3)&amp;"*",bc_2016)</f>
        <v>531043.31000000006</v>
      </c>
      <c r="E10" s="133"/>
      <c r="F10" s="133">
        <v>0</v>
      </c>
      <c r="G10" s="133">
        <f t="shared" ca="1" si="0"/>
        <v>531043.31000000006</v>
      </c>
    </row>
    <row r="11" spans="1:7">
      <c r="A11" s="158">
        <v>3230</v>
      </c>
      <c r="B11" s="191" t="s">
        <v>66</v>
      </c>
      <c r="C11" s="133"/>
      <c r="D11" s="112">
        <f ca="1">-SUMIF(BC[],MID(A11,1,3)&amp;"*",bc_2016)</f>
        <v>0</v>
      </c>
      <c r="E11" s="133"/>
      <c r="F11" s="133">
        <v>0</v>
      </c>
      <c r="G11" s="133">
        <f t="shared" ca="1" si="0"/>
        <v>0</v>
      </c>
    </row>
    <row r="12" spans="1:7">
      <c r="A12" s="158">
        <v>3240</v>
      </c>
      <c r="B12" s="191" t="s">
        <v>67</v>
      </c>
      <c r="C12" s="133"/>
      <c r="D12" s="112">
        <f ca="1">-SUMIF(BC[],MID(A12,1,3)&amp;"*",bc_2016)</f>
        <v>0</v>
      </c>
      <c r="E12" s="133"/>
      <c r="F12" s="133">
        <v>0</v>
      </c>
      <c r="G12" s="133">
        <f t="shared" ca="1" si="0"/>
        <v>0</v>
      </c>
    </row>
    <row r="13" spans="1:7">
      <c r="A13" s="176">
        <v>900003</v>
      </c>
      <c r="B13" s="168" t="s">
        <v>159</v>
      </c>
      <c r="C13" s="115">
        <f ca="1">+C4</f>
        <v>26724265.559999999</v>
      </c>
      <c r="D13" s="115">
        <f ca="1">+D3+D8</f>
        <v>-953582.36999997729</v>
      </c>
      <c r="E13" s="115">
        <f ca="1">+E3</f>
        <v>0</v>
      </c>
      <c r="F13" s="115">
        <f>+F3+F4+F8</f>
        <v>0</v>
      </c>
      <c r="G13" s="115">
        <f ca="1">+G3+G4+G8</f>
        <v>25770683.19000002</v>
      </c>
    </row>
    <row r="14" spans="1:7">
      <c r="A14" s="176">
        <v>900004</v>
      </c>
      <c r="B14" s="168" t="s">
        <v>160</v>
      </c>
      <c r="C14" s="115">
        <f ca="1">SUM(C15:C17)</f>
        <v>853461.14000000432</v>
      </c>
      <c r="D14" s="133"/>
      <c r="E14" s="133"/>
      <c r="F14" s="115">
        <f>SUM(F15:F17)</f>
        <v>0</v>
      </c>
      <c r="G14" s="115">
        <f t="shared" ref="G14:G22" ca="1" si="1">SUM(C14:F14)</f>
        <v>853461.14000000432</v>
      </c>
    </row>
    <row r="15" spans="1:7">
      <c r="A15" s="158">
        <v>3110</v>
      </c>
      <c r="B15" s="191" t="s">
        <v>161</v>
      </c>
      <c r="C15" s="112">
        <f ca="1">-SUMIF(BC[],MID(A15,1,3)&amp;"*",bc_2017)+SUMIF(BC[],MID(A15,1,3)&amp;"*",bc_2016)</f>
        <v>853461.14000000432</v>
      </c>
      <c r="D15" s="133"/>
      <c r="E15" s="133"/>
      <c r="F15" s="133">
        <v>0</v>
      </c>
      <c r="G15" s="133">
        <f t="shared" ca="1" si="1"/>
        <v>853461.14000000432</v>
      </c>
    </row>
    <row r="16" spans="1:7">
      <c r="A16" s="158">
        <v>3120</v>
      </c>
      <c r="B16" s="191" t="s">
        <v>162</v>
      </c>
      <c r="C16" s="112">
        <f ca="1">-SUMIF(BC[],MID(A16,1,3)&amp;"*",bc_2017)+SUMIF(BC[],MID(A16,1,3)&amp;"*",bc_2016)</f>
        <v>0</v>
      </c>
      <c r="D16" s="133"/>
      <c r="E16" s="133"/>
      <c r="F16" s="133">
        <v>0</v>
      </c>
      <c r="G16" s="133">
        <f t="shared" ca="1" si="1"/>
        <v>0</v>
      </c>
    </row>
    <row r="17" spans="1:7">
      <c r="A17" s="158">
        <v>3130</v>
      </c>
      <c r="B17" s="191" t="s">
        <v>163</v>
      </c>
      <c r="C17" s="112">
        <f ca="1">-SUMIF(BC[],MID(A17,1,3)&amp;"*",bc_2017)+SUMIF(BC[],MID(A17,1,3)&amp;"*",bc_2016)</f>
        <v>0</v>
      </c>
      <c r="D17" s="133"/>
      <c r="E17" s="133"/>
      <c r="F17" s="133">
        <v>0</v>
      </c>
      <c r="G17" s="133">
        <f t="shared" ca="1" si="1"/>
        <v>0</v>
      </c>
    </row>
    <row r="18" spans="1:7">
      <c r="A18" s="176">
        <v>900005</v>
      </c>
      <c r="B18" s="168" t="s">
        <v>164</v>
      </c>
      <c r="C18" s="133"/>
      <c r="D18" s="133"/>
      <c r="E18" s="115">
        <f ca="1">SUM(E19:E22)</f>
        <v>2003511.0599999856</v>
      </c>
      <c r="F18" s="115">
        <f>SUM(F19:F22)</f>
        <v>0</v>
      </c>
      <c r="G18" s="115">
        <f t="shared" ca="1" si="1"/>
        <v>2003511.0599999856</v>
      </c>
    </row>
    <row r="19" spans="1:7">
      <c r="A19" s="158">
        <v>3210</v>
      </c>
      <c r="B19" s="191" t="s">
        <v>165</v>
      </c>
      <c r="C19" s="133"/>
      <c r="D19" s="133"/>
      <c r="E19" s="112">
        <f ca="1">-SUMIF(BC[],MID(A19,1,3)&amp;"*",bc_2017)+SUMIF(BC[],MID(A19,1,3)&amp;"*",bc_2016)+'0312_EA'!C207-'0312_EA'!D207</f>
        <v>1879092.6399999857</v>
      </c>
      <c r="F19" s="133">
        <v>0</v>
      </c>
      <c r="G19" s="133">
        <f t="shared" ca="1" si="1"/>
        <v>1879092.6399999857</v>
      </c>
    </row>
    <row r="20" spans="1:7">
      <c r="A20" s="158">
        <v>3220</v>
      </c>
      <c r="B20" s="191" t="s">
        <v>166</v>
      </c>
      <c r="C20" s="133"/>
      <c r="D20" s="133"/>
      <c r="E20" s="112">
        <f ca="1">-SUMIF(BC[],MID(A20,1,3)&amp;"*",bc_2017)+SUMIF(BC[],MID(A20,1,3)&amp;"*",bc_2016)</f>
        <v>124418.41999999993</v>
      </c>
      <c r="F20" s="133">
        <v>0</v>
      </c>
      <c r="G20" s="133">
        <f t="shared" ca="1" si="1"/>
        <v>124418.41999999993</v>
      </c>
    </row>
    <row r="21" spans="1:7">
      <c r="A21" s="158">
        <v>3230</v>
      </c>
      <c r="B21" s="191" t="s">
        <v>167</v>
      </c>
      <c r="C21" s="133"/>
      <c r="D21" s="133"/>
      <c r="E21" s="112">
        <f ca="1">-SUMIF(BC[],MID(A21,1,3)&amp;"*",bc_2017)+SUMIF(BC[],MID(A21,1,3)&amp;"*",bc_2016)</f>
        <v>0</v>
      </c>
      <c r="F21" s="133">
        <v>0</v>
      </c>
      <c r="G21" s="133">
        <f t="shared" ca="1" si="1"/>
        <v>0</v>
      </c>
    </row>
    <row r="22" spans="1:7">
      <c r="A22" s="158">
        <v>3240</v>
      </c>
      <c r="B22" s="191" t="s">
        <v>168</v>
      </c>
      <c r="C22" s="133"/>
      <c r="D22" s="133"/>
      <c r="E22" s="112">
        <f ca="1">-SUMIF(BC[],MID(A22,1,3)&amp;"*",bc_2017)+SUMIF(BC[],MID(A22,1,3)&amp;"*",bc_2016)</f>
        <v>0</v>
      </c>
      <c r="F22" s="133">
        <v>0</v>
      </c>
      <c r="G22" s="133">
        <f t="shared" ca="1" si="1"/>
        <v>0</v>
      </c>
    </row>
    <row r="23" spans="1:7">
      <c r="A23" s="177">
        <v>900006</v>
      </c>
      <c r="B23" s="365" t="s">
        <v>169</v>
      </c>
      <c r="C23" s="356">
        <f ca="1">C13+C14</f>
        <v>27577726.700000003</v>
      </c>
      <c r="D23" s="356">
        <f ca="1">D13</f>
        <v>-953582.36999997729</v>
      </c>
      <c r="E23" s="356">
        <f ca="1">E13+E18</f>
        <v>2003511.0599999856</v>
      </c>
      <c r="F23" s="356">
        <f>F13+F14+F18</f>
        <v>0</v>
      </c>
      <c r="G23" s="356">
        <f ca="1">G13+G14+G18</f>
        <v>28627655.390000008</v>
      </c>
    </row>
  </sheetData>
  <sheetProtection autoFilter="0"/>
  <mergeCells count="1">
    <mergeCell ref="A1:G1"/>
  </mergeCells>
  <dataValidations count="2">
    <dataValidation allowBlank="1" showInputMessage="1" showErrorMessage="1" prompt="Referencia que puede coincidir con el número de cuenta al 4° nivel del Plan de Cuentas emitido por el CONAC (DOF 23/12/2015)."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allowBlank="1" showInputMessage="1" showErrorMessage="1" prompt="Corresponde al nombre o descripción de la cuenta de acuerdo al Plan de Cuentas emitido por el CONAC."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s>
  <pageMargins left="0.7" right="0.7" top="0.75" bottom="0.75" header="0.3" footer="0.3"/>
  <pageSetup scale="66" fitToHeight="0" orientation="portrait" r:id="rId1"/>
  <ignoredErrors>
    <ignoredError sqref="C4:G23 D3:E3"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95"/>
  <sheetViews>
    <sheetView showGridLines="0" topLeftCell="B1" zoomScaleNormal="100" workbookViewId="0">
      <pane ySplit="2" topLeftCell="A157" activePane="bottomLeft" state="frozen"/>
      <selection pane="bottomLeft" activeCell="C3" sqref="C3:D195"/>
    </sheetView>
  </sheetViews>
  <sheetFormatPr baseColWidth="10" defaultColWidth="9.28515625" defaultRowHeight="11.25"/>
  <cols>
    <col min="1" max="1" width="7.7109375" style="149" customWidth="1"/>
    <col min="2" max="2" width="59.85546875" style="148" bestFit="1" customWidth="1"/>
    <col min="3" max="3" width="16.28515625" style="164" customWidth="1"/>
    <col min="4" max="4" width="16.28515625" style="165" customWidth="1"/>
    <col min="5" max="256" width="9.28515625" style="149"/>
    <col min="257" max="257" width="7.7109375" style="149" customWidth="1"/>
    <col min="258" max="258" width="59.85546875" style="149" bestFit="1" customWidth="1"/>
    <col min="259" max="260" width="16.28515625" style="149" customWidth="1"/>
    <col min="261" max="512" width="9.28515625" style="149"/>
    <col min="513" max="513" width="7.7109375" style="149" customWidth="1"/>
    <col min="514" max="514" width="59.85546875" style="149" bestFit="1" customWidth="1"/>
    <col min="515" max="516" width="16.28515625" style="149" customWidth="1"/>
    <col min="517" max="768" width="9.28515625" style="149"/>
    <col min="769" max="769" width="7.7109375" style="149" customWidth="1"/>
    <col min="770" max="770" width="59.85546875" style="149" bestFit="1" customWidth="1"/>
    <col min="771" max="772" width="16.28515625" style="149" customWidth="1"/>
    <col min="773" max="1024" width="9.28515625" style="149"/>
    <col min="1025" max="1025" width="7.7109375" style="149" customWidth="1"/>
    <col min="1026" max="1026" width="59.85546875" style="149" bestFit="1" customWidth="1"/>
    <col min="1027" max="1028" width="16.28515625" style="149" customWidth="1"/>
    <col min="1029" max="1280" width="9.28515625" style="149"/>
    <col min="1281" max="1281" width="7.7109375" style="149" customWidth="1"/>
    <col min="1282" max="1282" width="59.85546875" style="149" bestFit="1" customWidth="1"/>
    <col min="1283" max="1284" width="16.28515625" style="149" customWidth="1"/>
    <col min="1285" max="1536" width="9.28515625" style="149"/>
    <col min="1537" max="1537" width="7.7109375" style="149" customWidth="1"/>
    <col min="1538" max="1538" width="59.85546875" style="149" bestFit="1" customWidth="1"/>
    <col min="1539" max="1540" width="16.28515625" style="149" customWidth="1"/>
    <col min="1541" max="1792" width="9.28515625" style="149"/>
    <col min="1793" max="1793" width="7.7109375" style="149" customWidth="1"/>
    <col min="1794" max="1794" width="59.85546875" style="149" bestFit="1" customWidth="1"/>
    <col min="1795" max="1796" width="16.28515625" style="149" customWidth="1"/>
    <col min="1797" max="2048" width="9.28515625" style="149"/>
    <col min="2049" max="2049" width="7.7109375" style="149" customWidth="1"/>
    <col min="2050" max="2050" width="59.85546875" style="149" bestFit="1" customWidth="1"/>
    <col min="2051" max="2052" width="16.28515625" style="149" customWidth="1"/>
    <col min="2053" max="2304" width="9.28515625" style="149"/>
    <col min="2305" max="2305" width="7.7109375" style="149" customWidth="1"/>
    <col min="2306" max="2306" width="59.85546875" style="149" bestFit="1" customWidth="1"/>
    <col min="2307" max="2308" width="16.28515625" style="149" customWidth="1"/>
    <col min="2309" max="2560" width="9.28515625" style="149"/>
    <col min="2561" max="2561" width="7.7109375" style="149" customWidth="1"/>
    <col min="2562" max="2562" width="59.85546875" style="149" bestFit="1" customWidth="1"/>
    <col min="2563" max="2564" width="16.28515625" style="149" customWidth="1"/>
    <col min="2565" max="2816" width="9.28515625" style="149"/>
    <col min="2817" max="2817" width="7.7109375" style="149" customWidth="1"/>
    <col min="2818" max="2818" width="59.85546875" style="149" bestFit="1" customWidth="1"/>
    <col min="2819" max="2820" width="16.28515625" style="149" customWidth="1"/>
    <col min="2821" max="3072" width="9.28515625" style="149"/>
    <col min="3073" max="3073" width="7.7109375" style="149" customWidth="1"/>
    <col min="3074" max="3074" width="59.85546875" style="149" bestFit="1" customWidth="1"/>
    <col min="3075" max="3076" width="16.28515625" style="149" customWidth="1"/>
    <col min="3077" max="3328" width="9.28515625" style="149"/>
    <col min="3329" max="3329" width="7.7109375" style="149" customWidth="1"/>
    <col min="3330" max="3330" width="59.85546875" style="149" bestFit="1" customWidth="1"/>
    <col min="3331" max="3332" width="16.28515625" style="149" customWidth="1"/>
    <col min="3333" max="3584" width="9.28515625" style="149"/>
    <col min="3585" max="3585" width="7.7109375" style="149" customWidth="1"/>
    <col min="3586" max="3586" width="59.85546875" style="149" bestFit="1" customWidth="1"/>
    <col min="3587" max="3588" width="16.28515625" style="149" customWidth="1"/>
    <col min="3589" max="3840" width="9.28515625" style="149"/>
    <col min="3841" max="3841" width="7.7109375" style="149" customWidth="1"/>
    <col min="3842" max="3842" width="59.85546875" style="149" bestFit="1" customWidth="1"/>
    <col min="3843" max="3844" width="16.28515625" style="149" customWidth="1"/>
    <col min="3845" max="4096" width="9.28515625" style="149"/>
    <col min="4097" max="4097" width="7.7109375" style="149" customWidth="1"/>
    <col min="4098" max="4098" width="59.85546875" style="149" bestFit="1" customWidth="1"/>
    <col min="4099" max="4100" width="16.28515625" style="149" customWidth="1"/>
    <col min="4101" max="4352" width="9.28515625" style="149"/>
    <col min="4353" max="4353" width="7.7109375" style="149" customWidth="1"/>
    <col min="4354" max="4354" width="59.85546875" style="149" bestFit="1" customWidth="1"/>
    <col min="4355" max="4356" width="16.28515625" style="149" customWidth="1"/>
    <col min="4357" max="4608" width="9.28515625" style="149"/>
    <col min="4609" max="4609" width="7.7109375" style="149" customWidth="1"/>
    <col min="4610" max="4610" width="59.85546875" style="149" bestFit="1" customWidth="1"/>
    <col min="4611" max="4612" width="16.28515625" style="149" customWidth="1"/>
    <col min="4613" max="4864" width="9.28515625" style="149"/>
    <col min="4865" max="4865" width="7.7109375" style="149" customWidth="1"/>
    <col min="4866" max="4866" width="59.85546875" style="149" bestFit="1" customWidth="1"/>
    <col min="4867" max="4868" width="16.28515625" style="149" customWidth="1"/>
    <col min="4869" max="5120" width="9.28515625" style="149"/>
    <col min="5121" max="5121" width="7.7109375" style="149" customWidth="1"/>
    <col min="5122" max="5122" width="59.85546875" style="149" bestFit="1" customWidth="1"/>
    <col min="5123" max="5124" width="16.28515625" style="149" customWidth="1"/>
    <col min="5125" max="5376" width="9.28515625" style="149"/>
    <col min="5377" max="5377" width="7.7109375" style="149" customWidth="1"/>
    <col min="5378" max="5378" width="59.85546875" style="149" bestFit="1" customWidth="1"/>
    <col min="5379" max="5380" width="16.28515625" style="149" customWidth="1"/>
    <col min="5381" max="5632" width="9.28515625" style="149"/>
    <col min="5633" max="5633" width="7.7109375" style="149" customWidth="1"/>
    <col min="5634" max="5634" width="59.85546875" style="149" bestFit="1" customWidth="1"/>
    <col min="5635" max="5636" width="16.28515625" style="149" customWidth="1"/>
    <col min="5637" max="5888" width="9.28515625" style="149"/>
    <col min="5889" max="5889" width="7.7109375" style="149" customWidth="1"/>
    <col min="5890" max="5890" width="59.85546875" style="149" bestFit="1" customWidth="1"/>
    <col min="5891" max="5892" width="16.28515625" style="149" customWidth="1"/>
    <col min="5893" max="6144" width="9.28515625" style="149"/>
    <col min="6145" max="6145" width="7.7109375" style="149" customWidth="1"/>
    <col min="6146" max="6146" width="59.85546875" style="149" bestFit="1" customWidth="1"/>
    <col min="6147" max="6148" width="16.28515625" style="149" customWidth="1"/>
    <col min="6149" max="6400" width="9.28515625" style="149"/>
    <col min="6401" max="6401" width="7.7109375" style="149" customWidth="1"/>
    <col min="6402" max="6402" width="59.85546875" style="149" bestFit="1" customWidth="1"/>
    <col min="6403" max="6404" width="16.28515625" style="149" customWidth="1"/>
    <col min="6405" max="6656" width="9.28515625" style="149"/>
    <col min="6657" max="6657" width="7.7109375" style="149" customWidth="1"/>
    <col min="6658" max="6658" width="59.85546875" style="149" bestFit="1" customWidth="1"/>
    <col min="6659" max="6660" width="16.28515625" style="149" customWidth="1"/>
    <col min="6661" max="6912" width="9.28515625" style="149"/>
    <col min="6913" max="6913" width="7.7109375" style="149" customWidth="1"/>
    <col min="6914" max="6914" width="59.85546875" style="149" bestFit="1" customWidth="1"/>
    <col min="6915" max="6916" width="16.28515625" style="149" customWidth="1"/>
    <col min="6917" max="7168" width="9.28515625" style="149"/>
    <col min="7169" max="7169" width="7.7109375" style="149" customWidth="1"/>
    <col min="7170" max="7170" width="59.85546875" style="149" bestFit="1" customWidth="1"/>
    <col min="7171" max="7172" width="16.28515625" style="149" customWidth="1"/>
    <col min="7173" max="7424" width="9.28515625" style="149"/>
    <col min="7425" max="7425" width="7.7109375" style="149" customWidth="1"/>
    <col min="7426" max="7426" width="59.85546875" style="149" bestFit="1" customWidth="1"/>
    <col min="7427" max="7428" width="16.28515625" style="149" customWidth="1"/>
    <col min="7429" max="7680" width="9.28515625" style="149"/>
    <col min="7681" max="7681" width="7.7109375" style="149" customWidth="1"/>
    <col min="7682" max="7682" width="59.85546875" style="149" bestFit="1" customWidth="1"/>
    <col min="7683" max="7684" width="16.28515625" style="149" customWidth="1"/>
    <col min="7685" max="7936" width="9.28515625" style="149"/>
    <col min="7937" max="7937" width="7.7109375" style="149" customWidth="1"/>
    <col min="7938" max="7938" width="59.85546875" style="149" bestFit="1" customWidth="1"/>
    <col min="7939" max="7940" width="16.28515625" style="149" customWidth="1"/>
    <col min="7941" max="8192" width="9.28515625" style="149"/>
    <col min="8193" max="8193" width="7.7109375" style="149" customWidth="1"/>
    <col min="8194" max="8194" width="59.85546875" style="149" bestFit="1" customWidth="1"/>
    <col min="8195" max="8196" width="16.28515625" style="149" customWidth="1"/>
    <col min="8197" max="8448" width="9.28515625" style="149"/>
    <col min="8449" max="8449" width="7.7109375" style="149" customWidth="1"/>
    <col min="8450" max="8450" width="59.85546875" style="149" bestFit="1" customWidth="1"/>
    <col min="8451" max="8452" width="16.28515625" style="149" customWidth="1"/>
    <col min="8453" max="8704" width="9.28515625" style="149"/>
    <col min="8705" max="8705" width="7.7109375" style="149" customWidth="1"/>
    <col min="8706" max="8706" width="59.85546875" style="149" bestFit="1" customWidth="1"/>
    <col min="8707" max="8708" width="16.28515625" style="149" customWidth="1"/>
    <col min="8709" max="8960" width="9.28515625" style="149"/>
    <col min="8961" max="8961" width="7.7109375" style="149" customWidth="1"/>
    <col min="8962" max="8962" width="59.85546875" style="149" bestFit="1" customWidth="1"/>
    <col min="8963" max="8964" width="16.28515625" style="149" customWidth="1"/>
    <col min="8965" max="9216" width="9.28515625" style="149"/>
    <col min="9217" max="9217" width="7.7109375" style="149" customWidth="1"/>
    <col min="9218" max="9218" width="59.85546875" style="149" bestFit="1" customWidth="1"/>
    <col min="9219" max="9220" width="16.28515625" style="149" customWidth="1"/>
    <col min="9221" max="9472" width="9.28515625" style="149"/>
    <col min="9473" max="9473" width="7.7109375" style="149" customWidth="1"/>
    <col min="9474" max="9474" width="59.85546875" style="149" bestFit="1" customWidth="1"/>
    <col min="9475" max="9476" width="16.28515625" style="149" customWidth="1"/>
    <col min="9477" max="9728" width="9.28515625" style="149"/>
    <col min="9729" max="9729" width="7.7109375" style="149" customWidth="1"/>
    <col min="9730" max="9730" width="59.85546875" style="149" bestFit="1" customWidth="1"/>
    <col min="9731" max="9732" width="16.28515625" style="149" customWidth="1"/>
    <col min="9733" max="9984" width="9.28515625" style="149"/>
    <col min="9985" max="9985" width="7.7109375" style="149" customWidth="1"/>
    <col min="9986" max="9986" width="59.85546875" style="149" bestFit="1" customWidth="1"/>
    <col min="9987" max="9988" width="16.28515625" style="149" customWidth="1"/>
    <col min="9989" max="10240" width="9.28515625" style="149"/>
    <col min="10241" max="10241" width="7.7109375" style="149" customWidth="1"/>
    <col min="10242" max="10242" width="59.85546875" style="149" bestFit="1" customWidth="1"/>
    <col min="10243" max="10244" width="16.28515625" style="149" customWidth="1"/>
    <col min="10245" max="10496" width="9.28515625" style="149"/>
    <col min="10497" max="10497" width="7.7109375" style="149" customWidth="1"/>
    <col min="10498" max="10498" width="59.85546875" style="149" bestFit="1" customWidth="1"/>
    <col min="10499" max="10500" width="16.28515625" style="149" customWidth="1"/>
    <col min="10501" max="10752" width="9.28515625" style="149"/>
    <col min="10753" max="10753" width="7.7109375" style="149" customWidth="1"/>
    <col min="10754" max="10754" width="59.85546875" style="149" bestFit="1" customWidth="1"/>
    <col min="10755" max="10756" width="16.28515625" style="149" customWidth="1"/>
    <col min="10757" max="11008" width="9.28515625" style="149"/>
    <col min="11009" max="11009" width="7.7109375" style="149" customWidth="1"/>
    <col min="11010" max="11010" width="59.85546875" style="149" bestFit="1" customWidth="1"/>
    <col min="11011" max="11012" width="16.28515625" style="149" customWidth="1"/>
    <col min="11013" max="11264" width="9.28515625" style="149"/>
    <col min="11265" max="11265" width="7.7109375" style="149" customWidth="1"/>
    <col min="11266" max="11266" width="59.85546875" style="149" bestFit="1" customWidth="1"/>
    <col min="11267" max="11268" width="16.28515625" style="149" customWidth="1"/>
    <col min="11269" max="11520" width="9.28515625" style="149"/>
    <col min="11521" max="11521" width="7.7109375" style="149" customWidth="1"/>
    <col min="11522" max="11522" width="59.85546875" style="149" bestFit="1" customWidth="1"/>
    <col min="11523" max="11524" width="16.28515625" style="149" customWidth="1"/>
    <col min="11525" max="11776" width="9.28515625" style="149"/>
    <col min="11777" max="11777" width="7.7109375" style="149" customWidth="1"/>
    <col min="11778" max="11778" width="59.85546875" style="149" bestFit="1" customWidth="1"/>
    <col min="11779" max="11780" width="16.28515625" style="149" customWidth="1"/>
    <col min="11781" max="12032" width="9.28515625" style="149"/>
    <col min="12033" max="12033" width="7.7109375" style="149" customWidth="1"/>
    <col min="12034" max="12034" width="59.85546875" style="149" bestFit="1" customWidth="1"/>
    <col min="12035" max="12036" width="16.28515625" style="149" customWidth="1"/>
    <col min="12037" max="12288" width="9.28515625" style="149"/>
    <col min="12289" max="12289" width="7.7109375" style="149" customWidth="1"/>
    <col min="12290" max="12290" width="59.85546875" style="149" bestFit="1" customWidth="1"/>
    <col min="12291" max="12292" width="16.28515625" style="149" customWidth="1"/>
    <col min="12293" max="12544" width="9.28515625" style="149"/>
    <col min="12545" max="12545" width="7.7109375" style="149" customWidth="1"/>
    <col min="12546" max="12546" width="59.85546875" style="149" bestFit="1" customWidth="1"/>
    <col min="12547" max="12548" width="16.28515625" style="149" customWidth="1"/>
    <col min="12549" max="12800" width="9.28515625" style="149"/>
    <col min="12801" max="12801" width="7.7109375" style="149" customWidth="1"/>
    <col min="12802" max="12802" width="59.85546875" style="149" bestFit="1" customWidth="1"/>
    <col min="12803" max="12804" width="16.28515625" style="149" customWidth="1"/>
    <col min="12805" max="13056" width="9.28515625" style="149"/>
    <col min="13057" max="13057" width="7.7109375" style="149" customWidth="1"/>
    <col min="13058" max="13058" width="59.85546875" style="149" bestFit="1" customWidth="1"/>
    <col min="13059" max="13060" width="16.28515625" style="149" customWidth="1"/>
    <col min="13061" max="13312" width="9.28515625" style="149"/>
    <col min="13313" max="13313" width="7.7109375" style="149" customWidth="1"/>
    <col min="13314" max="13314" width="59.85546875" style="149" bestFit="1" customWidth="1"/>
    <col min="13315" max="13316" width="16.28515625" style="149" customWidth="1"/>
    <col min="13317" max="13568" width="9.28515625" style="149"/>
    <col min="13569" max="13569" width="7.7109375" style="149" customWidth="1"/>
    <col min="13570" max="13570" width="59.85546875" style="149" bestFit="1" customWidth="1"/>
    <col min="13571" max="13572" width="16.28515625" style="149" customWidth="1"/>
    <col min="13573" max="13824" width="9.28515625" style="149"/>
    <col min="13825" max="13825" width="7.7109375" style="149" customWidth="1"/>
    <col min="13826" max="13826" width="59.85546875" style="149" bestFit="1" customWidth="1"/>
    <col min="13827" max="13828" width="16.28515625" style="149" customWidth="1"/>
    <col min="13829" max="14080" width="9.28515625" style="149"/>
    <col min="14081" max="14081" width="7.7109375" style="149" customWidth="1"/>
    <col min="14082" max="14082" width="59.85546875" style="149" bestFit="1" customWidth="1"/>
    <col min="14083" max="14084" width="16.28515625" style="149" customWidth="1"/>
    <col min="14085" max="14336" width="9.28515625" style="149"/>
    <col min="14337" max="14337" width="7.7109375" style="149" customWidth="1"/>
    <col min="14338" max="14338" width="59.85546875" style="149" bestFit="1" customWidth="1"/>
    <col min="14339" max="14340" width="16.28515625" style="149" customWidth="1"/>
    <col min="14341" max="14592" width="9.28515625" style="149"/>
    <col min="14593" max="14593" width="7.7109375" style="149" customWidth="1"/>
    <col min="14594" max="14594" width="59.85546875" style="149" bestFit="1" customWidth="1"/>
    <col min="14595" max="14596" width="16.28515625" style="149" customWidth="1"/>
    <col min="14597" max="14848" width="9.28515625" style="149"/>
    <col min="14849" max="14849" width="7.7109375" style="149" customWidth="1"/>
    <col min="14850" max="14850" width="59.85546875" style="149" bestFit="1" customWidth="1"/>
    <col min="14851" max="14852" width="16.28515625" style="149" customWidth="1"/>
    <col min="14853" max="15104" width="9.28515625" style="149"/>
    <col min="15105" max="15105" width="7.7109375" style="149" customWidth="1"/>
    <col min="15106" max="15106" width="59.85546875" style="149" bestFit="1" customWidth="1"/>
    <col min="15107" max="15108" width="16.28515625" style="149" customWidth="1"/>
    <col min="15109" max="15360" width="9.28515625" style="149"/>
    <col min="15361" max="15361" width="7.7109375" style="149" customWidth="1"/>
    <col min="15362" max="15362" width="59.85546875" style="149" bestFit="1" customWidth="1"/>
    <col min="15363" max="15364" width="16.28515625" style="149" customWidth="1"/>
    <col min="15365" max="15616" width="9.28515625" style="149"/>
    <col min="15617" max="15617" width="7.7109375" style="149" customWidth="1"/>
    <col min="15618" max="15618" width="59.85546875" style="149" bestFit="1" customWidth="1"/>
    <col min="15619" max="15620" width="16.28515625" style="149" customWidth="1"/>
    <col min="15621" max="15872" width="9.28515625" style="149"/>
    <col min="15873" max="15873" width="7.7109375" style="149" customWidth="1"/>
    <col min="15874" max="15874" width="59.85546875" style="149" bestFit="1" customWidth="1"/>
    <col min="15875" max="15876" width="16.28515625" style="149" customWidth="1"/>
    <col min="15877" max="16128" width="9.28515625" style="149"/>
    <col min="16129" max="16129" width="7.7109375" style="149" customWidth="1"/>
    <col min="16130" max="16130" width="59.85546875" style="149" bestFit="1" customWidth="1"/>
    <col min="16131" max="16132" width="16.28515625" style="149" customWidth="1"/>
    <col min="16133" max="16384" width="9.28515625" style="149"/>
  </cols>
  <sheetData>
    <row r="1" spans="1:4" ht="35.1" customHeight="1">
      <c r="A1" s="1053" t="str">
        <f>+Títulos!$B$2&amp;"
ESTADO DE CAMBIOS EN LA SITUACION FINANCIERA
DEL 01 DE ENERO AL "&amp;Títulos!$B$3</f>
        <v>TRIBUNAL DE JUSTICIA ADMINISTRATIVA
ESTADO DE CAMBIOS EN LA SITUACION FINANCIERA
DEL 01 DE ENERO AL 31 DE DICIEMBRE DE 2017</v>
      </c>
      <c r="B1" s="1054"/>
      <c r="C1" s="1054"/>
      <c r="D1" s="1055"/>
    </row>
    <row r="2" spans="1:4" s="150" customFormat="1" ht="15" customHeight="1">
      <c r="A2" s="141" t="s">
        <v>0</v>
      </c>
      <c r="B2" s="370" t="s">
        <v>1</v>
      </c>
      <c r="C2" s="141" t="s">
        <v>101</v>
      </c>
      <c r="D2" s="141" t="s">
        <v>113</v>
      </c>
    </row>
    <row r="3" spans="1:4" s="154" customFormat="1">
      <c r="A3" s="151">
        <v>1000</v>
      </c>
      <c r="B3" s="13" t="s">
        <v>3</v>
      </c>
      <c r="C3" s="366">
        <f ca="1">IF(+'0311_ESF'!D3&gt;'0311_ESF'!C3,+'0311_ESF'!D3-'0311_ESF'!C3,0)</f>
        <v>0</v>
      </c>
      <c r="D3" s="366">
        <f ca="1">IF(+'0311_ESF'!C3&gt;'0311_ESF'!D3,+'0311_ESF'!C3-'0311_ESF'!D3,0)</f>
        <v>4671057.1499999985</v>
      </c>
    </row>
    <row r="4" spans="1:4" ht="12.75" customHeight="1">
      <c r="A4" s="158">
        <v>1100</v>
      </c>
      <c r="B4" s="15" t="s">
        <v>4</v>
      </c>
      <c r="C4" s="367">
        <f ca="1">IF(+'0311_ESF'!D4&gt;'0311_ESF'!C4,+'0311_ESF'!D4-'0311_ESF'!C4,0)</f>
        <v>0</v>
      </c>
      <c r="D4" s="367">
        <f ca="1">IF(+'0311_ESF'!C4&gt;'0311_ESF'!D4,+'0311_ESF'!C4-'0311_ESF'!D4,0)</f>
        <v>4368904.9799999967</v>
      </c>
    </row>
    <row r="5" spans="1:4">
      <c r="A5" s="158">
        <v>1110</v>
      </c>
      <c r="B5" s="15" t="s">
        <v>5</v>
      </c>
      <c r="C5" s="367">
        <f ca="1">IF(+'0311_ESF'!D5&gt;'0311_ESF'!C5,+'0311_ESF'!D5-'0311_ESF'!C5,0)</f>
        <v>0</v>
      </c>
      <c r="D5" s="367">
        <f ca="1">IF(+'0311_ESF'!C5&gt;'0311_ESF'!D5,+'0311_ESF'!C5-'0311_ESF'!D5,0)</f>
        <v>4368682.9899999984</v>
      </c>
    </row>
    <row r="6" spans="1:4">
      <c r="A6" s="158">
        <v>1111</v>
      </c>
      <c r="B6" s="15" t="s">
        <v>398</v>
      </c>
      <c r="C6" s="367">
        <f ca="1">IF(+'0311_ESF'!D6&gt;'0311_ESF'!C6,+'0311_ESF'!D6-'0311_ESF'!C6,0)</f>
        <v>0</v>
      </c>
      <c r="D6" s="367">
        <f ca="1">IF(+'0311_ESF'!C6&gt;'0311_ESF'!D6,+'0311_ESF'!C6-'0311_ESF'!D6,0)</f>
        <v>0</v>
      </c>
    </row>
    <row r="7" spans="1:4">
      <c r="A7" s="158">
        <v>1112</v>
      </c>
      <c r="B7" s="15" t="s">
        <v>399</v>
      </c>
      <c r="C7" s="367">
        <f ca="1">IF(+'0311_ESF'!D7&gt;'0311_ESF'!C7,+'0311_ESF'!D7-'0311_ESF'!C7,0)</f>
        <v>0</v>
      </c>
      <c r="D7" s="367">
        <f ca="1">IF(+'0311_ESF'!C7&gt;'0311_ESF'!D7,+'0311_ESF'!C7-'0311_ESF'!D7,0)</f>
        <v>2126367.1199999992</v>
      </c>
    </row>
    <row r="8" spans="1:4">
      <c r="A8" s="158">
        <v>1113</v>
      </c>
      <c r="B8" s="15" t="s">
        <v>400</v>
      </c>
      <c r="C8" s="367">
        <f ca="1">IF(+'0311_ESF'!D8&gt;'0311_ESF'!C8,+'0311_ESF'!D8-'0311_ESF'!C8,0)</f>
        <v>0</v>
      </c>
      <c r="D8" s="367">
        <f ca="1">IF(+'0311_ESF'!C8&gt;'0311_ESF'!D8,+'0311_ESF'!C8-'0311_ESF'!D8,0)</f>
        <v>0</v>
      </c>
    </row>
    <row r="9" spans="1:4">
      <c r="A9" s="158">
        <v>1114</v>
      </c>
      <c r="B9" s="15" t="s">
        <v>401</v>
      </c>
      <c r="C9" s="367">
        <f ca="1">IF(+'0311_ESF'!D9&gt;'0311_ESF'!C9,+'0311_ESF'!D9-'0311_ESF'!C9,0)</f>
        <v>0</v>
      </c>
      <c r="D9" s="367">
        <f ca="1">IF(+'0311_ESF'!C9&gt;'0311_ESF'!D9,+'0311_ESF'!C9-'0311_ESF'!D9,0)</f>
        <v>2242315.87</v>
      </c>
    </row>
    <row r="10" spans="1:4">
      <c r="A10" s="158">
        <v>1115</v>
      </c>
      <c r="B10" s="15" t="s">
        <v>403</v>
      </c>
      <c r="C10" s="367">
        <f ca="1">IF(+'0311_ESF'!D10&gt;'0311_ESF'!C10,+'0311_ESF'!D10-'0311_ESF'!C10,0)</f>
        <v>0</v>
      </c>
      <c r="D10" s="367">
        <f ca="1">IF(+'0311_ESF'!C10&gt;'0311_ESF'!D10,+'0311_ESF'!C10-'0311_ESF'!D10,0)</f>
        <v>0</v>
      </c>
    </row>
    <row r="11" spans="1:4">
      <c r="A11" s="158">
        <v>1116</v>
      </c>
      <c r="B11" s="15" t="s">
        <v>404</v>
      </c>
      <c r="C11" s="367">
        <f ca="1">IF(+'0311_ESF'!D11&gt;'0311_ESF'!C11,+'0311_ESF'!D11-'0311_ESF'!C11,0)</f>
        <v>0</v>
      </c>
      <c r="D11" s="367">
        <f ca="1">IF(+'0311_ESF'!C11&gt;'0311_ESF'!D11,+'0311_ESF'!C11-'0311_ESF'!D11,0)</f>
        <v>0</v>
      </c>
    </row>
    <row r="12" spans="1:4">
      <c r="A12" s="158">
        <v>1119</v>
      </c>
      <c r="B12" s="15" t="s">
        <v>405</v>
      </c>
      <c r="C12" s="367">
        <f ca="1">IF(+'0311_ESF'!D12&gt;'0311_ESF'!C12,+'0311_ESF'!D12-'0311_ESF'!C12,0)</f>
        <v>0</v>
      </c>
      <c r="D12" s="367">
        <f ca="1">IF(+'0311_ESF'!C12&gt;'0311_ESF'!D12,+'0311_ESF'!C12-'0311_ESF'!D12,0)</f>
        <v>0</v>
      </c>
    </row>
    <row r="13" spans="1:4">
      <c r="A13" s="158">
        <v>1120</v>
      </c>
      <c r="B13" s="15" t="s">
        <v>6</v>
      </c>
      <c r="C13" s="367">
        <f ca="1">IF(+'0311_ESF'!D13&gt;'0311_ESF'!C13,+'0311_ESF'!D13-'0311_ESF'!C13,0)</f>
        <v>0</v>
      </c>
      <c r="D13" s="367">
        <f ca="1">IF(+'0311_ESF'!C13&gt;'0311_ESF'!D13,+'0311_ESF'!C13-'0311_ESF'!D13,0)</f>
        <v>99.119999999998981</v>
      </c>
    </row>
    <row r="14" spans="1:4">
      <c r="A14" s="158">
        <v>1121</v>
      </c>
      <c r="B14" s="15" t="s">
        <v>406</v>
      </c>
      <c r="C14" s="367">
        <f ca="1">IF(+'0311_ESF'!D14&gt;'0311_ESF'!C14,+'0311_ESF'!D14-'0311_ESF'!C14,0)</f>
        <v>0</v>
      </c>
      <c r="D14" s="367">
        <f ca="1">IF(+'0311_ESF'!C14&gt;'0311_ESF'!D14,+'0311_ESF'!C14-'0311_ESF'!D14,0)</f>
        <v>0</v>
      </c>
    </row>
    <row r="15" spans="1:4">
      <c r="A15" s="158">
        <v>1122</v>
      </c>
      <c r="B15" s="15" t="s">
        <v>407</v>
      </c>
      <c r="C15" s="367">
        <f ca="1">IF(+'0311_ESF'!D15&gt;'0311_ESF'!C15,+'0311_ESF'!D15-'0311_ESF'!C15,0)</f>
        <v>0</v>
      </c>
      <c r="D15" s="367">
        <f ca="1">IF(+'0311_ESF'!C15&gt;'0311_ESF'!D15,+'0311_ESF'!C15-'0311_ESF'!D15,0)</f>
        <v>0</v>
      </c>
    </row>
    <row r="16" spans="1:4">
      <c r="A16" s="158">
        <v>1123</v>
      </c>
      <c r="B16" s="15" t="s">
        <v>409</v>
      </c>
      <c r="C16" s="367">
        <f ca="1">IF(+'0311_ESF'!D16&gt;'0311_ESF'!C16,+'0311_ESF'!D16-'0311_ESF'!C16,0)</f>
        <v>0</v>
      </c>
      <c r="D16" s="367">
        <f ca="1">IF(+'0311_ESF'!C16&gt;'0311_ESF'!D16,+'0311_ESF'!C16-'0311_ESF'!D16,0)</f>
        <v>0.02</v>
      </c>
    </row>
    <row r="17" spans="1:4">
      <c r="A17" s="158">
        <v>1124</v>
      </c>
      <c r="B17" s="15" t="s">
        <v>410</v>
      </c>
      <c r="C17" s="367">
        <f ca="1">IF(+'0311_ESF'!D17&gt;'0311_ESF'!C17,+'0311_ESF'!D17-'0311_ESF'!C17,0)</f>
        <v>0</v>
      </c>
      <c r="D17" s="367">
        <f ca="1">IF(+'0311_ESF'!C17&gt;'0311_ESF'!D17,+'0311_ESF'!C17-'0311_ESF'!D17,0)</f>
        <v>0</v>
      </c>
    </row>
    <row r="18" spans="1:4">
      <c r="A18" s="158">
        <v>1125</v>
      </c>
      <c r="B18" s="15" t="s">
        <v>411</v>
      </c>
      <c r="C18" s="367">
        <f ca="1">IF(+'0311_ESF'!D18&gt;'0311_ESF'!C18,+'0311_ESF'!D18-'0311_ESF'!C18,0)</f>
        <v>0</v>
      </c>
      <c r="D18" s="367">
        <f ca="1">IF(+'0311_ESF'!C18&gt;'0311_ESF'!D18,+'0311_ESF'!C18-'0311_ESF'!D18,0)</f>
        <v>0</v>
      </c>
    </row>
    <row r="19" spans="1:4">
      <c r="A19" s="158">
        <v>1126</v>
      </c>
      <c r="B19" s="15" t="s">
        <v>412</v>
      </c>
      <c r="C19" s="367">
        <f ca="1">IF(+'0311_ESF'!D19&gt;'0311_ESF'!C19,+'0311_ESF'!D19-'0311_ESF'!C19,0)</f>
        <v>0</v>
      </c>
      <c r="D19" s="367">
        <f ca="1">IF(+'0311_ESF'!C19&gt;'0311_ESF'!D19,+'0311_ESF'!C19-'0311_ESF'!D19,0)</f>
        <v>0</v>
      </c>
    </row>
    <row r="20" spans="1:4">
      <c r="A20" s="158">
        <v>1129</v>
      </c>
      <c r="B20" s="15" t="s">
        <v>413</v>
      </c>
      <c r="C20" s="367">
        <f ca="1">IF(+'0311_ESF'!D20&gt;'0311_ESF'!C20,+'0311_ESF'!D20-'0311_ESF'!C20,0)</f>
        <v>0</v>
      </c>
      <c r="D20" s="367">
        <f ca="1">IF(+'0311_ESF'!C20&gt;'0311_ESF'!D20,+'0311_ESF'!C20-'0311_ESF'!D20,0)</f>
        <v>99.100000000000009</v>
      </c>
    </row>
    <row r="21" spans="1:4">
      <c r="A21" s="158">
        <v>1130</v>
      </c>
      <c r="B21" s="15" t="s">
        <v>8</v>
      </c>
      <c r="C21" s="367">
        <f ca="1">IF(+'0311_ESF'!D21&gt;'0311_ESF'!C21,+'0311_ESF'!D21-'0311_ESF'!C21,0)</f>
        <v>0</v>
      </c>
      <c r="D21" s="367">
        <f ca="1">IF(+'0311_ESF'!C21&gt;'0311_ESF'!D21,+'0311_ESF'!C21-'0311_ESF'!D21,0)</f>
        <v>122.86999999999898</v>
      </c>
    </row>
    <row r="22" spans="1:4">
      <c r="A22" s="158">
        <v>1131</v>
      </c>
      <c r="B22" s="15" t="s">
        <v>414</v>
      </c>
      <c r="C22" s="367">
        <f ca="1">IF(+'0311_ESF'!D22&gt;'0311_ESF'!C22,+'0311_ESF'!D22-'0311_ESF'!C22,0)</f>
        <v>0</v>
      </c>
      <c r="D22" s="367">
        <f ca="1">IF(+'0311_ESF'!C22&gt;'0311_ESF'!D22,+'0311_ESF'!C22-'0311_ESF'!D22,0)</f>
        <v>122.86999999999898</v>
      </c>
    </row>
    <row r="23" spans="1:4">
      <c r="A23" s="158">
        <v>1132</v>
      </c>
      <c r="B23" s="15" t="s">
        <v>415</v>
      </c>
      <c r="C23" s="367">
        <f ca="1">IF(+'0311_ESF'!D23&gt;'0311_ESF'!C23,+'0311_ESF'!D23-'0311_ESF'!C23,0)</f>
        <v>0</v>
      </c>
      <c r="D23" s="367">
        <f ca="1">IF(+'0311_ESF'!C23&gt;'0311_ESF'!D23,+'0311_ESF'!C23-'0311_ESF'!D23,0)</f>
        <v>0</v>
      </c>
    </row>
    <row r="24" spans="1:4">
      <c r="A24" s="158">
        <v>1133</v>
      </c>
      <c r="B24" s="15" t="s">
        <v>416</v>
      </c>
      <c r="C24" s="367">
        <f ca="1">IF(+'0311_ESF'!D24&gt;'0311_ESF'!C24,+'0311_ESF'!D24-'0311_ESF'!C24,0)</f>
        <v>0</v>
      </c>
      <c r="D24" s="367">
        <f ca="1">IF(+'0311_ESF'!C24&gt;'0311_ESF'!D24,+'0311_ESF'!C24-'0311_ESF'!D24,0)</f>
        <v>0</v>
      </c>
    </row>
    <row r="25" spans="1:4">
      <c r="A25" s="158">
        <v>1134</v>
      </c>
      <c r="B25" s="15" t="s">
        <v>417</v>
      </c>
      <c r="C25" s="367">
        <f ca="1">IF(+'0311_ESF'!D25&gt;'0311_ESF'!C25,+'0311_ESF'!D25-'0311_ESF'!C25,0)</f>
        <v>0</v>
      </c>
      <c r="D25" s="367">
        <f ca="1">IF(+'0311_ESF'!C25&gt;'0311_ESF'!D25,+'0311_ESF'!C25-'0311_ESF'!D25,0)</f>
        <v>0</v>
      </c>
    </row>
    <row r="26" spans="1:4">
      <c r="A26" s="158">
        <v>1139</v>
      </c>
      <c r="B26" s="15" t="s">
        <v>418</v>
      </c>
      <c r="C26" s="367">
        <f ca="1">IF(+'0311_ESF'!D26&gt;'0311_ESF'!C26,+'0311_ESF'!D26-'0311_ESF'!C26,0)</f>
        <v>0</v>
      </c>
      <c r="D26" s="367">
        <f ca="1">IF(+'0311_ESF'!C26&gt;'0311_ESF'!D26,+'0311_ESF'!C26-'0311_ESF'!D26,0)</f>
        <v>0</v>
      </c>
    </row>
    <row r="27" spans="1:4">
      <c r="A27" s="158">
        <v>1140</v>
      </c>
      <c r="B27" s="15" t="s">
        <v>9</v>
      </c>
      <c r="C27" s="367">
        <f ca="1">IF(+'0311_ESF'!D27&gt;'0311_ESF'!C27,+'0311_ESF'!D27-'0311_ESF'!C27,0)</f>
        <v>0</v>
      </c>
      <c r="D27" s="367">
        <f ca="1">IF(+'0311_ESF'!C27&gt;'0311_ESF'!D27,+'0311_ESF'!C27-'0311_ESF'!D27,0)</f>
        <v>0</v>
      </c>
    </row>
    <row r="28" spans="1:4">
      <c r="A28" s="158">
        <v>1141</v>
      </c>
      <c r="B28" s="15" t="s">
        <v>419</v>
      </c>
      <c r="C28" s="367">
        <f ca="1">IF(+'0311_ESF'!D28&gt;'0311_ESF'!C28,+'0311_ESF'!D28-'0311_ESF'!C28,0)</f>
        <v>0</v>
      </c>
      <c r="D28" s="367">
        <f ca="1">IF(+'0311_ESF'!C28&gt;'0311_ESF'!D28,+'0311_ESF'!C28-'0311_ESF'!D28,0)</f>
        <v>0</v>
      </c>
    </row>
    <row r="29" spans="1:4">
      <c r="A29" s="158">
        <v>1142</v>
      </c>
      <c r="B29" s="15" t="s">
        <v>420</v>
      </c>
      <c r="C29" s="367">
        <f ca="1">IF(+'0311_ESF'!D29&gt;'0311_ESF'!C29,+'0311_ESF'!D29-'0311_ESF'!C29,0)</f>
        <v>0</v>
      </c>
      <c r="D29" s="367">
        <f ca="1">IF(+'0311_ESF'!C29&gt;'0311_ESF'!D29,+'0311_ESF'!C29-'0311_ESF'!D29,0)</f>
        <v>0</v>
      </c>
    </row>
    <row r="30" spans="1:4">
      <c r="A30" s="158">
        <v>1143</v>
      </c>
      <c r="B30" s="15" t="s">
        <v>421</v>
      </c>
      <c r="C30" s="367">
        <f ca="1">IF(+'0311_ESF'!D30&gt;'0311_ESF'!C30,+'0311_ESF'!D30-'0311_ESF'!C30,0)</f>
        <v>0</v>
      </c>
      <c r="D30" s="367">
        <f ca="1">IF(+'0311_ESF'!C30&gt;'0311_ESF'!D30,+'0311_ESF'!C30-'0311_ESF'!D30,0)</f>
        <v>0</v>
      </c>
    </row>
    <row r="31" spans="1:4">
      <c r="A31" s="158">
        <v>1144</v>
      </c>
      <c r="B31" s="15" t="s">
        <v>422</v>
      </c>
      <c r="C31" s="367">
        <f ca="1">IF(+'0311_ESF'!D31&gt;'0311_ESF'!C31,+'0311_ESF'!D31-'0311_ESF'!C31,0)</f>
        <v>0</v>
      </c>
      <c r="D31" s="367">
        <f ca="1">IF(+'0311_ESF'!C31&gt;'0311_ESF'!D31,+'0311_ESF'!C31-'0311_ESF'!D31,0)</f>
        <v>0</v>
      </c>
    </row>
    <row r="32" spans="1:4">
      <c r="A32" s="158">
        <v>1145</v>
      </c>
      <c r="B32" s="15" t="s">
        <v>423</v>
      </c>
      <c r="C32" s="367">
        <f ca="1">IF(+'0311_ESF'!D32&gt;'0311_ESF'!C32,+'0311_ESF'!D32-'0311_ESF'!C32,0)</f>
        <v>0</v>
      </c>
      <c r="D32" s="367">
        <f ca="1">IF(+'0311_ESF'!C32&gt;'0311_ESF'!D32,+'0311_ESF'!C32-'0311_ESF'!D32,0)</f>
        <v>0</v>
      </c>
    </row>
    <row r="33" spans="1:4">
      <c r="A33" s="158">
        <v>1150</v>
      </c>
      <c r="B33" s="15" t="s">
        <v>11</v>
      </c>
      <c r="C33" s="367">
        <f ca="1">IF(+'0311_ESF'!D33&gt;'0311_ESF'!C33,+'0311_ESF'!D33-'0311_ESF'!C33,0)</f>
        <v>0</v>
      </c>
      <c r="D33" s="367">
        <f ca="1">IF(+'0311_ESF'!C33&gt;'0311_ESF'!D33,+'0311_ESF'!C33-'0311_ESF'!D33,0)</f>
        <v>0</v>
      </c>
    </row>
    <row r="34" spans="1:4">
      <c r="A34" s="158">
        <v>1151</v>
      </c>
      <c r="B34" s="15" t="s">
        <v>424</v>
      </c>
      <c r="C34" s="367">
        <f ca="1">IF(+'0311_ESF'!D34&gt;'0311_ESF'!C34,+'0311_ESF'!D34-'0311_ESF'!C34,0)</f>
        <v>0</v>
      </c>
      <c r="D34" s="367">
        <f ca="1">IF(+'0311_ESF'!C34&gt;'0311_ESF'!D34,+'0311_ESF'!C34-'0311_ESF'!D34,0)</f>
        <v>0</v>
      </c>
    </row>
    <row r="35" spans="1:4">
      <c r="A35" s="158">
        <v>1160</v>
      </c>
      <c r="B35" s="15" t="s">
        <v>12</v>
      </c>
      <c r="C35" s="367">
        <f ca="1">IF(+'0311_ESF'!D35&gt;'0311_ESF'!C35,+'0311_ESF'!D35-'0311_ESF'!C35,0)</f>
        <v>0</v>
      </c>
      <c r="D35" s="367">
        <f ca="1">IF(+'0311_ESF'!C35&gt;'0311_ESF'!D35,+'0311_ESF'!C35-'0311_ESF'!D35,0)</f>
        <v>0</v>
      </c>
    </row>
    <row r="36" spans="1:4">
      <c r="A36" s="158">
        <v>1161</v>
      </c>
      <c r="B36" s="15" t="s">
        <v>425</v>
      </c>
      <c r="C36" s="367">
        <f ca="1">IF(+'0311_ESF'!D36&gt;'0311_ESF'!C36,+'0311_ESF'!D36-'0311_ESF'!C36,0)</f>
        <v>0</v>
      </c>
      <c r="D36" s="367">
        <f ca="1">IF(+'0311_ESF'!C36&gt;'0311_ESF'!D36,+'0311_ESF'!C36-'0311_ESF'!D36,0)</f>
        <v>0</v>
      </c>
    </row>
    <row r="37" spans="1:4">
      <c r="A37" s="158">
        <v>1162</v>
      </c>
      <c r="B37" s="15" t="s">
        <v>426</v>
      </c>
      <c r="C37" s="367">
        <f ca="1">IF(+'0311_ESF'!D37&gt;'0311_ESF'!C37,+'0311_ESF'!D37-'0311_ESF'!C37,0)</f>
        <v>0</v>
      </c>
      <c r="D37" s="367">
        <f ca="1">IF(+'0311_ESF'!C37&gt;'0311_ESF'!D37,+'0311_ESF'!C37-'0311_ESF'!D37,0)</f>
        <v>0</v>
      </c>
    </row>
    <row r="38" spans="1:4">
      <c r="A38" s="158">
        <v>1190</v>
      </c>
      <c r="B38" s="15" t="s">
        <v>13</v>
      </c>
      <c r="C38" s="367">
        <f ca="1">IF(+'0311_ESF'!D38&gt;'0311_ESF'!C38,+'0311_ESF'!D38-'0311_ESF'!C38,0)</f>
        <v>0</v>
      </c>
      <c r="D38" s="367">
        <f ca="1">IF(+'0311_ESF'!C38&gt;'0311_ESF'!D38,+'0311_ESF'!C38-'0311_ESF'!D38,0)</f>
        <v>0</v>
      </c>
    </row>
    <row r="39" spans="1:4">
      <c r="A39" s="158">
        <v>1191</v>
      </c>
      <c r="B39" s="15" t="s">
        <v>427</v>
      </c>
      <c r="C39" s="367">
        <f ca="1">IF(+'0311_ESF'!D39&gt;'0311_ESF'!C39,+'0311_ESF'!D39-'0311_ESF'!C39,0)</f>
        <v>0</v>
      </c>
      <c r="D39" s="367">
        <f ca="1">IF(+'0311_ESF'!C39&gt;'0311_ESF'!D39,+'0311_ESF'!C39-'0311_ESF'!D39,0)</f>
        <v>0</v>
      </c>
    </row>
    <row r="40" spans="1:4">
      <c r="A40" s="158">
        <v>1192</v>
      </c>
      <c r="B40" s="15" t="s">
        <v>428</v>
      </c>
      <c r="C40" s="367">
        <f ca="1">IF(+'0311_ESF'!D40&gt;'0311_ESF'!C40,+'0311_ESF'!D40-'0311_ESF'!C40,0)</f>
        <v>0</v>
      </c>
      <c r="D40" s="367">
        <f ca="1">IF(+'0311_ESF'!C40&gt;'0311_ESF'!D40,+'0311_ESF'!C40-'0311_ESF'!D40,0)</f>
        <v>0</v>
      </c>
    </row>
    <row r="41" spans="1:4">
      <c r="A41" s="158">
        <v>1193</v>
      </c>
      <c r="B41" s="15" t="s">
        <v>429</v>
      </c>
      <c r="C41" s="367">
        <f ca="1">IF(+'0311_ESF'!D41&gt;'0311_ESF'!C41,+'0311_ESF'!D41-'0311_ESF'!C41,0)</f>
        <v>0</v>
      </c>
      <c r="D41" s="367">
        <f ca="1">IF(+'0311_ESF'!C41&gt;'0311_ESF'!D41,+'0311_ESF'!C41-'0311_ESF'!D41,0)</f>
        <v>0</v>
      </c>
    </row>
    <row r="42" spans="1:4">
      <c r="A42" s="158">
        <v>1194</v>
      </c>
      <c r="B42" s="159" t="s">
        <v>823</v>
      </c>
      <c r="C42" s="367">
        <f ca="1">IF(+'0311_ESF'!D42&gt;'0311_ESF'!C42,+'0311_ESF'!D42-'0311_ESF'!C42,0)</f>
        <v>0</v>
      </c>
      <c r="D42" s="367">
        <f ca="1">IF(+'0311_ESF'!C42&gt;'0311_ESF'!D42,+'0311_ESF'!C42-'0311_ESF'!D42,0)</f>
        <v>0</v>
      </c>
    </row>
    <row r="43" spans="1:4">
      <c r="A43" s="158">
        <v>1200</v>
      </c>
      <c r="B43" s="15" t="s">
        <v>15</v>
      </c>
      <c r="C43" s="367">
        <f ca="1">IF(+'0311_ESF'!D43&gt;'0311_ESF'!C43,+'0311_ESF'!D43-'0311_ESF'!C43,0)</f>
        <v>0</v>
      </c>
      <c r="D43" s="367">
        <f ca="1">IF(+'0311_ESF'!C43&gt;'0311_ESF'!D43,+'0311_ESF'!C43-'0311_ESF'!D43,0)</f>
        <v>302152.17000000551</v>
      </c>
    </row>
    <row r="44" spans="1:4">
      <c r="A44" s="158">
        <v>1210</v>
      </c>
      <c r="B44" s="15" t="s">
        <v>16</v>
      </c>
      <c r="C44" s="367">
        <f ca="1">IF(+'0311_ESF'!D44&gt;'0311_ESF'!C44,+'0311_ESF'!D44-'0311_ESF'!C44,0)</f>
        <v>0</v>
      </c>
      <c r="D44" s="367">
        <f ca="1">IF(+'0311_ESF'!C44&gt;'0311_ESF'!D44,+'0311_ESF'!C44-'0311_ESF'!D44,0)</f>
        <v>0</v>
      </c>
    </row>
    <row r="45" spans="1:4">
      <c r="A45" s="158">
        <v>1211</v>
      </c>
      <c r="B45" s="15" t="s">
        <v>430</v>
      </c>
      <c r="C45" s="367">
        <f ca="1">IF(+'0311_ESF'!D45&gt;'0311_ESF'!C45,+'0311_ESF'!D45-'0311_ESF'!C45,0)</f>
        <v>0</v>
      </c>
      <c r="D45" s="367">
        <f ca="1">IF(+'0311_ESF'!C45&gt;'0311_ESF'!D45,+'0311_ESF'!C45-'0311_ESF'!D45,0)</f>
        <v>0</v>
      </c>
    </row>
    <row r="46" spans="1:4">
      <c r="A46" s="158">
        <v>1212</v>
      </c>
      <c r="B46" s="15" t="s">
        <v>431</v>
      </c>
      <c r="C46" s="367">
        <f ca="1">IF(+'0311_ESF'!D46&gt;'0311_ESF'!C46,+'0311_ESF'!D46-'0311_ESF'!C46,0)</f>
        <v>0</v>
      </c>
      <c r="D46" s="367">
        <f ca="1">IF(+'0311_ESF'!C46&gt;'0311_ESF'!D46,+'0311_ESF'!C46-'0311_ESF'!D46,0)</f>
        <v>0</v>
      </c>
    </row>
    <row r="47" spans="1:4">
      <c r="A47" s="158">
        <v>1213</v>
      </c>
      <c r="B47" s="15" t="s">
        <v>432</v>
      </c>
      <c r="C47" s="367">
        <f ca="1">IF(+'0311_ESF'!D47&gt;'0311_ESF'!C47,+'0311_ESF'!D47-'0311_ESF'!C47,0)</f>
        <v>0</v>
      </c>
      <c r="D47" s="367">
        <f ca="1">IF(+'0311_ESF'!C47&gt;'0311_ESF'!D47,+'0311_ESF'!C47-'0311_ESF'!D47,0)</f>
        <v>0</v>
      </c>
    </row>
    <row r="48" spans="1:4">
      <c r="A48" s="158">
        <v>1214</v>
      </c>
      <c r="B48" s="15" t="s">
        <v>434</v>
      </c>
      <c r="C48" s="367">
        <f ca="1">IF(+'0311_ESF'!D48&gt;'0311_ESF'!C48,+'0311_ESF'!D48-'0311_ESF'!C48,0)</f>
        <v>0</v>
      </c>
      <c r="D48" s="367">
        <f ca="1">IF(+'0311_ESF'!C48&gt;'0311_ESF'!D48,+'0311_ESF'!C48-'0311_ESF'!D48,0)</f>
        <v>0</v>
      </c>
    </row>
    <row r="49" spans="1:4">
      <c r="A49" s="158">
        <v>1220</v>
      </c>
      <c r="B49" s="15" t="s">
        <v>17</v>
      </c>
      <c r="C49" s="367">
        <f ca="1">IF(+'0311_ESF'!D49&gt;'0311_ESF'!C49,+'0311_ESF'!D49-'0311_ESF'!C49,0)</f>
        <v>0</v>
      </c>
      <c r="D49" s="367">
        <f ca="1">IF(+'0311_ESF'!C49&gt;'0311_ESF'!D49,+'0311_ESF'!C49-'0311_ESF'!D49,0)</f>
        <v>0</v>
      </c>
    </row>
    <row r="50" spans="1:4">
      <c r="A50" s="158">
        <v>1221</v>
      </c>
      <c r="B50" s="15" t="s">
        <v>436</v>
      </c>
      <c r="C50" s="367">
        <f ca="1">IF(+'0311_ESF'!D50&gt;'0311_ESF'!C50,+'0311_ESF'!D50-'0311_ESF'!C50,0)</f>
        <v>0</v>
      </c>
      <c r="D50" s="367">
        <f ca="1">IF(+'0311_ESF'!C50&gt;'0311_ESF'!D50,+'0311_ESF'!C50-'0311_ESF'!D50,0)</f>
        <v>0</v>
      </c>
    </row>
    <row r="51" spans="1:4">
      <c r="A51" s="158">
        <v>1222</v>
      </c>
      <c r="B51" s="15" t="s">
        <v>437</v>
      </c>
      <c r="C51" s="367">
        <f ca="1">IF(+'0311_ESF'!D51&gt;'0311_ESF'!C51,+'0311_ESF'!D51-'0311_ESF'!C51,0)</f>
        <v>0</v>
      </c>
      <c r="D51" s="367">
        <f ca="1">IF(+'0311_ESF'!C51&gt;'0311_ESF'!D51,+'0311_ESF'!C51-'0311_ESF'!D51,0)</f>
        <v>0</v>
      </c>
    </row>
    <row r="52" spans="1:4">
      <c r="A52" s="158">
        <v>1223</v>
      </c>
      <c r="B52" s="15" t="s">
        <v>438</v>
      </c>
      <c r="C52" s="367">
        <f ca="1">IF(+'0311_ESF'!D52&gt;'0311_ESF'!C52,+'0311_ESF'!D52-'0311_ESF'!C52,0)</f>
        <v>0</v>
      </c>
      <c r="D52" s="367">
        <f ca="1">IF(+'0311_ESF'!C52&gt;'0311_ESF'!D52,+'0311_ESF'!C52-'0311_ESF'!D52,0)</f>
        <v>0</v>
      </c>
    </row>
    <row r="53" spans="1:4">
      <c r="A53" s="158">
        <v>1224</v>
      </c>
      <c r="B53" s="15" t="s">
        <v>439</v>
      </c>
      <c r="C53" s="367">
        <f ca="1">IF(+'0311_ESF'!D53&gt;'0311_ESF'!C53,+'0311_ESF'!D53-'0311_ESF'!C53,0)</f>
        <v>0</v>
      </c>
      <c r="D53" s="367">
        <f ca="1">IF(+'0311_ESF'!C53&gt;'0311_ESF'!D53,+'0311_ESF'!C53-'0311_ESF'!D53,0)</f>
        <v>0</v>
      </c>
    </row>
    <row r="54" spans="1:4">
      <c r="A54" s="158">
        <v>1229</v>
      </c>
      <c r="B54" s="15" t="s">
        <v>440</v>
      </c>
      <c r="C54" s="367">
        <f ca="1">IF(+'0311_ESF'!D54&gt;'0311_ESF'!C54,+'0311_ESF'!D54-'0311_ESF'!C54,0)</f>
        <v>0</v>
      </c>
      <c r="D54" s="367">
        <f ca="1">IF(+'0311_ESF'!C54&gt;'0311_ESF'!D54,+'0311_ESF'!C54-'0311_ESF'!D54,0)</f>
        <v>0</v>
      </c>
    </row>
    <row r="55" spans="1:4">
      <c r="A55" s="158">
        <v>1230</v>
      </c>
      <c r="B55" s="15" t="s">
        <v>18</v>
      </c>
      <c r="C55" s="367">
        <f ca="1">IF(+'0311_ESF'!D55&gt;'0311_ESF'!C55,+'0311_ESF'!D55-'0311_ESF'!C55,0)</f>
        <v>0</v>
      </c>
      <c r="D55" s="367">
        <f ca="1">IF(+'0311_ESF'!C55&gt;'0311_ESF'!D55,+'0311_ESF'!C55-'0311_ESF'!D55,0)</f>
        <v>0</v>
      </c>
    </row>
    <row r="56" spans="1:4">
      <c r="A56" s="158">
        <v>1231</v>
      </c>
      <c r="B56" s="15" t="s">
        <v>441</v>
      </c>
      <c r="C56" s="367">
        <f ca="1">IF(+'0311_ESF'!D56&gt;'0311_ESF'!C56,+'0311_ESF'!D56-'0311_ESF'!C56,0)</f>
        <v>0</v>
      </c>
      <c r="D56" s="367">
        <f ca="1">IF(+'0311_ESF'!C56&gt;'0311_ESF'!D56,+'0311_ESF'!C56-'0311_ESF'!D56,0)</f>
        <v>0</v>
      </c>
    </row>
    <row r="57" spans="1:4">
      <c r="A57" s="158">
        <v>1232</v>
      </c>
      <c r="B57" s="15" t="s">
        <v>442</v>
      </c>
      <c r="C57" s="367">
        <f ca="1">IF(+'0311_ESF'!D57&gt;'0311_ESF'!C57,+'0311_ESF'!D57-'0311_ESF'!C57,0)</f>
        <v>0</v>
      </c>
      <c r="D57" s="367">
        <f ca="1">IF(+'0311_ESF'!C57&gt;'0311_ESF'!D57,+'0311_ESF'!C57-'0311_ESF'!D57,0)</f>
        <v>0</v>
      </c>
    </row>
    <row r="58" spans="1:4">
      <c r="A58" s="158">
        <v>1233</v>
      </c>
      <c r="B58" s="15" t="s">
        <v>443</v>
      </c>
      <c r="C58" s="367">
        <f ca="1">IF(+'0311_ESF'!D58&gt;'0311_ESF'!C58,+'0311_ESF'!D58-'0311_ESF'!C58,0)</f>
        <v>0</v>
      </c>
      <c r="D58" s="367">
        <f ca="1">IF(+'0311_ESF'!C58&gt;'0311_ESF'!D58,+'0311_ESF'!C58-'0311_ESF'!D58,0)</f>
        <v>0</v>
      </c>
    </row>
    <row r="59" spans="1:4">
      <c r="A59" s="158">
        <v>1234</v>
      </c>
      <c r="B59" s="15" t="s">
        <v>444</v>
      </c>
      <c r="C59" s="367">
        <f ca="1">IF(+'0311_ESF'!D59&gt;'0311_ESF'!C59,+'0311_ESF'!D59-'0311_ESF'!C59,0)</f>
        <v>0</v>
      </c>
      <c r="D59" s="367">
        <f ca="1">IF(+'0311_ESF'!C59&gt;'0311_ESF'!D59,+'0311_ESF'!C59-'0311_ESF'!D59,0)</f>
        <v>0</v>
      </c>
    </row>
    <row r="60" spans="1:4">
      <c r="A60" s="158">
        <v>1235</v>
      </c>
      <c r="B60" s="15" t="s">
        <v>445</v>
      </c>
      <c r="C60" s="367">
        <f ca="1">IF(+'0311_ESF'!D60&gt;'0311_ESF'!C60,+'0311_ESF'!D60-'0311_ESF'!C60,0)</f>
        <v>0</v>
      </c>
      <c r="D60" s="367">
        <f ca="1">IF(+'0311_ESF'!C60&gt;'0311_ESF'!D60,+'0311_ESF'!C60-'0311_ESF'!D60,0)</f>
        <v>0</v>
      </c>
    </row>
    <row r="61" spans="1:4">
      <c r="A61" s="158">
        <v>1236</v>
      </c>
      <c r="B61" s="15" t="s">
        <v>446</v>
      </c>
      <c r="C61" s="367">
        <f ca="1">IF(+'0311_ESF'!D61&gt;'0311_ESF'!C61,+'0311_ESF'!D61-'0311_ESF'!C61,0)</f>
        <v>0</v>
      </c>
      <c r="D61" s="367">
        <f ca="1">IF(+'0311_ESF'!C61&gt;'0311_ESF'!D61,+'0311_ESF'!C61-'0311_ESF'!D61,0)</f>
        <v>0</v>
      </c>
    </row>
    <row r="62" spans="1:4">
      <c r="A62" s="158">
        <v>1239</v>
      </c>
      <c r="B62" s="15" t="s">
        <v>447</v>
      </c>
      <c r="C62" s="367">
        <f ca="1">IF(+'0311_ESF'!D62&gt;'0311_ESF'!C62,+'0311_ESF'!D62-'0311_ESF'!C62,0)</f>
        <v>0</v>
      </c>
      <c r="D62" s="367">
        <f ca="1">IF(+'0311_ESF'!C62&gt;'0311_ESF'!D62,+'0311_ESF'!C62-'0311_ESF'!D62,0)</f>
        <v>0</v>
      </c>
    </row>
    <row r="63" spans="1:4">
      <c r="A63" s="158">
        <v>1240</v>
      </c>
      <c r="B63" s="15" t="s">
        <v>20</v>
      </c>
      <c r="C63" s="367">
        <f ca="1">IF(+'0311_ESF'!D63&gt;'0311_ESF'!C63,+'0311_ESF'!D63-'0311_ESF'!C63,0)</f>
        <v>0</v>
      </c>
      <c r="D63" s="367">
        <f ca="1">IF(+'0311_ESF'!C63&gt;'0311_ESF'!D63,+'0311_ESF'!C63-'0311_ESF'!D63,0)</f>
        <v>2028189.9299999997</v>
      </c>
    </row>
    <row r="64" spans="1:4">
      <c r="A64" s="158">
        <v>1241</v>
      </c>
      <c r="B64" s="15" t="s">
        <v>21</v>
      </c>
      <c r="C64" s="367">
        <f ca="1">IF(+'0311_ESF'!D64&gt;'0311_ESF'!C64,+'0311_ESF'!D64-'0311_ESF'!C64,0)</f>
        <v>0</v>
      </c>
      <c r="D64" s="367">
        <f ca="1">IF(+'0311_ESF'!C64&gt;'0311_ESF'!D64,+'0311_ESF'!C64-'0311_ESF'!D64,0)</f>
        <v>1374928.2000000011</v>
      </c>
    </row>
    <row r="65" spans="1:4">
      <c r="A65" s="158">
        <v>1242</v>
      </c>
      <c r="B65" s="15" t="s">
        <v>22</v>
      </c>
      <c r="C65" s="367">
        <f ca="1">IF(+'0311_ESF'!D65&gt;'0311_ESF'!C65,+'0311_ESF'!D65-'0311_ESF'!C65,0)</f>
        <v>0</v>
      </c>
      <c r="D65" s="367">
        <f ca="1">IF(+'0311_ESF'!C65&gt;'0311_ESF'!D65,+'0311_ESF'!C65-'0311_ESF'!D65,0)</f>
        <v>0</v>
      </c>
    </row>
    <row r="66" spans="1:4">
      <c r="A66" s="158">
        <v>1243</v>
      </c>
      <c r="B66" s="15" t="s">
        <v>23</v>
      </c>
      <c r="C66" s="367">
        <f ca="1">IF(+'0311_ESF'!D66&gt;'0311_ESF'!C66,+'0311_ESF'!D66-'0311_ESF'!C66,0)</f>
        <v>0</v>
      </c>
      <c r="D66" s="367">
        <f ca="1">IF(+'0311_ESF'!C66&gt;'0311_ESF'!D66,+'0311_ESF'!C66-'0311_ESF'!D66,0)</f>
        <v>0</v>
      </c>
    </row>
    <row r="67" spans="1:4">
      <c r="A67" s="158">
        <v>1244</v>
      </c>
      <c r="B67" s="15" t="s">
        <v>24</v>
      </c>
      <c r="C67" s="367">
        <f ca="1">IF(+'0311_ESF'!D67&gt;'0311_ESF'!C67,+'0311_ESF'!D67-'0311_ESF'!C67,0)</f>
        <v>0</v>
      </c>
      <c r="D67" s="367">
        <f ca="1">IF(+'0311_ESF'!C67&gt;'0311_ESF'!D67,+'0311_ESF'!C67-'0311_ESF'!D67,0)</f>
        <v>559597.99000000022</v>
      </c>
    </row>
    <row r="68" spans="1:4">
      <c r="A68" s="158">
        <v>1245</v>
      </c>
      <c r="B68" s="15" t="s">
        <v>25</v>
      </c>
      <c r="C68" s="367">
        <f ca="1">IF(+'0311_ESF'!D68&gt;'0311_ESF'!C68,+'0311_ESF'!D68-'0311_ESF'!C68,0)</f>
        <v>0</v>
      </c>
      <c r="D68" s="367">
        <f ca="1">IF(+'0311_ESF'!C68&gt;'0311_ESF'!D68,+'0311_ESF'!C68-'0311_ESF'!D68,0)</f>
        <v>0</v>
      </c>
    </row>
    <row r="69" spans="1:4">
      <c r="A69" s="158">
        <v>1246</v>
      </c>
      <c r="B69" s="15" t="s">
        <v>26</v>
      </c>
      <c r="C69" s="367">
        <f ca="1">IF(+'0311_ESF'!D69&gt;'0311_ESF'!C69,+'0311_ESF'!D69-'0311_ESF'!C69,0)</f>
        <v>0</v>
      </c>
      <c r="D69" s="367">
        <f ca="1">IF(+'0311_ESF'!C69&gt;'0311_ESF'!D69,+'0311_ESF'!C69-'0311_ESF'!D69,0)</f>
        <v>93663.739999999991</v>
      </c>
    </row>
    <row r="70" spans="1:4">
      <c r="A70" s="158">
        <v>1247</v>
      </c>
      <c r="B70" s="15" t="s">
        <v>448</v>
      </c>
      <c r="C70" s="367">
        <f ca="1">IF(+'0311_ESF'!D70&gt;'0311_ESF'!C70,+'0311_ESF'!D70-'0311_ESF'!C70,0)</f>
        <v>0</v>
      </c>
      <c r="D70" s="367">
        <f ca="1">IF(+'0311_ESF'!C70&gt;'0311_ESF'!D70,+'0311_ESF'!C70-'0311_ESF'!D70,0)</f>
        <v>0</v>
      </c>
    </row>
    <row r="71" spans="1:4">
      <c r="A71" s="158">
        <v>1248</v>
      </c>
      <c r="B71" s="15" t="s">
        <v>27</v>
      </c>
      <c r="C71" s="367">
        <f ca="1">IF(+'0311_ESF'!D71&gt;'0311_ESF'!C71,+'0311_ESF'!D71-'0311_ESF'!C71,0)</f>
        <v>0</v>
      </c>
      <c r="D71" s="367">
        <f ca="1">IF(+'0311_ESF'!C71&gt;'0311_ESF'!D71,+'0311_ESF'!C71-'0311_ESF'!D71,0)</f>
        <v>0</v>
      </c>
    </row>
    <row r="72" spans="1:4">
      <c r="A72" s="158">
        <v>1250</v>
      </c>
      <c r="B72" s="15" t="s">
        <v>28</v>
      </c>
      <c r="C72" s="367">
        <f ca="1">IF(+'0311_ESF'!D72&gt;'0311_ESF'!C72,+'0311_ESF'!D72-'0311_ESF'!C72,0)</f>
        <v>0</v>
      </c>
      <c r="D72" s="367">
        <f ca="1">IF(+'0311_ESF'!C72&gt;'0311_ESF'!D72,+'0311_ESF'!C72-'0311_ESF'!D72,0)</f>
        <v>125415.29999999888</v>
      </c>
    </row>
    <row r="73" spans="1:4">
      <c r="A73" s="158">
        <v>1251</v>
      </c>
      <c r="B73" s="15" t="s">
        <v>449</v>
      </c>
      <c r="C73" s="367">
        <f ca="1">IF(+'0311_ESF'!D73&gt;'0311_ESF'!C73,+'0311_ESF'!D73-'0311_ESF'!C73,0)</f>
        <v>0</v>
      </c>
      <c r="D73" s="367">
        <f ca="1">IF(+'0311_ESF'!C73&gt;'0311_ESF'!D73,+'0311_ESF'!C73-'0311_ESF'!D73,0)</f>
        <v>0</v>
      </c>
    </row>
    <row r="74" spans="1:4">
      <c r="A74" s="158">
        <v>1252</v>
      </c>
      <c r="B74" s="15" t="s">
        <v>450</v>
      </c>
      <c r="C74" s="367">
        <f ca="1">IF(+'0311_ESF'!D74&gt;'0311_ESF'!C74,+'0311_ESF'!D74-'0311_ESF'!C74,0)</f>
        <v>0</v>
      </c>
      <c r="D74" s="367">
        <f ca="1">IF(+'0311_ESF'!C74&gt;'0311_ESF'!D74,+'0311_ESF'!C74-'0311_ESF'!D74,0)</f>
        <v>125415.29999999993</v>
      </c>
    </row>
    <row r="75" spans="1:4">
      <c r="A75" s="158">
        <v>1253</v>
      </c>
      <c r="B75" s="15" t="s">
        <v>451</v>
      </c>
      <c r="C75" s="367">
        <f ca="1">IF(+'0311_ESF'!D75&gt;'0311_ESF'!C75,+'0311_ESF'!D75-'0311_ESF'!C75,0)</f>
        <v>0</v>
      </c>
      <c r="D75" s="367">
        <f ca="1">IF(+'0311_ESF'!C75&gt;'0311_ESF'!D75,+'0311_ESF'!C75-'0311_ESF'!D75,0)</f>
        <v>0</v>
      </c>
    </row>
    <row r="76" spans="1:4">
      <c r="A76" s="158">
        <v>1254</v>
      </c>
      <c r="B76" s="15" t="s">
        <v>452</v>
      </c>
      <c r="C76" s="367">
        <f ca="1">IF(+'0311_ESF'!D76&gt;'0311_ESF'!C76,+'0311_ESF'!D76-'0311_ESF'!C76,0)</f>
        <v>0</v>
      </c>
      <c r="D76" s="367">
        <f ca="1">IF(+'0311_ESF'!C76&gt;'0311_ESF'!D76,+'0311_ESF'!C76-'0311_ESF'!D76,0)</f>
        <v>0</v>
      </c>
    </row>
    <row r="77" spans="1:4">
      <c r="A77" s="158">
        <v>1259</v>
      </c>
      <c r="B77" s="15" t="s">
        <v>453</v>
      </c>
      <c r="C77" s="367">
        <f ca="1">IF(+'0311_ESF'!D77&gt;'0311_ESF'!C77,+'0311_ESF'!D77-'0311_ESF'!C77,0)</f>
        <v>0</v>
      </c>
      <c r="D77" s="367">
        <f ca="1">IF(+'0311_ESF'!C77&gt;'0311_ESF'!D77,+'0311_ESF'!C77-'0311_ESF'!D77,0)</f>
        <v>0</v>
      </c>
    </row>
    <row r="78" spans="1:4">
      <c r="A78" s="158">
        <v>1260</v>
      </c>
      <c r="B78" s="15" t="s">
        <v>30</v>
      </c>
      <c r="C78" s="367">
        <f ca="1">IF(+'0311_ESF'!D78&gt;'0311_ESF'!C78,+'0311_ESF'!D78-'0311_ESF'!C78,0)</f>
        <v>1841167.3400000017</v>
      </c>
      <c r="D78" s="367">
        <f ca="1">IF(+'0311_ESF'!C78&gt;'0311_ESF'!D78,+'0311_ESF'!C78-'0311_ESF'!D78,0)</f>
        <v>0</v>
      </c>
    </row>
    <row r="79" spans="1:4">
      <c r="A79" s="158">
        <v>1261</v>
      </c>
      <c r="B79" s="15" t="s">
        <v>454</v>
      </c>
      <c r="C79" s="367">
        <f ca="1">IF(+'0311_ESF'!D79&gt;'0311_ESF'!C79,+'0311_ESF'!D79-'0311_ESF'!C79,0)</f>
        <v>0</v>
      </c>
      <c r="D79" s="367">
        <f ca="1">IF(+'0311_ESF'!C79&gt;'0311_ESF'!D79,+'0311_ESF'!C79-'0311_ESF'!D79,0)</f>
        <v>0</v>
      </c>
    </row>
    <row r="80" spans="1:4">
      <c r="A80" s="158">
        <v>1262</v>
      </c>
      <c r="B80" s="15" t="s">
        <v>455</v>
      </c>
      <c r="C80" s="367">
        <f ca="1">IF(+'0311_ESF'!D80&gt;'0311_ESF'!C80,+'0311_ESF'!D80-'0311_ESF'!C80,0)</f>
        <v>0</v>
      </c>
      <c r="D80" s="367">
        <f ca="1">IF(+'0311_ESF'!C80&gt;'0311_ESF'!D80,+'0311_ESF'!C80-'0311_ESF'!D80,0)</f>
        <v>0</v>
      </c>
    </row>
    <row r="81" spans="1:4">
      <c r="A81" s="158">
        <v>1263</v>
      </c>
      <c r="B81" s="15" t="s">
        <v>456</v>
      </c>
      <c r="C81" s="367">
        <f ca="1">IF(+'0311_ESF'!D81&gt;'0311_ESF'!C81,+'0311_ESF'!D81-'0311_ESF'!C81,0)</f>
        <v>1841167.3400000017</v>
      </c>
      <c r="D81" s="367">
        <f ca="1">IF(+'0311_ESF'!C81&gt;'0311_ESF'!D81,+'0311_ESF'!C81-'0311_ESF'!D81,0)</f>
        <v>0</v>
      </c>
    </row>
    <row r="82" spans="1:4">
      <c r="A82" s="158">
        <v>1264</v>
      </c>
      <c r="B82" s="15" t="s">
        <v>457</v>
      </c>
      <c r="C82" s="367">
        <f ca="1">IF(+'0311_ESF'!D82&gt;'0311_ESF'!C82,+'0311_ESF'!D82-'0311_ESF'!C82,0)</f>
        <v>0</v>
      </c>
      <c r="D82" s="367">
        <f ca="1">IF(+'0311_ESF'!C82&gt;'0311_ESF'!D82,+'0311_ESF'!C82-'0311_ESF'!D82,0)</f>
        <v>0</v>
      </c>
    </row>
    <row r="83" spans="1:4">
      <c r="A83" s="158">
        <v>1265</v>
      </c>
      <c r="B83" s="15" t="s">
        <v>458</v>
      </c>
      <c r="C83" s="367">
        <f ca="1">IF(+'0311_ESF'!D83&gt;'0311_ESF'!C83,+'0311_ESF'!D83-'0311_ESF'!C83,0)</f>
        <v>0</v>
      </c>
      <c r="D83" s="367">
        <f ca="1">IF(+'0311_ESF'!C83&gt;'0311_ESF'!D83,+'0311_ESF'!C83-'0311_ESF'!D83,0)</f>
        <v>0</v>
      </c>
    </row>
    <row r="84" spans="1:4">
      <c r="A84" s="158">
        <v>1270</v>
      </c>
      <c r="B84" s="15" t="s">
        <v>31</v>
      </c>
      <c r="C84" s="367">
        <f ca="1">IF(+'0311_ESF'!D84&gt;'0311_ESF'!C84,+'0311_ESF'!D84-'0311_ESF'!C84,0)</f>
        <v>10285.720000000001</v>
      </c>
      <c r="D84" s="367">
        <f ca="1">IF(+'0311_ESF'!C84&gt;'0311_ESF'!D84,+'0311_ESF'!C84-'0311_ESF'!D84,0)</f>
        <v>0</v>
      </c>
    </row>
    <row r="85" spans="1:4">
      <c r="A85" s="158">
        <v>1271</v>
      </c>
      <c r="B85" s="15" t="s">
        <v>459</v>
      </c>
      <c r="C85" s="367">
        <f ca="1">IF(+'0311_ESF'!D85&gt;'0311_ESF'!C85,+'0311_ESF'!D85-'0311_ESF'!C85,0)</f>
        <v>0</v>
      </c>
      <c r="D85" s="367">
        <f ca="1">IF(+'0311_ESF'!C85&gt;'0311_ESF'!D85,+'0311_ESF'!C85-'0311_ESF'!D85,0)</f>
        <v>0</v>
      </c>
    </row>
    <row r="86" spans="1:4">
      <c r="A86" s="158">
        <v>1272</v>
      </c>
      <c r="B86" s="15" t="s">
        <v>460</v>
      </c>
      <c r="C86" s="367">
        <f ca="1">IF(+'0311_ESF'!D86&gt;'0311_ESF'!C86,+'0311_ESF'!D86-'0311_ESF'!C86,0)</f>
        <v>0</v>
      </c>
      <c r="D86" s="367">
        <f ca="1">IF(+'0311_ESF'!C86&gt;'0311_ESF'!D86,+'0311_ESF'!C86-'0311_ESF'!D86,0)</f>
        <v>0</v>
      </c>
    </row>
    <row r="87" spans="1:4">
      <c r="A87" s="158">
        <v>1273</v>
      </c>
      <c r="B87" s="15" t="s">
        <v>461</v>
      </c>
      <c r="C87" s="367">
        <f ca="1">IF(+'0311_ESF'!D87&gt;'0311_ESF'!C87,+'0311_ESF'!D87-'0311_ESF'!C87,0)</f>
        <v>10285.720000000001</v>
      </c>
      <c r="D87" s="367">
        <f ca="1">IF(+'0311_ESF'!C87&gt;'0311_ESF'!D87,+'0311_ESF'!C87-'0311_ESF'!D87,0)</f>
        <v>0</v>
      </c>
    </row>
    <row r="88" spans="1:4">
      <c r="A88" s="158">
        <v>1274</v>
      </c>
      <c r="B88" s="15" t="s">
        <v>462</v>
      </c>
      <c r="C88" s="367">
        <f ca="1">IF(+'0311_ESF'!D88&gt;'0311_ESF'!C88,+'0311_ESF'!D88-'0311_ESF'!C88,0)</f>
        <v>0</v>
      </c>
      <c r="D88" s="367">
        <f ca="1">IF(+'0311_ESF'!C88&gt;'0311_ESF'!D88,+'0311_ESF'!C88-'0311_ESF'!D88,0)</f>
        <v>0</v>
      </c>
    </row>
    <row r="89" spans="1:4">
      <c r="A89" s="158">
        <v>1275</v>
      </c>
      <c r="B89" s="15" t="s">
        <v>463</v>
      </c>
      <c r="C89" s="367">
        <f ca="1">IF(+'0311_ESF'!D89&gt;'0311_ESF'!C89,+'0311_ESF'!D89-'0311_ESF'!C89,0)</f>
        <v>0</v>
      </c>
      <c r="D89" s="367">
        <f ca="1">IF(+'0311_ESF'!C89&gt;'0311_ESF'!D89,+'0311_ESF'!C89-'0311_ESF'!D89,0)</f>
        <v>0</v>
      </c>
    </row>
    <row r="90" spans="1:4">
      <c r="A90" s="158">
        <v>1279</v>
      </c>
      <c r="B90" s="15" t="s">
        <v>464</v>
      </c>
      <c r="C90" s="367">
        <f ca="1">IF(+'0311_ESF'!D90&gt;'0311_ESF'!C90,+'0311_ESF'!D90-'0311_ESF'!C90,0)</f>
        <v>0</v>
      </c>
      <c r="D90" s="367">
        <f ca="1">IF(+'0311_ESF'!C90&gt;'0311_ESF'!D90,+'0311_ESF'!C90-'0311_ESF'!D90,0)</f>
        <v>0</v>
      </c>
    </row>
    <row r="91" spans="1:4">
      <c r="A91" s="158">
        <v>1280</v>
      </c>
      <c r="B91" s="15" t="s">
        <v>32</v>
      </c>
      <c r="C91" s="367">
        <f ca="1">IF(+'0311_ESF'!D91&gt;'0311_ESF'!C91,+'0311_ESF'!D91-'0311_ESF'!C91,0)</f>
        <v>0</v>
      </c>
      <c r="D91" s="367">
        <f ca="1">IF(+'0311_ESF'!C91&gt;'0311_ESF'!D91,+'0311_ESF'!C91-'0311_ESF'!D91,0)</f>
        <v>0</v>
      </c>
    </row>
    <row r="92" spans="1:4">
      <c r="A92" s="158">
        <v>1281</v>
      </c>
      <c r="B92" s="15" t="s">
        <v>465</v>
      </c>
      <c r="C92" s="367">
        <f ca="1">IF(+'0311_ESF'!D92&gt;'0311_ESF'!C92,+'0311_ESF'!D92-'0311_ESF'!C92,0)</f>
        <v>0</v>
      </c>
      <c r="D92" s="367">
        <f ca="1">IF(+'0311_ESF'!C92&gt;'0311_ESF'!D92,+'0311_ESF'!C92-'0311_ESF'!D92,0)</f>
        <v>0</v>
      </c>
    </row>
    <row r="93" spans="1:4">
      <c r="A93" s="158">
        <v>1282</v>
      </c>
      <c r="B93" s="15" t="s">
        <v>466</v>
      </c>
      <c r="C93" s="367">
        <f ca="1">IF(+'0311_ESF'!D93&gt;'0311_ESF'!C93,+'0311_ESF'!D93-'0311_ESF'!C93,0)</f>
        <v>0</v>
      </c>
      <c r="D93" s="367">
        <f ca="1">IF(+'0311_ESF'!C93&gt;'0311_ESF'!D93,+'0311_ESF'!C93-'0311_ESF'!D93,0)</f>
        <v>0</v>
      </c>
    </row>
    <row r="94" spans="1:4">
      <c r="A94" s="158">
        <v>1283</v>
      </c>
      <c r="B94" s="15" t="s">
        <v>467</v>
      </c>
      <c r="C94" s="367">
        <f ca="1">IF(+'0311_ESF'!D94&gt;'0311_ESF'!C94,+'0311_ESF'!D94-'0311_ESF'!C94,0)</f>
        <v>0</v>
      </c>
      <c r="D94" s="367">
        <f ca="1">IF(+'0311_ESF'!C94&gt;'0311_ESF'!D94,+'0311_ESF'!C94-'0311_ESF'!D94,0)</f>
        <v>0</v>
      </c>
    </row>
    <row r="95" spans="1:4">
      <c r="A95" s="158">
        <v>1284</v>
      </c>
      <c r="B95" s="15" t="s">
        <v>468</v>
      </c>
      <c r="C95" s="367">
        <f ca="1">IF(+'0311_ESF'!D95&gt;'0311_ESF'!C95,+'0311_ESF'!D95-'0311_ESF'!C95,0)</f>
        <v>0</v>
      </c>
      <c r="D95" s="367">
        <f ca="1">IF(+'0311_ESF'!C95&gt;'0311_ESF'!D95,+'0311_ESF'!C95-'0311_ESF'!D95,0)</f>
        <v>0</v>
      </c>
    </row>
    <row r="96" spans="1:4">
      <c r="A96" s="158">
        <v>1289</v>
      </c>
      <c r="B96" s="15" t="s">
        <v>469</v>
      </c>
      <c r="C96" s="367">
        <f ca="1">IF(+'0311_ESF'!D96&gt;'0311_ESF'!C96,+'0311_ESF'!D96-'0311_ESF'!C96,0)</f>
        <v>0</v>
      </c>
      <c r="D96" s="367">
        <f ca="1">IF(+'0311_ESF'!C96&gt;'0311_ESF'!D96,+'0311_ESF'!C96-'0311_ESF'!D96,0)</f>
        <v>0</v>
      </c>
    </row>
    <row r="97" spans="1:4">
      <c r="A97" s="158">
        <v>1290</v>
      </c>
      <c r="B97" s="15" t="s">
        <v>34</v>
      </c>
      <c r="C97" s="367">
        <f ca="1">IF(+'0311_ESF'!D97&gt;'0311_ESF'!C97,+'0311_ESF'!D97-'0311_ESF'!C97,0)</f>
        <v>0</v>
      </c>
      <c r="D97" s="367">
        <f ca="1">IF(+'0311_ESF'!C97&gt;'0311_ESF'!D97,+'0311_ESF'!C97-'0311_ESF'!D97,0)</f>
        <v>0</v>
      </c>
    </row>
    <row r="98" spans="1:4">
      <c r="A98" s="158">
        <v>1291</v>
      </c>
      <c r="B98" s="15" t="s">
        <v>470</v>
      </c>
      <c r="C98" s="367">
        <f ca="1">IF(+'0311_ESF'!D98&gt;'0311_ESF'!C98,+'0311_ESF'!D98-'0311_ESF'!C98,0)</f>
        <v>0</v>
      </c>
      <c r="D98" s="367">
        <f ca="1">IF(+'0311_ESF'!C98&gt;'0311_ESF'!D98,+'0311_ESF'!C98-'0311_ESF'!D98,0)</f>
        <v>0</v>
      </c>
    </row>
    <row r="99" spans="1:4">
      <c r="A99" s="158">
        <v>1292</v>
      </c>
      <c r="B99" s="15" t="s">
        <v>471</v>
      </c>
      <c r="C99" s="367">
        <f ca="1">IF(+'0311_ESF'!D99&gt;'0311_ESF'!C99,+'0311_ESF'!D99-'0311_ESF'!C99,0)</f>
        <v>0</v>
      </c>
      <c r="D99" s="367">
        <f ca="1">IF(+'0311_ESF'!C99&gt;'0311_ESF'!D99,+'0311_ESF'!C99-'0311_ESF'!D99,0)</f>
        <v>0</v>
      </c>
    </row>
    <row r="100" spans="1:4">
      <c r="A100" s="158">
        <v>1293</v>
      </c>
      <c r="B100" s="15" t="s">
        <v>472</v>
      </c>
      <c r="C100" s="367">
        <f ca="1">IF(+'0311_ESF'!D100&gt;'0311_ESF'!C100,+'0311_ESF'!D100-'0311_ESF'!C100,0)</f>
        <v>0</v>
      </c>
      <c r="D100" s="367">
        <f ca="1">IF(+'0311_ESF'!C100&gt;'0311_ESF'!D100,+'0311_ESF'!C100-'0311_ESF'!D100,0)</f>
        <v>0</v>
      </c>
    </row>
    <row r="101" spans="1:4" s="154" customFormat="1">
      <c r="A101" s="155">
        <v>2000</v>
      </c>
      <c r="B101" s="14" t="s">
        <v>35</v>
      </c>
      <c r="C101" s="368">
        <f ca="1">IF(+'0311_ESF'!C101&gt;'0311_ESF'!D101,+'0311_ESF'!C101-'0311_ESF'!D101,0)</f>
        <v>1814084.9500000011</v>
      </c>
      <c r="D101" s="368">
        <f ca="1">IF(+'0311_ESF'!D101&gt;'0311_ESF'!C101,+'0311_ESF'!D101-'0311_ESF'!C101,0)</f>
        <v>0</v>
      </c>
    </row>
    <row r="102" spans="1:4">
      <c r="A102" s="158">
        <v>2100</v>
      </c>
      <c r="B102" s="15" t="s">
        <v>36</v>
      </c>
      <c r="C102" s="367">
        <f ca="1">IF(+'0311_ESF'!C102&gt;'0311_ESF'!D102,+'0311_ESF'!C102-'0311_ESF'!D102,0)</f>
        <v>1638526.2400000007</v>
      </c>
      <c r="D102" s="367">
        <f ca="1">IF(+'0311_ESF'!D102&gt;'0311_ESF'!C102,+'0311_ESF'!D102-'0311_ESF'!C102,0)</f>
        <v>0</v>
      </c>
    </row>
    <row r="103" spans="1:4">
      <c r="A103" s="158">
        <v>2110</v>
      </c>
      <c r="B103" s="15" t="s">
        <v>37</v>
      </c>
      <c r="C103" s="367">
        <f ca="1">IF(+'0311_ESF'!C103&gt;'0311_ESF'!D103,+'0311_ESF'!C103-'0311_ESF'!D103,0)</f>
        <v>1638526.2400000007</v>
      </c>
      <c r="D103" s="367">
        <f ca="1">IF(+'0311_ESF'!D103&gt;'0311_ESF'!C103,+'0311_ESF'!D103-'0311_ESF'!C103,0)</f>
        <v>0</v>
      </c>
    </row>
    <row r="104" spans="1:4">
      <c r="A104" s="158">
        <v>2111</v>
      </c>
      <c r="B104" s="15" t="s">
        <v>473</v>
      </c>
      <c r="C104" s="367">
        <f ca="1">IF(+'0311_ESF'!C104&gt;'0311_ESF'!D104,+'0311_ESF'!C104-'0311_ESF'!D104,0)</f>
        <v>1141787.6500000001</v>
      </c>
      <c r="D104" s="367">
        <f ca="1">IF(+'0311_ESF'!D104&gt;'0311_ESF'!C104,+'0311_ESF'!D104-'0311_ESF'!C104,0)</f>
        <v>0</v>
      </c>
    </row>
    <row r="105" spans="1:4">
      <c r="A105" s="158">
        <v>2112</v>
      </c>
      <c r="B105" s="15" t="s">
        <v>474</v>
      </c>
      <c r="C105" s="367">
        <f ca="1">IF(+'0311_ESF'!C105&gt;'0311_ESF'!D105,+'0311_ESF'!C105-'0311_ESF'!D105,0)</f>
        <v>0</v>
      </c>
      <c r="D105" s="367">
        <f ca="1">IF(+'0311_ESF'!D105&gt;'0311_ESF'!C105,+'0311_ESF'!D105-'0311_ESF'!C105,0)</f>
        <v>32997.599999999977</v>
      </c>
    </row>
    <row r="106" spans="1:4">
      <c r="A106" s="158">
        <v>2113</v>
      </c>
      <c r="B106" s="15" t="s">
        <v>475</v>
      </c>
      <c r="C106" s="367">
        <f ca="1">IF(+'0311_ESF'!C106&gt;'0311_ESF'!D106,+'0311_ESF'!C106-'0311_ESF'!D106,0)</f>
        <v>0</v>
      </c>
      <c r="D106" s="367">
        <f ca="1">IF(+'0311_ESF'!D106&gt;'0311_ESF'!C106,+'0311_ESF'!D106-'0311_ESF'!C106,0)</f>
        <v>0</v>
      </c>
    </row>
    <row r="107" spans="1:4">
      <c r="A107" s="158">
        <v>2114</v>
      </c>
      <c r="B107" s="15" t="s">
        <v>476</v>
      </c>
      <c r="C107" s="367">
        <f ca="1">IF(+'0311_ESF'!C107&gt;'0311_ESF'!D107,+'0311_ESF'!C107-'0311_ESF'!D107,0)</f>
        <v>0</v>
      </c>
      <c r="D107" s="367">
        <f ca="1">IF(+'0311_ESF'!D107&gt;'0311_ESF'!C107,+'0311_ESF'!D107-'0311_ESF'!C107,0)</f>
        <v>0</v>
      </c>
    </row>
    <row r="108" spans="1:4">
      <c r="A108" s="158">
        <v>2115</v>
      </c>
      <c r="B108" s="15" t="s">
        <v>477</v>
      </c>
      <c r="C108" s="367">
        <f ca="1">IF(+'0311_ESF'!C108&gt;'0311_ESF'!D108,+'0311_ESF'!C108-'0311_ESF'!D108,0)</f>
        <v>0</v>
      </c>
      <c r="D108" s="367">
        <f ca="1">IF(+'0311_ESF'!D108&gt;'0311_ESF'!C108,+'0311_ESF'!D108-'0311_ESF'!C108,0)</f>
        <v>0</v>
      </c>
    </row>
    <row r="109" spans="1:4">
      <c r="A109" s="158">
        <v>2116</v>
      </c>
      <c r="B109" s="15" t="s">
        <v>478</v>
      </c>
      <c r="C109" s="367">
        <f ca="1">IF(+'0311_ESF'!C109&gt;'0311_ESF'!D109,+'0311_ESF'!C109-'0311_ESF'!D109,0)</f>
        <v>0</v>
      </c>
      <c r="D109" s="367">
        <f ca="1">IF(+'0311_ESF'!D109&gt;'0311_ESF'!C109,+'0311_ESF'!D109-'0311_ESF'!C109,0)</f>
        <v>0</v>
      </c>
    </row>
    <row r="110" spans="1:4">
      <c r="A110" s="158">
        <v>2117</v>
      </c>
      <c r="B110" s="15" t="s">
        <v>479</v>
      </c>
      <c r="C110" s="367">
        <f ca="1">IF(+'0311_ESF'!C110&gt;'0311_ESF'!D110,+'0311_ESF'!C110-'0311_ESF'!D110,0)</f>
        <v>560317.43000000017</v>
      </c>
      <c r="D110" s="367">
        <f ca="1">IF(+'0311_ESF'!D110&gt;'0311_ESF'!C110,+'0311_ESF'!D110-'0311_ESF'!C110,0)</f>
        <v>0</v>
      </c>
    </row>
    <row r="111" spans="1:4">
      <c r="A111" s="158">
        <v>2118</v>
      </c>
      <c r="B111" s="15" t="s">
        <v>480</v>
      </c>
      <c r="C111" s="367">
        <f ca="1">IF(+'0311_ESF'!C111&gt;'0311_ESF'!D111,+'0311_ESF'!C111-'0311_ESF'!D111,0)</f>
        <v>0</v>
      </c>
      <c r="D111" s="367">
        <f ca="1">IF(+'0311_ESF'!D111&gt;'0311_ESF'!C111,+'0311_ESF'!D111-'0311_ESF'!C111,0)</f>
        <v>0</v>
      </c>
    </row>
    <row r="112" spans="1:4">
      <c r="A112" s="158">
        <v>2119</v>
      </c>
      <c r="B112" s="15" t="s">
        <v>481</v>
      </c>
      <c r="C112" s="367">
        <f ca="1">IF(+'0311_ESF'!C112&gt;'0311_ESF'!D112,+'0311_ESF'!C112-'0311_ESF'!D112,0)</f>
        <v>0</v>
      </c>
      <c r="D112" s="367">
        <f ca="1">IF(+'0311_ESF'!D112&gt;'0311_ESF'!C112,+'0311_ESF'!D112-'0311_ESF'!C112,0)</f>
        <v>30581.239999999998</v>
      </c>
    </row>
    <row r="113" spans="1:4">
      <c r="A113" s="158">
        <v>2120</v>
      </c>
      <c r="B113" s="15" t="s">
        <v>39</v>
      </c>
      <c r="C113" s="367">
        <f ca="1">IF(+'0311_ESF'!C113&gt;'0311_ESF'!D113,+'0311_ESF'!C113-'0311_ESF'!D113,0)</f>
        <v>0</v>
      </c>
      <c r="D113" s="367">
        <f ca="1">IF(+'0311_ESF'!D113&gt;'0311_ESF'!C113,+'0311_ESF'!D113-'0311_ESF'!C113,0)</f>
        <v>0</v>
      </c>
    </row>
    <row r="114" spans="1:4">
      <c r="A114" s="158">
        <v>2121</v>
      </c>
      <c r="B114" s="15" t="s">
        <v>482</v>
      </c>
      <c r="C114" s="367">
        <f ca="1">IF(+'0311_ESF'!C114&gt;'0311_ESF'!D114,+'0311_ESF'!C114-'0311_ESF'!D114,0)</f>
        <v>0</v>
      </c>
      <c r="D114" s="367">
        <f ca="1">IF(+'0311_ESF'!D114&gt;'0311_ESF'!C114,+'0311_ESF'!D114-'0311_ESF'!C114,0)</f>
        <v>0</v>
      </c>
    </row>
    <row r="115" spans="1:4">
      <c r="A115" s="158">
        <v>2122</v>
      </c>
      <c r="B115" s="15" t="s">
        <v>483</v>
      </c>
      <c r="C115" s="367">
        <f ca="1">IF(+'0311_ESF'!C115&gt;'0311_ESF'!D115,+'0311_ESF'!C115-'0311_ESF'!D115,0)</f>
        <v>0</v>
      </c>
      <c r="D115" s="367">
        <f ca="1">IF(+'0311_ESF'!D115&gt;'0311_ESF'!C115,+'0311_ESF'!D115-'0311_ESF'!C115,0)</f>
        <v>0</v>
      </c>
    </row>
    <row r="116" spans="1:4">
      <c r="A116" s="158">
        <v>2129</v>
      </c>
      <c r="B116" s="15" t="s">
        <v>484</v>
      </c>
      <c r="C116" s="367">
        <f ca="1">IF(+'0311_ESF'!C116&gt;'0311_ESF'!D116,+'0311_ESF'!C116-'0311_ESF'!D116,0)</f>
        <v>0</v>
      </c>
      <c r="D116" s="367">
        <f ca="1">IF(+'0311_ESF'!D116&gt;'0311_ESF'!C116,+'0311_ESF'!D116-'0311_ESF'!C116,0)</f>
        <v>0</v>
      </c>
    </row>
    <row r="117" spans="1:4">
      <c r="A117" s="158">
        <v>2130</v>
      </c>
      <c r="B117" s="15" t="s">
        <v>40</v>
      </c>
      <c r="C117" s="367">
        <f ca="1">IF(+'0311_ESF'!C117&gt;'0311_ESF'!D117,+'0311_ESF'!C117-'0311_ESF'!D117,0)</f>
        <v>0</v>
      </c>
      <c r="D117" s="367">
        <f ca="1">IF(+'0311_ESF'!D117&gt;'0311_ESF'!C117,+'0311_ESF'!D117-'0311_ESF'!C117,0)</f>
        <v>0</v>
      </c>
    </row>
    <row r="118" spans="1:4">
      <c r="A118" s="158">
        <v>2131</v>
      </c>
      <c r="B118" s="15" t="s">
        <v>485</v>
      </c>
      <c r="C118" s="367">
        <f ca="1">IF(+'0311_ESF'!C118&gt;'0311_ESF'!D118,+'0311_ESF'!C118-'0311_ESF'!D118,0)</f>
        <v>0</v>
      </c>
      <c r="D118" s="367">
        <f ca="1">IF(+'0311_ESF'!D118&gt;'0311_ESF'!C118,+'0311_ESF'!D118-'0311_ESF'!C118,0)</f>
        <v>0</v>
      </c>
    </row>
    <row r="119" spans="1:4">
      <c r="A119" s="158">
        <v>2132</v>
      </c>
      <c r="B119" s="15" t="s">
        <v>486</v>
      </c>
      <c r="C119" s="367">
        <f ca="1">IF(+'0311_ESF'!C119&gt;'0311_ESF'!D119,+'0311_ESF'!C119-'0311_ESF'!D119,0)</f>
        <v>0</v>
      </c>
      <c r="D119" s="367">
        <f ca="1">IF(+'0311_ESF'!D119&gt;'0311_ESF'!C119,+'0311_ESF'!D119-'0311_ESF'!C119,0)</f>
        <v>0</v>
      </c>
    </row>
    <row r="120" spans="1:4">
      <c r="A120" s="158">
        <v>2133</v>
      </c>
      <c r="B120" s="15" t="s">
        <v>487</v>
      </c>
      <c r="C120" s="367">
        <f ca="1">IF(+'0311_ESF'!C120&gt;'0311_ESF'!D120,+'0311_ESF'!C120-'0311_ESF'!D120,0)</f>
        <v>0</v>
      </c>
      <c r="D120" s="367">
        <f ca="1">IF(+'0311_ESF'!D120&gt;'0311_ESF'!C120,+'0311_ESF'!D120-'0311_ESF'!C120,0)</f>
        <v>0</v>
      </c>
    </row>
    <row r="121" spans="1:4">
      <c r="A121" s="158">
        <v>2140</v>
      </c>
      <c r="B121" s="15" t="s">
        <v>41</v>
      </c>
      <c r="C121" s="367">
        <f ca="1">IF(+'0311_ESF'!C121&gt;'0311_ESF'!D121,+'0311_ESF'!C121-'0311_ESF'!D121,0)</f>
        <v>0</v>
      </c>
      <c r="D121" s="367">
        <f ca="1">IF(+'0311_ESF'!D121&gt;'0311_ESF'!C121,+'0311_ESF'!D121-'0311_ESF'!C121,0)</f>
        <v>0</v>
      </c>
    </row>
    <row r="122" spans="1:4">
      <c r="A122" s="158">
        <v>2141</v>
      </c>
      <c r="B122" s="15" t="s">
        <v>488</v>
      </c>
      <c r="C122" s="367">
        <f ca="1">IF(+'0311_ESF'!C122&gt;'0311_ESF'!D122,+'0311_ESF'!C122-'0311_ESF'!D122,0)</f>
        <v>0</v>
      </c>
      <c r="D122" s="367">
        <f ca="1">IF(+'0311_ESF'!D122&gt;'0311_ESF'!C122,+'0311_ESF'!D122-'0311_ESF'!C122,0)</f>
        <v>0</v>
      </c>
    </row>
    <row r="123" spans="1:4">
      <c r="A123" s="158">
        <v>2142</v>
      </c>
      <c r="B123" s="15" t="s">
        <v>489</v>
      </c>
      <c r="C123" s="367">
        <f ca="1">IF(+'0311_ESF'!C123&gt;'0311_ESF'!D123,+'0311_ESF'!C123-'0311_ESF'!D123,0)</f>
        <v>0</v>
      </c>
      <c r="D123" s="367">
        <f ca="1">IF(+'0311_ESF'!D123&gt;'0311_ESF'!C123,+'0311_ESF'!D123-'0311_ESF'!C123,0)</f>
        <v>0</v>
      </c>
    </row>
    <row r="124" spans="1:4">
      <c r="A124" s="158">
        <v>2150</v>
      </c>
      <c r="B124" s="15" t="s">
        <v>42</v>
      </c>
      <c r="C124" s="367">
        <f ca="1">IF(+'0311_ESF'!C124&gt;'0311_ESF'!D124,+'0311_ESF'!C124-'0311_ESF'!D124,0)</f>
        <v>0</v>
      </c>
      <c r="D124" s="367">
        <f ca="1">IF(+'0311_ESF'!D124&gt;'0311_ESF'!C124,+'0311_ESF'!D124-'0311_ESF'!C124,0)</f>
        <v>0</v>
      </c>
    </row>
    <row r="125" spans="1:4">
      <c r="A125" s="158">
        <v>2151</v>
      </c>
      <c r="B125" s="15" t="s">
        <v>490</v>
      </c>
      <c r="C125" s="367">
        <f ca="1">IF(+'0311_ESF'!C125&gt;'0311_ESF'!D125,+'0311_ESF'!C125-'0311_ESF'!D125,0)</f>
        <v>0</v>
      </c>
      <c r="D125" s="367">
        <f ca="1">IF(+'0311_ESF'!D125&gt;'0311_ESF'!C125,+'0311_ESF'!D125-'0311_ESF'!C125,0)</f>
        <v>0</v>
      </c>
    </row>
    <row r="126" spans="1:4">
      <c r="A126" s="158">
        <v>2152</v>
      </c>
      <c r="B126" s="15" t="s">
        <v>491</v>
      </c>
      <c r="C126" s="367">
        <f ca="1">IF(+'0311_ESF'!C126&gt;'0311_ESF'!D126,+'0311_ESF'!C126-'0311_ESF'!D126,0)</f>
        <v>0</v>
      </c>
      <c r="D126" s="367">
        <f ca="1">IF(+'0311_ESF'!D126&gt;'0311_ESF'!C126,+'0311_ESF'!D126-'0311_ESF'!C126,0)</f>
        <v>0</v>
      </c>
    </row>
    <row r="127" spans="1:4">
      <c r="A127" s="158">
        <v>2159</v>
      </c>
      <c r="B127" s="15" t="s">
        <v>492</v>
      </c>
      <c r="C127" s="367">
        <f ca="1">IF(+'0311_ESF'!C127&gt;'0311_ESF'!D127,+'0311_ESF'!C127-'0311_ESF'!D127,0)</f>
        <v>0</v>
      </c>
      <c r="D127" s="367">
        <f ca="1">IF(+'0311_ESF'!D127&gt;'0311_ESF'!C127,+'0311_ESF'!D127-'0311_ESF'!C127,0)</f>
        <v>0</v>
      </c>
    </row>
    <row r="128" spans="1:4">
      <c r="A128" s="158">
        <v>2160</v>
      </c>
      <c r="B128" s="15" t="s">
        <v>44</v>
      </c>
      <c r="C128" s="367">
        <f ca="1">IF(+'0311_ESF'!C128&gt;'0311_ESF'!D128,+'0311_ESF'!C128-'0311_ESF'!D128,0)</f>
        <v>0</v>
      </c>
      <c r="D128" s="367">
        <f ca="1">IF(+'0311_ESF'!D128&gt;'0311_ESF'!C128,+'0311_ESF'!D128-'0311_ESF'!C128,0)</f>
        <v>0</v>
      </c>
    </row>
    <row r="129" spans="1:4">
      <c r="A129" s="158">
        <v>2161</v>
      </c>
      <c r="B129" s="15" t="s">
        <v>493</v>
      </c>
      <c r="C129" s="367">
        <f ca="1">IF(+'0311_ESF'!C129&gt;'0311_ESF'!D129,+'0311_ESF'!C129-'0311_ESF'!D129,0)</f>
        <v>0</v>
      </c>
      <c r="D129" s="367">
        <f ca="1">IF(+'0311_ESF'!D129&gt;'0311_ESF'!C129,+'0311_ESF'!D129-'0311_ESF'!C129,0)</f>
        <v>0</v>
      </c>
    </row>
    <row r="130" spans="1:4">
      <c r="A130" s="158">
        <v>2162</v>
      </c>
      <c r="B130" s="15" t="s">
        <v>494</v>
      </c>
      <c r="C130" s="367">
        <f ca="1">IF(+'0311_ESF'!C130&gt;'0311_ESF'!D130,+'0311_ESF'!C130-'0311_ESF'!D130,0)</f>
        <v>0</v>
      </c>
      <c r="D130" s="367">
        <f ca="1">IF(+'0311_ESF'!D130&gt;'0311_ESF'!C130,+'0311_ESF'!D130-'0311_ESF'!C130,0)</f>
        <v>0</v>
      </c>
    </row>
    <row r="131" spans="1:4">
      <c r="A131" s="158">
        <v>2163</v>
      </c>
      <c r="B131" s="15" t="s">
        <v>495</v>
      </c>
      <c r="C131" s="367">
        <f ca="1">IF(+'0311_ESF'!C131&gt;'0311_ESF'!D131,+'0311_ESF'!C131-'0311_ESF'!D131,0)</f>
        <v>0</v>
      </c>
      <c r="D131" s="367">
        <f ca="1">IF(+'0311_ESF'!D131&gt;'0311_ESF'!C131,+'0311_ESF'!D131-'0311_ESF'!C131,0)</f>
        <v>0</v>
      </c>
    </row>
    <row r="132" spans="1:4">
      <c r="A132" s="158">
        <v>2164</v>
      </c>
      <c r="B132" s="15" t="s">
        <v>496</v>
      </c>
      <c r="C132" s="367">
        <f ca="1">IF(+'0311_ESF'!C132&gt;'0311_ESF'!D132,+'0311_ESF'!C132-'0311_ESF'!D132,0)</f>
        <v>0</v>
      </c>
      <c r="D132" s="367">
        <f ca="1">IF(+'0311_ESF'!D132&gt;'0311_ESF'!C132,+'0311_ESF'!D132-'0311_ESF'!C132,0)</f>
        <v>0</v>
      </c>
    </row>
    <row r="133" spans="1:4">
      <c r="A133" s="158">
        <v>2165</v>
      </c>
      <c r="B133" s="15" t="s">
        <v>497</v>
      </c>
      <c r="C133" s="367">
        <f ca="1">IF(+'0311_ESF'!C133&gt;'0311_ESF'!D133,+'0311_ESF'!C133-'0311_ESF'!D133,0)</f>
        <v>0</v>
      </c>
      <c r="D133" s="367">
        <f ca="1">IF(+'0311_ESF'!D133&gt;'0311_ESF'!C133,+'0311_ESF'!D133-'0311_ESF'!C133,0)</f>
        <v>0</v>
      </c>
    </row>
    <row r="134" spans="1:4">
      <c r="A134" s="158">
        <v>2166</v>
      </c>
      <c r="B134" s="15" t="s">
        <v>498</v>
      </c>
      <c r="C134" s="367">
        <f ca="1">IF(+'0311_ESF'!C134&gt;'0311_ESF'!D134,+'0311_ESF'!C134-'0311_ESF'!D134,0)</f>
        <v>0</v>
      </c>
      <c r="D134" s="367">
        <f ca="1">IF(+'0311_ESF'!D134&gt;'0311_ESF'!C134,+'0311_ESF'!D134-'0311_ESF'!C134,0)</f>
        <v>0</v>
      </c>
    </row>
    <row r="135" spans="1:4">
      <c r="A135" s="158">
        <v>2170</v>
      </c>
      <c r="B135" s="15" t="s">
        <v>46</v>
      </c>
      <c r="C135" s="367">
        <f ca="1">IF(+'0311_ESF'!C135&gt;'0311_ESF'!D135,+'0311_ESF'!C135-'0311_ESF'!D135,0)</f>
        <v>0</v>
      </c>
      <c r="D135" s="367">
        <f ca="1">IF(+'0311_ESF'!D135&gt;'0311_ESF'!C135,+'0311_ESF'!D135-'0311_ESF'!C135,0)</f>
        <v>0</v>
      </c>
    </row>
    <row r="136" spans="1:4">
      <c r="A136" s="158">
        <v>2171</v>
      </c>
      <c r="B136" s="15" t="s">
        <v>499</v>
      </c>
      <c r="C136" s="367">
        <f ca="1">IF(+'0311_ESF'!C136&gt;'0311_ESF'!D136,+'0311_ESF'!C136-'0311_ESF'!D136,0)</f>
        <v>0</v>
      </c>
      <c r="D136" s="367">
        <f ca="1">IF(+'0311_ESF'!D136&gt;'0311_ESF'!C136,+'0311_ESF'!D136-'0311_ESF'!C136,0)</f>
        <v>0</v>
      </c>
    </row>
    <row r="137" spans="1:4">
      <c r="A137" s="158">
        <v>2172</v>
      </c>
      <c r="B137" s="15" t="s">
        <v>500</v>
      </c>
      <c r="C137" s="367">
        <f ca="1">IF(+'0311_ESF'!C137&gt;'0311_ESF'!D137,+'0311_ESF'!C137-'0311_ESF'!D137,0)</f>
        <v>0</v>
      </c>
      <c r="D137" s="367">
        <f ca="1">IF(+'0311_ESF'!D137&gt;'0311_ESF'!C137,+'0311_ESF'!D137-'0311_ESF'!C137,0)</f>
        <v>0</v>
      </c>
    </row>
    <row r="138" spans="1:4">
      <c r="A138" s="158">
        <v>2179</v>
      </c>
      <c r="B138" s="15" t="s">
        <v>501</v>
      </c>
      <c r="C138" s="367">
        <f ca="1">IF(+'0311_ESF'!C138&gt;'0311_ESF'!D138,+'0311_ESF'!C138-'0311_ESF'!D138,0)</f>
        <v>0</v>
      </c>
      <c r="D138" s="367">
        <f ca="1">IF(+'0311_ESF'!D138&gt;'0311_ESF'!C138,+'0311_ESF'!D138-'0311_ESF'!C138,0)</f>
        <v>0</v>
      </c>
    </row>
    <row r="139" spans="1:4">
      <c r="A139" s="158">
        <v>2190</v>
      </c>
      <c r="B139" s="15" t="s">
        <v>47</v>
      </c>
      <c r="C139" s="367">
        <f ca="1">IF(+'0311_ESF'!C139&gt;'0311_ESF'!D139,+'0311_ESF'!C139-'0311_ESF'!D139,0)</f>
        <v>0</v>
      </c>
      <c r="D139" s="367">
        <f ca="1">IF(+'0311_ESF'!D139&gt;'0311_ESF'!C139,+'0311_ESF'!D139-'0311_ESF'!C139,0)</f>
        <v>0</v>
      </c>
    </row>
    <row r="140" spans="1:4">
      <c r="A140" s="158">
        <v>2191</v>
      </c>
      <c r="B140" s="15" t="s">
        <v>502</v>
      </c>
      <c r="C140" s="367">
        <f ca="1">IF(+'0311_ESF'!C140&gt;'0311_ESF'!D140,+'0311_ESF'!C140-'0311_ESF'!D140,0)</f>
        <v>0</v>
      </c>
      <c r="D140" s="367">
        <f ca="1">IF(+'0311_ESF'!D140&gt;'0311_ESF'!C140,+'0311_ESF'!D140-'0311_ESF'!C140,0)</f>
        <v>0</v>
      </c>
    </row>
    <row r="141" spans="1:4">
      <c r="A141" s="158">
        <v>2192</v>
      </c>
      <c r="B141" s="15" t="s">
        <v>503</v>
      </c>
      <c r="C141" s="367">
        <f ca="1">IF(+'0311_ESF'!C141&gt;'0311_ESF'!D141,+'0311_ESF'!C141-'0311_ESF'!D141,0)</f>
        <v>0</v>
      </c>
      <c r="D141" s="367">
        <f ca="1">IF(+'0311_ESF'!D141&gt;'0311_ESF'!C141,+'0311_ESF'!D141-'0311_ESF'!C141,0)</f>
        <v>0</v>
      </c>
    </row>
    <row r="142" spans="1:4">
      <c r="A142" s="158">
        <v>2199</v>
      </c>
      <c r="B142" s="15" t="s">
        <v>504</v>
      </c>
      <c r="C142" s="367">
        <f ca="1">IF(+'0311_ESF'!C142&gt;'0311_ESF'!D142,+'0311_ESF'!C142-'0311_ESF'!D142,0)</f>
        <v>0</v>
      </c>
      <c r="D142" s="367">
        <f ca="1">IF(+'0311_ESF'!D142&gt;'0311_ESF'!C142,+'0311_ESF'!D142-'0311_ESF'!C142,0)</f>
        <v>0</v>
      </c>
    </row>
    <row r="143" spans="1:4">
      <c r="A143" s="158">
        <v>2200</v>
      </c>
      <c r="B143" s="15" t="s">
        <v>48</v>
      </c>
      <c r="C143" s="367">
        <f ca="1">IF(+'0311_ESF'!C143&gt;'0311_ESF'!D143,+'0311_ESF'!C143-'0311_ESF'!D143,0)</f>
        <v>175558.7100000002</v>
      </c>
      <c r="D143" s="367">
        <f ca="1">IF(+'0311_ESF'!D143&gt;'0311_ESF'!C143,+'0311_ESF'!D143-'0311_ESF'!C143,0)</f>
        <v>0</v>
      </c>
    </row>
    <row r="144" spans="1:4">
      <c r="A144" s="158">
        <v>2210</v>
      </c>
      <c r="B144" s="15" t="s">
        <v>49</v>
      </c>
      <c r="C144" s="367">
        <f ca="1">IF(+'0311_ESF'!C144&gt;'0311_ESF'!D144,+'0311_ESF'!C144-'0311_ESF'!D144,0)</f>
        <v>0</v>
      </c>
      <c r="D144" s="367">
        <f ca="1">IF(+'0311_ESF'!D144&gt;'0311_ESF'!C144,+'0311_ESF'!D144-'0311_ESF'!C144,0)</f>
        <v>0</v>
      </c>
    </row>
    <row r="145" spans="1:4">
      <c r="A145" s="158">
        <v>2211</v>
      </c>
      <c r="B145" s="15" t="s">
        <v>505</v>
      </c>
      <c r="C145" s="367">
        <f ca="1">IF(+'0311_ESF'!C145&gt;'0311_ESF'!D145,+'0311_ESF'!C145-'0311_ESF'!D145,0)</f>
        <v>0</v>
      </c>
      <c r="D145" s="367">
        <f ca="1">IF(+'0311_ESF'!D145&gt;'0311_ESF'!C145,+'0311_ESF'!D145-'0311_ESF'!C145,0)</f>
        <v>0</v>
      </c>
    </row>
    <row r="146" spans="1:4">
      <c r="A146" s="158">
        <v>2212</v>
      </c>
      <c r="B146" s="15" t="s">
        <v>506</v>
      </c>
      <c r="C146" s="367">
        <f ca="1">IF(+'0311_ESF'!C146&gt;'0311_ESF'!D146,+'0311_ESF'!C146-'0311_ESF'!D146,0)</f>
        <v>0</v>
      </c>
      <c r="D146" s="367">
        <f ca="1">IF(+'0311_ESF'!D146&gt;'0311_ESF'!C146,+'0311_ESF'!D146-'0311_ESF'!C146,0)</f>
        <v>0</v>
      </c>
    </row>
    <row r="147" spans="1:4">
      <c r="A147" s="158">
        <v>2220</v>
      </c>
      <c r="B147" s="15" t="s">
        <v>50</v>
      </c>
      <c r="C147" s="367">
        <f ca="1">IF(+'0311_ESF'!C147&gt;'0311_ESF'!D147,+'0311_ESF'!C147-'0311_ESF'!D147,0)</f>
        <v>0</v>
      </c>
      <c r="D147" s="367">
        <f ca="1">IF(+'0311_ESF'!D147&gt;'0311_ESF'!C147,+'0311_ESF'!D147-'0311_ESF'!C147,0)</f>
        <v>0</v>
      </c>
    </row>
    <row r="148" spans="1:4">
      <c r="A148" s="158">
        <v>2221</v>
      </c>
      <c r="B148" s="15" t="s">
        <v>507</v>
      </c>
      <c r="C148" s="367">
        <f ca="1">IF(+'0311_ESF'!C148&gt;'0311_ESF'!D148,+'0311_ESF'!C148-'0311_ESF'!D148,0)</f>
        <v>0</v>
      </c>
      <c r="D148" s="367">
        <f ca="1">IF(+'0311_ESF'!D148&gt;'0311_ESF'!C148,+'0311_ESF'!D148-'0311_ESF'!C148,0)</f>
        <v>0</v>
      </c>
    </row>
    <row r="149" spans="1:4">
      <c r="A149" s="158">
        <v>2222</v>
      </c>
      <c r="B149" s="15" t="s">
        <v>508</v>
      </c>
      <c r="C149" s="367">
        <f ca="1">IF(+'0311_ESF'!C149&gt;'0311_ESF'!D149,+'0311_ESF'!C149-'0311_ESF'!D149,0)</f>
        <v>0</v>
      </c>
      <c r="D149" s="367">
        <f ca="1">IF(+'0311_ESF'!D149&gt;'0311_ESF'!C149,+'0311_ESF'!D149-'0311_ESF'!C149,0)</f>
        <v>0</v>
      </c>
    </row>
    <row r="150" spans="1:4">
      <c r="A150" s="158">
        <v>2229</v>
      </c>
      <c r="B150" s="15" t="s">
        <v>509</v>
      </c>
      <c r="C150" s="367">
        <f ca="1">IF(+'0311_ESF'!C150&gt;'0311_ESF'!D150,+'0311_ESF'!C150-'0311_ESF'!D150,0)</f>
        <v>0</v>
      </c>
      <c r="D150" s="367">
        <f ca="1">IF(+'0311_ESF'!D150&gt;'0311_ESF'!C150,+'0311_ESF'!D150-'0311_ESF'!C150,0)</f>
        <v>0</v>
      </c>
    </row>
    <row r="151" spans="1:4">
      <c r="A151" s="158">
        <v>2230</v>
      </c>
      <c r="B151" s="15" t="s">
        <v>51</v>
      </c>
      <c r="C151" s="367">
        <f ca="1">IF(+'0311_ESF'!C151&gt;'0311_ESF'!D151,+'0311_ESF'!C151-'0311_ESF'!D151,0)</f>
        <v>0</v>
      </c>
      <c r="D151" s="367">
        <f ca="1">IF(+'0311_ESF'!D151&gt;'0311_ESF'!C151,+'0311_ESF'!D151-'0311_ESF'!C151,0)</f>
        <v>0</v>
      </c>
    </row>
    <row r="152" spans="1:4">
      <c r="A152" s="158">
        <v>2231</v>
      </c>
      <c r="B152" s="15" t="s">
        <v>510</v>
      </c>
      <c r="C152" s="367">
        <f ca="1">IF(+'0311_ESF'!C152&gt;'0311_ESF'!D152,+'0311_ESF'!C152-'0311_ESF'!D152,0)</f>
        <v>0</v>
      </c>
      <c r="D152" s="367">
        <f ca="1">IF(+'0311_ESF'!D152&gt;'0311_ESF'!C152,+'0311_ESF'!D152-'0311_ESF'!C152,0)</f>
        <v>0</v>
      </c>
    </row>
    <row r="153" spans="1:4">
      <c r="A153" s="158">
        <v>2232</v>
      </c>
      <c r="B153" s="15" t="s">
        <v>511</v>
      </c>
      <c r="C153" s="367">
        <f ca="1">IF(+'0311_ESF'!C153&gt;'0311_ESF'!D153,+'0311_ESF'!C153-'0311_ESF'!D153,0)</f>
        <v>0</v>
      </c>
      <c r="D153" s="367">
        <f ca="1">IF(+'0311_ESF'!D153&gt;'0311_ESF'!C153,+'0311_ESF'!D153-'0311_ESF'!C153,0)</f>
        <v>0</v>
      </c>
    </row>
    <row r="154" spans="1:4">
      <c r="A154" s="158">
        <v>2233</v>
      </c>
      <c r="B154" s="15" t="s">
        <v>512</v>
      </c>
      <c r="C154" s="367">
        <f ca="1">IF(+'0311_ESF'!C154&gt;'0311_ESF'!D154,+'0311_ESF'!C154-'0311_ESF'!D154,0)</f>
        <v>0</v>
      </c>
      <c r="D154" s="367">
        <f ca="1">IF(+'0311_ESF'!D154&gt;'0311_ESF'!C154,+'0311_ESF'!D154-'0311_ESF'!C154,0)</f>
        <v>0</v>
      </c>
    </row>
    <row r="155" spans="1:4">
      <c r="A155" s="158">
        <v>2234</v>
      </c>
      <c r="B155" s="15" t="s">
        <v>513</v>
      </c>
      <c r="C155" s="367">
        <f ca="1">IF(+'0311_ESF'!C155&gt;'0311_ESF'!D155,+'0311_ESF'!C155-'0311_ESF'!D155,0)</f>
        <v>0</v>
      </c>
      <c r="D155" s="367">
        <f ca="1">IF(+'0311_ESF'!D155&gt;'0311_ESF'!C155,+'0311_ESF'!D155-'0311_ESF'!C155,0)</f>
        <v>0</v>
      </c>
    </row>
    <row r="156" spans="1:4">
      <c r="A156" s="158">
        <v>2235</v>
      </c>
      <c r="B156" s="15" t="s">
        <v>514</v>
      </c>
      <c r="C156" s="367">
        <f ca="1">IF(+'0311_ESF'!C156&gt;'0311_ESF'!D156,+'0311_ESF'!C156-'0311_ESF'!D156,0)</f>
        <v>0</v>
      </c>
      <c r="D156" s="367">
        <f ca="1">IF(+'0311_ESF'!D156&gt;'0311_ESF'!C156,+'0311_ESF'!D156-'0311_ESF'!C156,0)</f>
        <v>0</v>
      </c>
    </row>
    <row r="157" spans="1:4">
      <c r="A157" s="158">
        <v>2240</v>
      </c>
      <c r="B157" s="15" t="s">
        <v>53</v>
      </c>
      <c r="C157" s="367">
        <f ca="1">IF(+'0311_ESF'!C157&gt;'0311_ESF'!D157,+'0311_ESF'!C157-'0311_ESF'!D157,0)</f>
        <v>0</v>
      </c>
      <c r="D157" s="367">
        <f ca="1">IF(+'0311_ESF'!D157&gt;'0311_ESF'!C157,+'0311_ESF'!D157-'0311_ESF'!C157,0)</f>
        <v>0</v>
      </c>
    </row>
    <row r="158" spans="1:4">
      <c r="A158" s="158">
        <v>2241</v>
      </c>
      <c r="B158" s="15" t="s">
        <v>515</v>
      </c>
      <c r="C158" s="367">
        <f ca="1">IF(+'0311_ESF'!C158&gt;'0311_ESF'!D158,+'0311_ESF'!C158-'0311_ESF'!D158,0)</f>
        <v>0</v>
      </c>
      <c r="D158" s="367">
        <f ca="1">IF(+'0311_ESF'!D158&gt;'0311_ESF'!C158,+'0311_ESF'!D158-'0311_ESF'!C158,0)</f>
        <v>0</v>
      </c>
    </row>
    <row r="159" spans="1:4">
      <c r="A159" s="158">
        <v>2242</v>
      </c>
      <c r="B159" s="15" t="s">
        <v>516</v>
      </c>
      <c r="C159" s="367">
        <f ca="1">IF(+'0311_ESF'!C159&gt;'0311_ESF'!D159,+'0311_ESF'!C159-'0311_ESF'!D159,0)</f>
        <v>0</v>
      </c>
      <c r="D159" s="367">
        <f ca="1">IF(+'0311_ESF'!D159&gt;'0311_ESF'!C159,+'0311_ESF'!D159-'0311_ESF'!C159,0)</f>
        <v>0</v>
      </c>
    </row>
    <row r="160" spans="1:4">
      <c r="A160" s="158">
        <v>2249</v>
      </c>
      <c r="B160" s="15" t="s">
        <v>517</v>
      </c>
      <c r="C160" s="367">
        <f ca="1">IF(+'0311_ESF'!C160&gt;'0311_ESF'!D160,+'0311_ESF'!C160-'0311_ESF'!D160,0)</f>
        <v>0</v>
      </c>
      <c r="D160" s="367">
        <f ca="1">IF(+'0311_ESF'!D160&gt;'0311_ESF'!C160,+'0311_ESF'!D160-'0311_ESF'!C160,0)</f>
        <v>0</v>
      </c>
    </row>
    <row r="161" spans="1:4">
      <c r="A161" s="158">
        <v>2250</v>
      </c>
      <c r="B161" s="15" t="s">
        <v>54</v>
      </c>
      <c r="C161" s="367">
        <f ca="1">IF(+'0311_ESF'!C161&gt;'0311_ESF'!D161,+'0311_ESF'!C161-'0311_ESF'!D161,0)</f>
        <v>0</v>
      </c>
      <c r="D161" s="367">
        <f ca="1">IF(+'0311_ESF'!D161&gt;'0311_ESF'!C161,+'0311_ESF'!D161-'0311_ESF'!C161,0)</f>
        <v>0</v>
      </c>
    </row>
    <row r="162" spans="1:4">
      <c r="A162" s="158">
        <v>2251</v>
      </c>
      <c r="B162" s="15" t="s">
        <v>518</v>
      </c>
      <c r="C162" s="367">
        <f ca="1">IF(+'0311_ESF'!C162&gt;'0311_ESF'!D162,+'0311_ESF'!C162-'0311_ESF'!D162,0)</f>
        <v>0</v>
      </c>
      <c r="D162" s="367">
        <f ca="1">IF(+'0311_ESF'!D162&gt;'0311_ESF'!C162,+'0311_ESF'!D162-'0311_ESF'!C162,0)</f>
        <v>0</v>
      </c>
    </row>
    <row r="163" spans="1:4">
      <c r="A163" s="158">
        <v>2252</v>
      </c>
      <c r="B163" s="15" t="s">
        <v>519</v>
      </c>
      <c r="C163" s="367">
        <f ca="1">IF(+'0311_ESF'!C163&gt;'0311_ESF'!D163,+'0311_ESF'!C163-'0311_ESF'!D163,0)</f>
        <v>0</v>
      </c>
      <c r="D163" s="367">
        <f ca="1">IF(+'0311_ESF'!D163&gt;'0311_ESF'!C163,+'0311_ESF'!D163-'0311_ESF'!C163,0)</f>
        <v>0</v>
      </c>
    </row>
    <row r="164" spans="1:4">
      <c r="A164" s="158">
        <v>2253</v>
      </c>
      <c r="B164" s="15" t="s">
        <v>520</v>
      </c>
      <c r="C164" s="367">
        <f ca="1">IF(+'0311_ESF'!C164&gt;'0311_ESF'!D164,+'0311_ESF'!C164-'0311_ESF'!D164,0)</f>
        <v>0</v>
      </c>
      <c r="D164" s="367">
        <f ca="1">IF(+'0311_ESF'!D164&gt;'0311_ESF'!C164,+'0311_ESF'!D164-'0311_ESF'!C164,0)</f>
        <v>0</v>
      </c>
    </row>
    <row r="165" spans="1:4">
      <c r="A165" s="158">
        <v>2254</v>
      </c>
      <c r="B165" s="15" t="s">
        <v>521</v>
      </c>
      <c r="C165" s="367">
        <f ca="1">IF(+'0311_ESF'!C165&gt;'0311_ESF'!D165,+'0311_ESF'!C165-'0311_ESF'!D165,0)</f>
        <v>0</v>
      </c>
      <c r="D165" s="367">
        <f ca="1">IF(+'0311_ESF'!D165&gt;'0311_ESF'!C165,+'0311_ESF'!D165-'0311_ESF'!C165,0)</f>
        <v>0</v>
      </c>
    </row>
    <row r="166" spans="1:4">
      <c r="A166" s="158">
        <v>2255</v>
      </c>
      <c r="B166" s="15" t="s">
        <v>522</v>
      </c>
      <c r="C166" s="367">
        <f ca="1">IF(+'0311_ESF'!C166&gt;'0311_ESF'!D166,+'0311_ESF'!C166-'0311_ESF'!D166,0)</f>
        <v>0</v>
      </c>
      <c r="D166" s="367">
        <f ca="1">IF(+'0311_ESF'!D166&gt;'0311_ESF'!C166,+'0311_ESF'!D166-'0311_ESF'!C166,0)</f>
        <v>0</v>
      </c>
    </row>
    <row r="167" spans="1:4">
      <c r="A167" s="158">
        <v>2256</v>
      </c>
      <c r="B167" s="15" t="s">
        <v>523</v>
      </c>
      <c r="C167" s="367">
        <f ca="1">IF(+'0311_ESF'!C167&gt;'0311_ESF'!D167,+'0311_ESF'!C167-'0311_ESF'!D167,0)</f>
        <v>0</v>
      </c>
      <c r="D167" s="367">
        <f ca="1">IF(+'0311_ESF'!D167&gt;'0311_ESF'!C167,+'0311_ESF'!D167-'0311_ESF'!C167,0)</f>
        <v>0</v>
      </c>
    </row>
    <row r="168" spans="1:4">
      <c r="A168" s="158">
        <v>2260</v>
      </c>
      <c r="B168" s="15" t="s">
        <v>55</v>
      </c>
      <c r="C168" s="367">
        <f ca="1">IF(+'0311_ESF'!C168&gt;'0311_ESF'!D168,+'0311_ESF'!C168-'0311_ESF'!D168,0)</f>
        <v>175558.7100000002</v>
      </c>
      <c r="D168" s="367">
        <f ca="1">IF(+'0311_ESF'!D168&gt;'0311_ESF'!C168,+'0311_ESF'!D168-'0311_ESF'!C168,0)</f>
        <v>0</v>
      </c>
    </row>
    <row r="169" spans="1:4">
      <c r="A169" s="158">
        <v>2261</v>
      </c>
      <c r="B169" s="15" t="s">
        <v>524</v>
      </c>
      <c r="C169" s="367">
        <f ca="1">IF(+'0311_ESF'!C169&gt;'0311_ESF'!D169,+'0311_ESF'!C169-'0311_ESF'!D169,0)</f>
        <v>0</v>
      </c>
      <c r="D169" s="367">
        <f ca="1">IF(+'0311_ESF'!D169&gt;'0311_ESF'!C169,+'0311_ESF'!D169-'0311_ESF'!C169,0)</f>
        <v>0</v>
      </c>
    </row>
    <row r="170" spans="1:4">
      <c r="A170" s="158">
        <v>2262</v>
      </c>
      <c r="B170" s="15" t="s">
        <v>525</v>
      </c>
      <c r="C170" s="367">
        <f ca="1">IF(+'0311_ESF'!C170&gt;'0311_ESF'!D170,+'0311_ESF'!C170-'0311_ESF'!D170,0)</f>
        <v>0</v>
      </c>
      <c r="D170" s="367">
        <f ca="1">IF(+'0311_ESF'!D170&gt;'0311_ESF'!C170,+'0311_ESF'!D170-'0311_ESF'!C170,0)</f>
        <v>0</v>
      </c>
    </row>
    <row r="171" spans="1:4">
      <c r="A171" s="158">
        <v>2263</v>
      </c>
      <c r="B171" s="15" t="s">
        <v>526</v>
      </c>
      <c r="C171" s="367">
        <f ca="1">IF(+'0311_ESF'!C171&gt;'0311_ESF'!D171,+'0311_ESF'!C171-'0311_ESF'!D171,0)</f>
        <v>0</v>
      </c>
      <c r="D171" s="367">
        <f ca="1">IF(+'0311_ESF'!D171&gt;'0311_ESF'!C171,+'0311_ESF'!D171-'0311_ESF'!C171,0)</f>
        <v>0</v>
      </c>
    </row>
    <row r="172" spans="1:4">
      <c r="A172" s="158">
        <v>2269</v>
      </c>
      <c r="B172" s="15" t="s">
        <v>527</v>
      </c>
      <c r="C172" s="367">
        <f ca="1">IF(+'0311_ESF'!C172&gt;'0311_ESF'!D172,+'0311_ESF'!C172-'0311_ESF'!D172,0)</f>
        <v>175558.7100000002</v>
      </c>
      <c r="D172" s="367">
        <f ca="1">IF(+'0311_ESF'!D172&gt;'0311_ESF'!C172,+'0311_ESF'!D172-'0311_ESF'!C172,0)</f>
        <v>0</v>
      </c>
    </row>
    <row r="173" spans="1:4" s="154" customFormat="1">
      <c r="A173" s="155">
        <v>3000</v>
      </c>
      <c r="B173" s="14" t="s">
        <v>56</v>
      </c>
      <c r="C173" s="368">
        <f ca="1">IF(+'0311_ESF'!C173&gt;'0311_ESF'!D173,+'0311_ESF'!C173-'0311_ESF'!D173,0)</f>
        <v>2856972.1999999918</v>
      </c>
      <c r="D173" s="368">
        <f ca="1">IF(+'0311_ESF'!D173&gt;'0311_ESF'!C173,+'0311_ESF'!D173-'0311_ESF'!C173,0)</f>
        <v>0</v>
      </c>
    </row>
    <row r="174" spans="1:4">
      <c r="A174" s="158">
        <v>3100</v>
      </c>
      <c r="B174" s="15" t="s">
        <v>57</v>
      </c>
      <c r="C174" s="367">
        <f ca="1">IF(+'0311_ESF'!C174&gt;'0311_ESF'!D174,+'0311_ESF'!C174-'0311_ESF'!D174,0)</f>
        <v>853461.14000000432</v>
      </c>
      <c r="D174" s="367">
        <f ca="1">IF(+'0311_ESF'!D174&gt;'0311_ESF'!C174,+'0311_ESF'!D174-'0311_ESF'!C174,0)</f>
        <v>0</v>
      </c>
    </row>
    <row r="175" spans="1:4">
      <c r="A175" s="158">
        <v>3110</v>
      </c>
      <c r="B175" s="15" t="s">
        <v>59</v>
      </c>
      <c r="C175" s="367">
        <f ca="1">IF(+'0311_ESF'!C175&gt;'0311_ESF'!D175,+'0311_ESF'!C175-'0311_ESF'!D175,0)</f>
        <v>853461.14000000432</v>
      </c>
      <c r="D175" s="367">
        <f ca="1">IF(+'0311_ESF'!D175&gt;'0311_ESF'!C175,+'0311_ESF'!D175-'0311_ESF'!C175,0)</f>
        <v>0</v>
      </c>
    </row>
    <row r="176" spans="1:4">
      <c r="A176" s="158">
        <v>3120</v>
      </c>
      <c r="B176" s="15" t="s">
        <v>60</v>
      </c>
      <c r="C176" s="367">
        <f ca="1">IF(+'0311_ESF'!C176&gt;'0311_ESF'!D176,+'0311_ESF'!C176-'0311_ESF'!D176,0)</f>
        <v>0</v>
      </c>
      <c r="D176" s="367">
        <f ca="1">IF(+'0311_ESF'!D176&gt;'0311_ESF'!C176,+'0311_ESF'!D176-'0311_ESF'!C176,0)</f>
        <v>0</v>
      </c>
    </row>
    <row r="177" spans="1:4">
      <c r="A177" s="158">
        <v>3130</v>
      </c>
      <c r="B177" s="15" t="s">
        <v>61</v>
      </c>
      <c r="C177" s="367">
        <f ca="1">IF(+'0311_ESF'!C177&gt;'0311_ESF'!D177,+'0311_ESF'!C177-'0311_ESF'!D177,0)</f>
        <v>0</v>
      </c>
      <c r="D177" s="367">
        <f ca="1">IF(+'0311_ESF'!D177&gt;'0311_ESF'!C177,+'0311_ESF'!D177-'0311_ESF'!C177,0)</f>
        <v>0</v>
      </c>
    </row>
    <row r="178" spans="1:4">
      <c r="A178" s="158">
        <v>3200</v>
      </c>
      <c r="B178" s="15" t="s">
        <v>62</v>
      </c>
      <c r="C178" s="367">
        <f ca="1">IF(+'0311_ESF'!C178&gt;'0311_ESF'!D178,+'0311_ESF'!C178-'0311_ESF'!D178,0)</f>
        <v>2003511.0599999856</v>
      </c>
      <c r="D178" s="367">
        <f ca="1">IF(+'0311_ESF'!D178&gt;'0311_ESF'!C178,+'0311_ESF'!D178-'0311_ESF'!C178,0)</f>
        <v>0</v>
      </c>
    </row>
    <row r="179" spans="1:4">
      <c r="A179" s="158">
        <v>3210</v>
      </c>
      <c r="B179" s="15" t="s">
        <v>148</v>
      </c>
      <c r="C179" s="367">
        <f ca="1">IF(+'0311_ESF'!C179&gt;'0311_ESF'!D179,+'0311_ESF'!C179-'0311_ESF'!D179,0)</f>
        <v>1879092.6399999857</v>
      </c>
      <c r="D179" s="367">
        <f ca="1">IF(+'0311_ESF'!D179&gt;'0311_ESF'!C179,+'0311_ESF'!D179-'0311_ESF'!C179,0)</f>
        <v>0</v>
      </c>
    </row>
    <row r="180" spans="1:4">
      <c r="A180" s="158">
        <v>3220</v>
      </c>
      <c r="B180" s="15" t="s">
        <v>65</v>
      </c>
      <c r="C180" s="367">
        <f ca="1">IF(+'0311_ESF'!C180&gt;'0311_ESF'!D180,+'0311_ESF'!C180-'0311_ESF'!D180,0)</f>
        <v>124418.41999999993</v>
      </c>
      <c r="D180" s="367">
        <f ca="1">IF(+'0311_ESF'!D180&gt;'0311_ESF'!C180,+'0311_ESF'!D180-'0311_ESF'!C180,0)</f>
        <v>0</v>
      </c>
    </row>
    <row r="181" spans="1:4">
      <c r="A181" s="158">
        <v>3230</v>
      </c>
      <c r="B181" s="15" t="s">
        <v>66</v>
      </c>
      <c r="C181" s="367">
        <f ca="1">IF(+'0311_ESF'!C181&gt;'0311_ESF'!D181,+'0311_ESF'!C181-'0311_ESF'!D181,0)</f>
        <v>0</v>
      </c>
      <c r="D181" s="367">
        <f ca="1">IF(+'0311_ESF'!D181&gt;'0311_ESF'!C181,+'0311_ESF'!D181-'0311_ESF'!C181,0)</f>
        <v>0</v>
      </c>
    </row>
    <row r="182" spans="1:4">
      <c r="A182" s="158">
        <v>3231</v>
      </c>
      <c r="B182" s="15" t="s">
        <v>528</v>
      </c>
      <c r="C182" s="367">
        <f ca="1">IF(+'0311_ESF'!C182&gt;'0311_ESF'!D182,+'0311_ESF'!C182-'0311_ESF'!D182,0)</f>
        <v>0</v>
      </c>
      <c r="D182" s="367">
        <f ca="1">IF(+'0311_ESF'!D182&gt;'0311_ESF'!C182,+'0311_ESF'!D182-'0311_ESF'!C182,0)</f>
        <v>0</v>
      </c>
    </row>
    <row r="183" spans="1:4">
      <c r="A183" s="158">
        <v>3232</v>
      </c>
      <c r="B183" s="15" t="s">
        <v>529</v>
      </c>
      <c r="C183" s="367">
        <f ca="1">IF(+'0311_ESF'!C183&gt;'0311_ESF'!D183,+'0311_ESF'!C183-'0311_ESF'!D183,0)</f>
        <v>0</v>
      </c>
      <c r="D183" s="367">
        <f ca="1">IF(+'0311_ESF'!D183&gt;'0311_ESF'!C183,+'0311_ESF'!D183-'0311_ESF'!C183,0)</f>
        <v>0</v>
      </c>
    </row>
    <row r="184" spans="1:4">
      <c r="A184" s="158">
        <v>3233</v>
      </c>
      <c r="B184" s="15" t="s">
        <v>530</v>
      </c>
      <c r="C184" s="367">
        <f ca="1">IF(+'0311_ESF'!C184&gt;'0311_ESF'!D184,+'0311_ESF'!C184-'0311_ESF'!D184,0)</f>
        <v>0</v>
      </c>
      <c r="D184" s="367">
        <f ca="1">IF(+'0311_ESF'!D184&gt;'0311_ESF'!C184,+'0311_ESF'!D184-'0311_ESF'!C184,0)</f>
        <v>0</v>
      </c>
    </row>
    <row r="185" spans="1:4">
      <c r="A185" s="158">
        <v>3239</v>
      </c>
      <c r="B185" s="15" t="s">
        <v>531</v>
      </c>
      <c r="C185" s="367">
        <f ca="1">IF(+'0311_ESF'!C185&gt;'0311_ESF'!D185,+'0311_ESF'!C185-'0311_ESF'!D185,0)</f>
        <v>0</v>
      </c>
      <c r="D185" s="367">
        <f ca="1">IF(+'0311_ESF'!D185&gt;'0311_ESF'!C185,+'0311_ESF'!D185-'0311_ESF'!C185,0)</f>
        <v>0</v>
      </c>
    </row>
    <row r="186" spans="1:4">
      <c r="A186" s="158">
        <v>3240</v>
      </c>
      <c r="B186" s="15" t="s">
        <v>67</v>
      </c>
      <c r="C186" s="367">
        <f ca="1">IF(+'0311_ESF'!C186&gt;'0311_ESF'!D186,+'0311_ESF'!C186-'0311_ESF'!D186,0)</f>
        <v>0</v>
      </c>
      <c r="D186" s="367">
        <f ca="1">IF(+'0311_ESF'!D186&gt;'0311_ESF'!C186,+'0311_ESF'!D186-'0311_ESF'!C186,0)</f>
        <v>0</v>
      </c>
    </row>
    <row r="187" spans="1:4">
      <c r="A187" s="158">
        <v>3241</v>
      </c>
      <c r="B187" s="15" t="s">
        <v>532</v>
      </c>
      <c r="C187" s="367">
        <f ca="1">IF(+'0311_ESF'!C187&gt;'0311_ESF'!D187,+'0311_ESF'!C187-'0311_ESF'!D187,0)</f>
        <v>0</v>
      </c>
      <c r="D187" s="367">
        <f ca="1">IF(+'0311_ESF'!D187&gt;'0311_ESF'!C187,+'0311_ESF'!D187-'0311_ESF'!C187,0)</f>
        <v>0</v>
      </c>
    </row>
    <row r="188" spans="1:4">
      <c r="A188" s="158">
        <v>3242</v>
      </c>
      <c r="B188" s="15" t="s">
        <v>533</v>
      </c>
      <c r="C188" s="367">
        <f ca="1">IF(+'0311_ESF'!C188&gt;'0311_ESF'!D188,+'0311_ESF'!C188-'0311_ESF'!D188,0)</f>
        <v>0</v>
      </c>
      <c r="D188" s="367">
        <f ca="1">IF(+'0311_ESF'!D188&gt;'0311_ESF'!C188,+'0311_ESF'!D188-'0311_ESF'!C188,0)</f>
        <v>0</v>
      </c>
    </row>
    <row r="189" spans="1:4">
      <c r="A189" s="158">
        <v>3243</v>
      </c>
      <c r="B189" s="15" t="s">
        <v>534</v>
      </c>
      <c r="C189" s="367">
        <f ca="1">IF(+'0311_ESF'!C189&gt;'0311_ESF'!D189,+'0311_ESF'!C189-'0311_ESF'!D189,0)</f>
        <v>0</v>
      </c>
      <c r="D189" s="367">
        <f ca="1">IF(+'0311_ESF'!D189&gt;'0311_ESF'!C189,+'0311_ESF'!D189-'0311_ESF'!C189,0)</f>
        <v>0</v>
      </c>
    </row>
    <row r="190" spans="1:4">
      <c r="A190" s="158">
        <v>3250</v>
      </c>
      <c r="B190" s="15" t="s">
        <v>68</v>
      </c>
      <c r="C190" s="367">
        <f ca="1">IF(+'0311_ESF'!C190&gt;'0311_ESF'!D190,+'0311_ESF'!C190-'0311_ESF'!D190,0)</f>
        <v>0</v>
      </c>
      <c r="D190" s="367">
        <f ca="1">IF(+'0311_ESF'!D190&gt;'0311_ESF'!C190,+'0311_ESF'!D190-'0311_ESF'!C190,0)</f>
        <v>0</v>
      </c>
    </row>
    <row r="191" spans="1:4">
      <c r="A191" s="158">
        <v>3251</v>
      </c>
      <c r="B191" s="15" t="s">
        <v>535</v>
      </c>
      <c r="C191" s="367">
        <f ca="1">IF(+'0311_ESF'!C191&gt;'0311_ESF'!D191,+'0311_ESF'!C191-'0311_ESF'!D191,0)</f>
        <v>0</v>
      </c>
      <c r="D191" s="367">
        <f ca="1">IF(+'0311_ESF'!D191&gt;'0311_ESF'!C191,+'0311_ESF'!D191-'0311_ESF'!C191,0)</f>
        <v>0</v>
      </c>
    </row>
    <row r="192" spans="1:4">
      <c r="A192" s="158">
        <v>3252</v>
      </c>
      <c r="B192" s="15" t="s">
        <v>536</v>
      </c>
      <c r="C192" s="367">
        <f ca="1">IF(+'0311_ESF'!C192&gt;'0311_ESF'!D192,+'0311_ESF'!C192-'0311_ESF'!D192,0)</f>
        <v>0</v>
      </c>
      <c r="D192" s="367">
        <f ca="1">IF(+'0311_ESF'!D192&gt;'0311_ESF'!C192,+'0311_ESF'!D192-'0311_ESF'!C192,0)</f>
        <v>0</v>
      </c>
    </row>
    <row r="193" spans="1:4">
      <c r="A193" s="158">
        <v>3300</v>
      </c>
      <c r="B193" s="15" t="s">
        <v>149</v>
      </c>
      <c r="C193" s="367">
        <f ca="1">IF(+'0311_ESF'!C193&gt;'0311_ESF'!D193,+'0311_ESF'!C193-'0311_ESF'!D193,0)</f>
        <v>0</v>
      </c>
      <c r="D193" s="367">
        <f ca="1">IF(+'0311_ESF'!D193&gt;'0311_ESF'!C193,+'0311_ESF'!D193-'0311_ESF'!C193,0)</f>
        <v>0</v>
      </c>
    </row>
    <row r="194" spans="1:4">
      <c r="A194" s="158">
        <v>3310</v>
      </c>
      <c r="B194" s="15" t="s">
        <v>69</v>
      </c>
      <c r="C194" s="367">
        <f ca="1">IF(+'0311_ESF'!C194&gt;'0311_ESF'!D194,+'0311_ESF'!C194-'0311_ESF'!D194,0)</f>
        <v>0</v>
      </c>
      <c r="D194" s="367">
        <f ca="1">IF(+'0311_ESF'!D194&gt;'0311_ESF'!C194,+'0311_ESF'!D194-'0311_ESF'!C194,0)</f>
        <v>0</v>
      </c>
    </row>
    <row r="195" spans="1:4">
      <c r="A195" s="161">
        <v>3320</v>
      </c>
      <c r="B195" s="16" t="s">
        <v>70</v>
      </c>
      <c r="C195" s="369">
        <f ca="1">IF(+'0311_ESF'!C195&gt;'0311_ESF'!D195,+'0311_ESF'!C195-'0311_ESF'!D195,0)</f>
        <v>0</v>
      </c>
      <c r="D195" s="369">
        <f ca="1">IF(+'0311_ESF'!D195&gt;'0311_ESF'!C195,+'0311_ESF'!D195-'0311_ESF'!C195,0)</f>
        <v>0</v>
      </c>
    </row>
  </sheetData>
  <sheetProtection autoFilter="0"/>
  <mergeCells count="1">
    <mergeCell ref="A1:D1"/>
  </mergeCells>
  <dataValidations count="4">
    <dataValidation allowBlank="1" showInputMessage="1" showErrorMessage="1" prompt="Muestra la variación negativa de activo y positiva de pasivo y patrimonio por obtención o disposición de los recursos y obligaciones durante el ejercicio, del periodo actual respecto al periodo anterior."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dataValidation allowBlank="1" showInputMessage="1" showErrorMessage="1" prompt="Muestra la variación positiva de activo y negativa de pasivo y patrimonio por la obtención o disposición de los recursos y obligaciones durante el ejercicio, del periodo actual respecto al periodo anterior."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dataValidation allowBlank="1" showInputMessage="1" showErrorMessage="1" prompt="Corresponde al número de cuenta al 4° nivel del Plan de Cuentas emitido por el CONAC (DOF 23/12/2015)."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9 IW65539 SS65539 ACO65539 AMK65539 AWG65539 BGC65539 BPY65539 BZU65539 CJQ65539 CTM65539 DDI65539 DNE65539 DXA65539 EGW65539 EQS65539 FAO65539 FKK65539 FUG65539 GEC65539 GNY65539 GXU65539 HHQ65539 HRM65539 IBI65539 ILE65539 IVA65539 JEW65539 JOS65539 JYO65539 KIK65539 KSG65539 LCC65539 LLY65539 LVU65539 MFQ65539 MPM65539 MZI65539 NJE65539 NTA65539 OCW65539 OMS65539 OWO65539 PGK65539 PQG65539 QAC65539 QJY65539 QTU65539 RDQ65539 RNM65539 RXI65539 SHE65539 SRA65539 TAW65539 TKS65539 TUO65539 UEK65539 UOG65539 UYC65539 VHY65539 VRU65539 WBQ65539 WLM65539 WVI65539 A131075 IW131075 SS131075 ACO131075 AMK131075 AWG131075 BGC131075 BPY131075 BZU131075 CJQ131075 CTM131075 DDI131075 DNE131075 DXA131075 EGW131075 EQS131075 FAO131075 FKK131075 FUG131075 GEC131075 GNY131075 GXU131075 HHQ131075 HRM131075 IBI131075 ILE131075 IVA131075 JEW131075 JOS131075 JYO131075 KIK131075 KSG131075 LCC131075 LLY131075 LVU131075 MFQ131075 MPM131075 MZI131075 NJE131075 NTA131075 OCW131075 OMS131075 OWO131075 PGK131075 PQG131075 QAC131075 QJY131075 QTU131075 RDQ131075 RNM131075 RXI131075 SHE131075 SRA131075 TAW131075 TKS131075 TUO131075 UEK131075 UOG131075 UYC131075 VHY131075 VRU131075 WBQ131075 WLM131075 WVI131075 A196611 IW196611 SS196611 ACO196611 AMK196611 AWG196611 BGC196611 BPY196611 BZU196611 CJQ196611 CTM196611 DDI196611 DNE196611 DXA196611 EGW196611 EQS196611 FAO196611 FKK196611 FUG196611 GEC196611 GNY196611 GXU196611 HHQ196611 HRM196611 IBI196611 ILE196611 IVA196611 JEW196611 JOS196611 JYO196611 KIK196611 KSG196611 LCC196611 LLY196611 LVU196611 MFQ196611 MPM196611 MZI196611 NJE196611 NTA196611 OCW196611 OMS196611 OWO196611 PGK196611 PQG196611 QAC196611 QJY196611 QTU196611 RDQ196611 RNM196611 RXI196611 SHE196611 SRA196611 TAW196611 TKS196611 TUO196611 UEK196611 UOG196611 UYC196611 VHY196611 VRU196611 WBQ196611 WLM196611 WVI196611 A262147 IW262147 SS262147 ACO262147 AMK262147 AWG262147 BGC262147 BPY262147 BZU262147 CJQ262147 CTM262147 DDI262147 DNE262147 DXA262147 EGW262147 EQS262147 FAO262147 FKK262147 FUG262147 GEC262147 GNY262147 GXU262147 HHQ262147 HRM262147 IBI262147 ILE262147 IVA262147 JEW262147 JOS262147 JYO262147 KIK262147 KSG262147 LCC262147 LLY262147 LVU262147 MFQ262147 MPM262147 MZI262147 NJE262147 NTA262147 OCW262147 OMS262147 OWO262147 PGK262147 PQG262147 QAC262147 QJY262147 QTU262147 RDQ262147 RNM262147 RXI262147 SHE262147 SRA262147 TAW262147 TKS262147 TUO262147 UEK262147 UOG262147 UYC262147 VHY262147 VRU262147 WBQ262147 WLM262147 WVI262147 A327683 IW327683 SS327683 ACO327683 AMK327683 AWG327683 BGC327683 BPY327683 BZU327683 CJQ327683 CTM327683 DDI327683 DNE327683 DXA327683 EGW327683 EQS327683 FAO327683 FKK327683 FUG327683 GEC327683 GNY327683 GXU327683 HHQ327683 HRM327683 IBI327683 ILE327683 IVA327683 JEW327683 JOS327683 JYO327683 KIK327683 KSG327683 LCC327683 LLY327683 LVU327683 MFQ327683 MPM327683 MZI327683 NJE327683 NTA327683 OCW327683 OMS327683 OWO327683 PGK327683 PQG327683 QAC327683 QJY327683 QTU327683 RDQ327683 RNM327683 RXI327683 SHE327683 SRA327683 TAW327683 TKS327683 TUO327683 UEK327683 UOG327683 UYC327683 VHY327683 VRU327683 WBQ327683 WLM327683 WVI327683 A393219 IW393219 SS393219 ACO393219 AMK393219 AWG393219 BGC393219 BPY393219 BZU393219 CJQ393219 CTM393219 DDI393219 DNE393219 DXA393219 EGW393219 EQS393219 FAO393219 FKK393219 FUG393219 GEC393219 GNY393219 GXU393219 HHQ393219 HRM393219 IBI393219 ILE393219 IVA393219 JEW393219 JOS393219 JYO393219 KIK393219 KSG393219 LCC393219 LLY393219 LVU393219 MFQ393219 MPM393219 MZI393219 NJE393219 NTA393219 OCW393219 OMS393219 OWO393219 PGK393219 PQG393219 QAC393219 QJY393219 QTU393219 RDQ393219 RNM393219 RXI393219 SHE393219 SRA393219 TAW393219 TKS393219 TUO393219 UEK393219 UOG393219 UYC393219 VHY393219 VRU393219 WBQ393219 WLM393219 WVI393219 A458755 IW458755 SS458755 ACO458755 AMK458755 AWG458755 BGC458755 BPY458755 BZU458755 CJQ458755 CTM458755 DDI458755 DNE458755 DXA458755 EGW458755 EQS458755 FAO458755 FKK458755 FUG458755 GEC458755 GNY458755 GXU458755 HHQ458755 HRM458755 IBI458755 ILE458755 IVA458755 JEW458755 JOS458755 JYO458755 KIK458755 KSG458755 LCC458755 LLY458755 LVU458755 MFQ458755 MPM458755 MZI458755 NJE458755 NTA458755 OCW458755 OMS458755 OWO458755 PGK458755 PQG458755 QAC458755 QJY458755 QTU458755 RDQ458755 RNM458755 RXI458755 SHE458755 SRA458755 TAW458755 TKS458755 TUO458755 UEK458755 UOG458755 UYC458755 VHY458755 VRU458755 WBQ458755 WLM458755 WVI458755 A524291 IW524291 SS524291 ACO524291 AMK524291 AWG524291 BGC524291 BPY524291 BZU524291 CJQ524291 CTM524291 DDI524291 DNE524291 DXA524291 EGW524291 EQS524291 FAO524291 FKK524291 FUG524291 GEC524291 GNY524291 GXU524291 HHQ524291 HRM524291 IBI524291 ILE524291 IVA524291 JEW524291 JOS524291 JYO524291 KIK524291 KSG524291 LCC524291 LLY524291 LVU524291 MFQ524291 MPM524291 MZI524291 NJE524291 NTA524291 OCW524291 OMS524291 OWO524291 PGK524291 PQG524291 QAC524291 QJY524291 QTU524291 RDQ524291 RNM524291 RXI524291 SHE524291 SRA524291 TAW524291 TKS524291 TUO524291 UEK524291 UOG524291 UYC524291 VHY524291 VRU524291 WBQ524291 WLM524291 WVI524291 A589827 IW589827 SS589827 ACO589827 AMK589827 AWG589827 BGC589827 BPY589827 BZU589827 CJQ589827 CTM589827 DDI589827 DNE589827 DXA589827 EGW589827 EQS589827 FAO589827 FKK589827 FUG589827 GEC589827 GNY589827 GXU589827 HHQ589827 HRM589827 IBI589827 ILE589827 IVA589827 JEW589827 JOS589827 JYO589827 KIK589827 KSG589827 LCC589827 LLY589827 LVU589827 MFQ589827 MPM589827 MZI589827 NJE589827 NTA589827 OCW589827 OMS589827 OWO589827 PGK589827 PQG589827 QAC589827 QJY589827 QTU589827 RDQ589827 RNM589827 RXI589827 SHE589827 SRA589827 TAW589827 TKS589827 TUO589827 UEK589827 UOG589827 UYC589827 VHY589827 VRU589827 WBQ589827 WLM589827 WVI589827 A655363 IW655363 SS655363 ACO655363 AMK655363 AWG655363 BGC655363 BPY655363 BZU655363 CJQ655363 CTM655363 DDI655363 DNE655363 DXA655363 EGW655363 EQS655363 FAO655363 FKK655363 FUG655363 GEC655363 GNY655363 GXU655363 HHQ655363 HRM655363 IBI655363 ILE655363 IVA655363 JEW655363 JOS655363 JYO655363 KIK655363 KSG655363 LCC655363 LLY655363 LVU655363 MFQ655363 MPM655363 MZI655363 NJE655363 NTA655363 OCW655363 OMS655363 OWO655363 PGK655363 PQG655363 QAC655363 QJY655363 QTU655363 RDQ655363 RNM655363 RXI655363 SHE655363 SRA655363 TAW655363 TKS655363 TUO655363 UEK655363 UOG655363 UYC655363 VHY655363 VRU655363 WBQ655363 WLM655363 WVI655363 A720899 IW720899 SS720899 ACO720899 AMK720899 AWG720899 BGC720899 BPY720899 BZU720899 CJQ720899 CTM720899 DDI720899 DNE720899 DXA720899 EGW720899 EQS720899 FAO720899 FKK720899 FUG720899 GEC720899 GNY720899 GXU720899 HHQ720899 HRM720899 IBI720899 ILE720899 IVA720899 JEW720899 JOS720899 JYO720899 KIK720899 KSG720899 LCC720899 LLY720899 LVU720899 MFQ720899 MPM720899 MZI720899 NJE720899 NTA720899 OCW720899 OMS720899 OWO720899 PGK720899 PQG720899 QAC720899 QJY720899 QTU720899 RDQ720899 RNM720899 RXI720899 SHE720899 SRA720899 TAW720899 TKS720899 TUO720899 UEK720899 UOG720899 UYC720899 VHY720899 VRU720899 WBQ720899 WLM720899 WVI720899 A786435 IW786435 SS786435 ACO786435 AMK786435 AWG786435 BGC786435 BPY786435 BZU786435 CJQ786435 CTM786435 DDI786435 DNE786435 DXA786435 EGW786435 EQS786435 FAO786435 FKK786435 FUG786435 GEC786435 GNY786435 GXU786435 HHQ786435 HRM786435 IBI786435 ILE786435 IVA786435 JEW786435 JOS786435 JYO786435 KIK786435 KSG786435 LCC786435 LLY786435 LVU786435 MFQ786435 MPM786435 MZI786435 NJE786435 NTA786435 OCW786435 OMS786435 OWO786435 PGK786435 PQG786435 QAC786435 QJY786435 QTU786435 RDQ786435 RNM786435 RXI786435 SHE786435 SRA786435 TAW786435 TKS786435 TUO786435 UEK786435 UOG786435 UYC786435 VHY786435 VRU786435 WBQ786435 WLM786435 WVI786435 A851971 IW851971 SS851971 ACO851971 AMK851971 AWG851971 BGC851971 BPY851971 BZU851971 CJQ851971 CTM851971 DDI851971 DNE851971 DXA851971 EGW851971 EQS851971 FAO851971 FKK851971 FUG851971 GEC851971 GNY851971 GXU851971 HHQ851971 HRM851971 IBI851971 ILE851971 IVA851971 JEW851971 JOS851971 JYO851971 KIK851971 KSG851971 LCC851971 LLY851971 LVU851971 MFQ851971 MPM851971 MZI851971 NJE851971 NTA851971 OCW851971 OMS851971 OWO851971 PGK851971 PQG851971 QAC851971 QJY851971 QTU851971 RDQ851971 RNM851971 RXI851971 SHE851971 SRA851971 TAW851971 TKS851971 TUO851971 UEK851971 UOG851971 UYC851971 VHY851971 VRU851971 WBQ851971 WLM851971 WVI851971 A917507 IW917507 SS917507 ACO917507 AMK917507 AWG917507 BGC917507 BPY917507 BZU917507 CJQ917507 CTM917507 DDI917507 DNE917507 DXA917507 EGW917507 EQS917507 FAO917507 FKK917507 FUG917507 GEC917507 GNY917507 GXU917507 HHQ917507 HRM917507 IBI917507 ILE917507 IVA917507 JEW917507 JOS917507 JYO917507 KIK917507 KSG917507 LCC917507 LLY917507 LVU917507 MFQ917507 MPM917507 MZI917507 NJE917507 NTA917507 OCW917507 OMS917507 OWO917507 PGK917507 PQG917507 QAC917507 QJY917507 QTU917507 RDQ917507 RNM917507 RXI917507 SHE917507 SRA917507 TAW917507 TKS917507 TUO917507 UEK917507 UOG917507 UYC917507 VHY917507 VRU917507 WBQ917507 WLM917507 WVI917507 A983043 IW983043 SS983043 ACO983043 AMK983043 AWG983043 BGC983043 BPY983043 BZU983043 CJQ983043 CTM983043 DDI983043 DNE983043 DXA983043 EGW983043 EQS983043 FAO983043 FKK983043 FUG983043 GEC983043 GNY983043 GXU983043 HHQ983043 HRM983043 IBI983043 ILE983043 IVA983043 JEW983043 JOS983043 JYO983043 KIK983043 KSG983043 LCC983043 LLY983043 LVU983043 MFQ983043 MPM983043 MZI983043 NJE983043 NTA983043 OCW983043 OMS983043 OWO983043 PGK983043 PQG983043 QAC983043 QJY983043 QTU983043 RDQ983043 RNM983043 RXI983043 SHE983043 SRA983043 TAW983043 TKS983043 TUO983043 UEK983043 UOG983043 UYC983043 VHY983043 VRU983043 WBQ983043 WLM983043 WVI983043"/>
    <dataValidation allowBlank="1" showInputMessage="1" showErrorMessage="1" prompt="Corresponde al nombre o descripción de la cuenta de acuerdo al plan de cuentas emitido por el CONAC."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dataValidations>
  <pageMargins left="0.74803149606299213" right="0.74803149606299213" top="0.98425196850393704" bottom="0.98425196850393704" header="0" footer="0"/>
  <pageSetup scale="83" fitToHeight="0" orientation="portrait" r:id="rId1"/>
  <headerFooter alignWithMargins="0"/>
  <ignoredErrors>
    <ignoredError sqref="C43:D195 C3:D39 C40:D42"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8"/>
  <sheetViews>
    <sheetView showGridLines="0" topLeftCell="B1" zoomScaleNormal="100" workbookViewId="0">
      <pane ySplit="2" topLeftCell="A21" activePane="bottomLeft" state="frozen"/>
      <selection pane="bottomLeft" activeCell="C3" sqref="C3:D58"/>
    </sheetView>
  </sheetViews>
  <sheetFormatPr baseColWidth="10" defaultColWidth="9.28515625" defaultRowHeight="11.25"/>
  <cols>
    <col min="1" max="1" width="7.7109375" style="166" customWidth="1"/>
    <col min="2" max="2" width="60.140625" style="166" customWidth="1"/>
    <col min="3" max="4" width="16.28515625" style="170" customWidth="1"/>
    <col min="5" max="5" width="6.85546875" style="166" customWidth="1"/>
    <col min="6" max="255" width="9.28515625" style="179"/>
    <col min="256" max="256" width="7.7109375" style="179" customWidth="1"/>
    <col min="257" max="257" width="58.28515625" style="179" bestFit="1" customWidth="1"/>
    <col min="258" max="260" width="16.28515625" style="179" customWidth="1"/>
    <col min="261" max="261" width="6.85546875" style="179" customWidth="1"/>
    <col min="262" max="511" width="9.28515625" style="179"/>
    <col min="512" max="512" width="7.7109375" style="179" customWidth="1"/>
    <col min="513" max="513" width="58.28515625" style="179" bestFit="1" customWidth="1"/>
    <col min="514" max="516" width="16.28515625" style="179" customWidth="1"/>
    <col min="517" max="517" width="6.85546875" style="179" customWidth="1"/>
    <col min="518" max="767" width="9.28515625" style="179"/>
    <col min="768" max="768" width="7.7109375" style="179" customWidth="1"/>
    <col min="769" max="769" width="58.28515625" style="179" bestFit="1" customWidth="1"/>
    <col min="770" max="772" width="16.28515625" style="179" customWidth="1"/>
    <col min="773" max="773" width="6.85546875" style="179" customWidth="1"/>
    <col min="774" max="1023" width="9.28515625" style="179"/>
    <col min="1024" max="1024" width="7.7109375" style="179" customWidth="1"/>
    <col min="1025" max="1025" width="58.28515625" style="179" bestFit="1" customWidth="1"/>
    <col min="1026" max="1028" width="16.28515625" style="179" customWidth="1"/>
    <col min="1029" max="1029" width="6.85546875" style="179" customWidth="1"/>
    <col min="1030" max="1279" width="9.28515625" style="179"/>
    <col min="1280" max="1280" width="7.7109375" style="179" customWidth="1"/>
    <col min="1281" max="1281" width="58.28515625" style="179" bestFit="1" customWidth="1"/>
    <col min="1282" max="1284" width="16.28515625" style="179" customWidth="1"/>
    <col min="1285" max="1285" width="6.85546875" style="179" customWidth="1"/>
    <col min="1286" max="1535" width="9.28515625" style="179"/>
    <col min="1536" max="1536" width="7.7109375" style="179" customWidth="1"/>
    <col min="1537" max="1537" width="58.28515625" style="179" bestFit="1" customWidth="1"/>
    <col min="1538" max="1540" width="16.28515625" style="179" customWidth="1"/>
    <col min="1541" max="1541" width="6.85546875" style="179" customWidth="1"/>
    <col min="1542" max="1791" width="9.28515625" style="179"/>
    <col min="1792" max="1792" width="7.7109375" style="179" customWidth="1"/>
    <col min="1793" max="1793" width="58.28515625" style="179" bestFit="1" customWidth="1"/>
    <col min="1794" max="1796" width="16.28515625" style="179" customWidth="1"/>
    <col min="1797" max="1797" width="6.85546875" style="179" customWidth="1"/>
    <col min="1798" max="2047" width="9.28515625" style="179"/>
    <col min="2048" max="2048" width="7.7109375" style="179" customWidth="1"/>
    <col min="2049" max="2049" width="58.28515625" style="179" bestFit="1" customWidth="1"/>
    <col min="2050" max="2052" width="16.28515625" style="179" customWidth="1"/>
    <col min="2053" max="2053" width="6.85546875" style="179" customWidth="1"/>
    <col min="2054" max="2303" width="9.28515625" style="179"/>
    <col min="2304" max="2304" width="7.7109375" style="179" customWidth="1"/>
    <col min="2305" max="2305" width="58.28515625" style="179" bestFit="1" customWidth="1"/>
    <col min="2306" max="2308" width="16.28515625" style="179" customWidth="1"/>
    <col min="2309" max="2309" width="6.85546875" style="179" customWidth="1"/>
    <col min="2310" max="2559" width="9.28515625" style="179"/>
    <col min="2560" max="2560" width="7.7109375" style="179" customWidth="1"/>
    <col min="2561" max="2561" width="58.28515625" style="179" bestFit="1" customWidth="1"/>
    <col min="2562" max="2564" width="16.28515625" style="179" customWidth="1"/>
    <col min="2565" max="2565" width="6.85546875" style="179" customWidth="1"/>
    <col min="2566" max="2815" width="9.28515625" style="179"/>
    <col min="2816" max="2816" width="7.7109375" style="179" customWidth="1"/>
    <col min="2817" max="2817" width="58.28515625" style="179" bestFit="1" customWidth="1"/>
    <col min="2818" max="2820" width="16.28515625" style="179" customWidth="1"/>
    <col min="2821" max="2821" width="6.85546875" style="179" customWidth="1"/>
    <col min="2822" max="3071" width="9.28515625" style="179"/>
    <col min="3072" max="3072" width="7.7109375" style="179" customWidth="1"/>
    <col min="3073" max="3073" width="58.28515625" style="179" bestFit="1" customWidth="1"/>
    <col min="3074" max="3076" width="16.28515625" style="179" customWidth="1"/>
    <col min="3077" max="3077" width="6.85546875" style="179" customWidth="1"/>
    <col min="3078" max="3327" width="9.28515625" style="179"/>
    <col min="3328" max="3328" width="7.7109375" style="179" customWidth="1"/>
    <col min="3329" max="3329" width="58.28515625" style="179" bestFit="1" customWidth="1"/>
    <col min="3330" max="3332" width="16.28515625" style="179" customWidth="1"/>
    <col min="3333" max="3333" width="6.85546875" style="179" customWidth="1"/>
    <col min="3334" max="3583" width="9.28515625" style="179"/>
    <col min="3584" max="3584" width="7.7109375" style="179" customWidth="1"/>
    <col min="3585" max="3585" width="58.28515625" style="179" bestFit="1" customWidth="1"/>
    <col min="3586" max="3588" width="16.28515625" style="179" customWidth="1"/>
    <col min="3589" max="3589" width="6.85546875" style="179" customWidth="1"/>
    <col min="3590" max="3839" width="9.28515625" style="179"/>
    <col min="3840" max="3840" width="7.7109375" style="179" customWidth="1"/>
    <col min="3841" max="3841" width="58.28515625" style="179" bestFit="1" customWidth="1"/>
    <col min="3842" max="3844" width="16.28515625" style="179" customWidth="1"/>
    <col min="3845" max="3845" width="6.85546875" style="179" customWidth="1"/>
    <col min="3846" max="4095" width="9.28515625" style="179"/>
    <col min="4096" max="4096" width="7.7109375" style="179" customWidth="1"/>
    <col min="4097" max="4097" width="58.28515625" style="179" bestFit="1" customWidth="1"/>
    <col min="4098" max="4100" width="16.28515625" style="179" customWidth="1"/>
    <col min="4101" max="4101" width="6.85546875" style="179" customWidth="1"/>
    <col min="4102" max="4351" width="9.28515625" style="179"/>
    <col min="4352" max="4352" width="7.7109375" style="179" customWidth="1"/>
    <col min="4353" max="4353" width="58.28515625" style="179" bestFit="1" customWidth="1"/>
    <col min="4354" max="4356" width="16.28515625" style="179" customWidth="1"/>
    <col min="4357" max="4357" width="6.85546875" style="179" customWidth="1"/>
    <col min="4358" max="4607" width="9.28515625" style="179"/>
    <col min="4608" max="4608" width="7.7109375" style="179" customWidth="1"/>
    <col min="4609" max="4609" width="58.28515625" style="179" bestFit="1" customWidth="1"/>
    <col min="4610" max="4612" width="16.28515625" style="179" customWidth="1"/>
    <col min="4613" max="4613" width="6.85546875" style="179" customWidth="1"/>
    <col min="4614" max="4863" width="9.28515625" style="179"/>
    <col min="4864" max="4864" width="7.7109375" style="179" customWidth="1"/>
    <col min="4865" max="4865" width="58.28515625" style="179" bestFit="1" customWidth="1"/>
    <col min="4866" max="4868" width="16.28515625" style="179" customWidth="1"/>
    <col min="4869" max="4869" width="6.85546875" style="179" customWidth="1"/>
    <col min="4870" max="5119" width="9.28515625" style="179"/>
    <col min="5120" max="5120" width="7.7109375" style="179" customWidth="1"/>
    <col min="5121" max="5121" width="58.28515625" style="179" bestFit="1" customWidth="1"/>
    <col min="5122" max="5124" width="16.28515625" style="179" customWidth="1"/>
    <col min="5125" max="5125" width="6.85546875" style="179" customWidth="1"/>
    <col min="5126" max="5375" width="9.28515625" style="179"/>
    <col min="5376" max="5376" width="7.7109375" style="179" customWidth="1"/>
    <col min="5377" max="5377" width="58.28515625" style="179" bestFit="1" customWidth="1"/>
    <col min="5378" max="5380" width="16.28515625" style="179" customWidth="1"/>
    <col min="5381" max="5381" width="6.85546875" style="179" customWidth="1"/>
    <col min="5382" max="5631" width="9.28515625" style="179"/>
    <col min="5632" max="5632" width="7.7109375" style="179" customWidth="1"/>
    <col min="5633" max="5633" width="58.28515625" style="179" bestFit="1" customWidth="1"/>
    <col min="5634" max="5636" width="16.28515625" style="179" customWidth="1"/>
    <col min="5637" max="5637" width="6.85546875" style="179" customWidth="1"/>
    <col min="5638" max="5887" width="9.28515625" style="179"/>
    <col min="5888" max="5888" width="7.7109375" style="179" customWidth="1"/>
    <col min="5889" max="5889" width="58.28515625" style="179" bestFit="1" customWidth="1"/>
    <col min="5890" max="5892" width="16.28515625" style="179" customWidth="1"/>
    <col min="5893" max="5893" width="6.85546875" style="179" customWidth="1"/>
    <col min="5894" max="6143" width="9.28515625" style="179"/>
    <col min="6144" max="6144" width="7.7109375" style="179" customWidth="1"/>
    <col min="6145" max="6145" width="58.28515625" style="179" bestFit="1" customWidth="1"/>
    <col min="6146" max="6148" width="16.28515625" style="179" customWidth="1"/>
    <col min="6149" max="6149" width="6.85546875" style="179" customWidth="1"/>
    <col min="6150" max="6399" width="9.28515625" style="179"/>
    <col min="6400" max="6400" width="7.7109375" style="179" customWidth="1"/>
    <col min="6401" max="6401" width="58.28515625" style="179" bestFit="1" customWidth="1"/>
    <col min="6402" max="6404" width="16.28515625" style="179" customWidth="1"/>
    <col min="6405" max="6405" width="6.85546875" style="179" customWidth="1"/>
    <col min="6406" max="6655" width="9.28515625" style="179"/>
    <col min="6656" max="6656" width="7.7109375" style="179" customWidth="1"/>
    <col min="6657" max="6657" width="58.28515625" style="179" bestFit="1" customWidth="1"/>
    <col min="6658" max="6660" width="16.28515625" style="179" customWidth="1"/>
    <col min="6661" max="6661" width="6.85546875" style="179" customWidth="1"/>
    <col min="6662" max="6911" width="9.28515625" style="179"/>
    <col min="6912" max="6912" width="7.7109375" style="179" customWidth="1"/>
    <col min="6913" max="6913" width="58.28515625" style="179" bestFit="1" customWidth="1"/>
    <col min="6914" max="6916" width="16.28515625" style="179" customWidth="1"/>
    <col min="6917" max="6917" width="6.85546875" style="179" customWidth="1"/>
    <col min="6918" max="7167" width="9.28515625" style="179"/>
    <col min="7168" max="7168" width="7.7109375" style="179" customWidth="1"/>
    <col min="7169" max="7169" width="58.28515625" style="179" bestFit="1" customWidth="1"/>
    <col min="7170" max="7172" width="16.28515625" style="179" customWidth="1"/>
    <col min="7173" max="7173" width="6.85546875" style="179" customWidth="1"/>
    <col min="7174" max="7423" width="9.28515625" style="179"/>
    <col min="7424" max="7424" width="7.7109375" style="179" customWidth="1"/>
    <col min="7425" max="7425" width="58.28515625" style="179" bestFit="1" customWidth="1"/>
    <col min="7426" max="7428" width="16.28515625" style="179" customWidth="1"/>
    <col min="7429" max="7429" width="6.85546875" style="179" customWidth="1"/>
    <col min="7430" max="7679" width="9.28515625" style="179"/>
    <col min="7680" max="7680" width="7.7109375" style="179" customWidth="1"/>
    <col min="7681" max="7681" width="58.28515625" style="179" bestFit="1" customWidth="1"/>
    <col min="7682" max="7684" width="16.28515625" style="179" customWidth="1"/>
    <col min="7685" max="7685" width="6.85546875" style="179" customWidth="1"/>
    <col min="7686" max="7935" width="9.28515625" style="179"/>
    <col min="7936" max="7936" width="7.7109375" style="179" customWidth="1"/>
    <col min="7937" max="7937" width="58.28515625" style="179" bestFit="1" customWidth="1"/>
    <col min="7938" max="7940" width="16.28515625" style="179" customWidth="1"/>
    <col min="7941" max="7941" width="6.85546875" style="179" customWidth="1"/>
    <col min="7942" max="8191" width="9.28515625" style="179"/>
    <col min="8192" max="8192" width="7.7109375" style="179" customWidth="1"/>
    <col min="8193" max="8193" width="58.28515625" style="179" bestFit="1" customWidth="1"/>
    <col min="8194" max="8196" width="16.28515625" style="179" customWidth="1"/>
    <col min="8197" max="8197" width="6.85546875" style="179" customWidth="1"/>
    <col min="8198" max="8447" width="9.28515625" style="179"/>
    <col min="8448" max="8448" width="7.7109375" style="179" customWidth="1"/>
    <col min="8449" max="8449" width="58.28515625" style="179" bestFit="1" customWidth="1"/>
    <col min="8450" max="8452" width="16.28515625" style="179" customWidth="1"/>
    <col min="8453" max="8453" width="6.85546875" style="179" customWidth="1"/>
    <col min="8454" max="8703" width="9.28515625" style="179"/>
    <col min="8704" max="8704" width="7.7109375" style="179" customWidth="1"/>
    <col min="8705" max="8705" width="58.28515625" style="179" bestFit="1" customWidth="1"/>
    <col min="8706" max="8708" width="16.28515625" style="179" customWidth="1"/>
    <col min="8709" max="8709" width="6.85546875" style="179" customWidth="1"/>
    <col min="8710" max="8959" width="9.28515625" style="179"/>
    <col min="8960" max="8960" width="7.7109375" style="179" customWidth="1"/>
    <col min="8961" max="8961" width="58.28515625" style="179" bestFit="1" customWidth="1"/>
    <col min="8962" max="8964" width="16.28515625" style="179" customWidth="1"/>
    <col min="8965" max="8965" width="6.85546875" style="179" customWidth="1"/>
    <col min="8966" max="9215" width="9.28515625" style="179"/>
    <col min="9216" max="9216" width="7.7109375" style="179" customWidth="1"/>
    <col min="9217" max="9217" width="58.28515625" style="179" bestFit="1" customWidth="1"/>
    <col min="9218" max="9220" width="16.28515625" style="179" customWidth="1"/>
    <col min="9221" max="9221" width="6.85546875" style="179" customWidth="1"/>
    <col min="9222" max="9471" width="9.28515625" style="179"/>
    <col min="9472" max="9472" width="7.7109375" style="179" customWidth="1"/>
    <col min="9473" max="9473" width="58.28515625" style="179" bestFit="1" customWidth="1"/>
    <col min="9474" max="9476" width="16.28515625" style="179" customWidth="1"/>
    <col min="9477" max="9477" width="6.85546875" style="179" customWidth="1"/>
    <col min="9478" max="9727" width="9.28515625" style="179"/>
    <col min="9728" max="9728" width="7.7109375" style="179" customWidth="1"/>
    <col min="9729" max="9729" width="58.28515625" style="179" bestFit="1" customWidth="1"/>
    <col min="9730" max="9732" width="16.28515625" style="179" customWidth="1"/>
    <col min="9733" max="9733" width="6.85546875" style="179" customWidth="1"/>
    <col min="9734" max="9983" width="9.28515625" style="179"/>
    <col min="9984" max="9984" width="7.7109375" style="179" customWidth="1"/>
    <col min="9985" max="9985" width="58.28515625" style="179" bestFit="1" customWidth="1"/>
    <col min="9986" max="9988" width="16.28515625" style="179" customWidth="1"/>
    <col min="9989" max="9989" width="6.85546875" style="179" customWidth="1"/>
    <col min="9990" max="10239" width="9.28515625" style="179"/>
    <col min="10240" max="10240" width="7.7109375" style="179" customWidth="1"/>
    <col min="10241" max="10241" width="58.28515625" style="179" bestFit="1" customWidth="1"/>
    <col min="10242" max="10244" width="16.28515625" style="179" customWidth="1"/>
    <col min="10245" max="10245" width="6.85546875" style="179" customWidth="1"/>
    <col min="10246" max="10495" width="9.28515625" style="179"/>
    <col min="10496" max="10496" width="7.7109375" style="179" customWidth="1"/>
    <col min="10497" max="10497" width="58.28515625" style="179" bestFit="1" customWidth="1"/>
    <col min="10498" max="10500" width="16.28515625" style="179" customWidth="1"/>
    <col min="10501" max="10501" width="6.85546875" style="179" customWidth="1"/>
    <col min="10502" max="10751" width="9.28515625" style="179"/>
    <col min="10752" max="10752" width="7.7109375" style="179" customWidth="1"/>
    <col min="10753" max="10753" width="58.28515625" style="179" bestFit="1" customWidth="1"/>
    <col min="10754" max="10756" width="16.28515625" style="179" customWidth="1"/>
    <col min="10757" max="10757" width="6.85546875" style="179" customWidth="1"/>
    <col min="10758" max="11007" width="9.28515625" style="179"/>
    <col min="11008" max="11008" width="7.7109375" style="179" customWidth="1"/>
    <col min="11009" max="11009" width="58.28515625" style="179" bestFit="1" customWidth="1"/>
    <col min="11010" max="11012" width="16.28515625" style="179" customWidth="1"/>
    <col min="11013" max="11013" width="6.85546875" style="179" customWidth="1"/>
    <col min="11014" max="11263" width="9.28515625" style="179"/>
    <col min="11264" max="11264" width="7.7109375" style="179" customWidth="1"/>
    <col min="11265" max="11265" width="58.28515625" style="179" bestFit="1" customWidth="1"/>
    <col min="11266" max="11268" width="16.28515625" style="179" customWidth="1"/>
    <col min="11269" max="11269" width="6.85546875" style="179" customWidth="1"/>
    <col min="11270" max="11519" width="9.28515625" style="179"/>
    <col min="11520" max="11520" width="7.7109375" style="179" customWidth="1"/>
    <col min="11521" max="11521" width="58.28515625" style="179" bestFit="1" customWidth="1"/>
    <col min="11522" max="11524" width="16.28515625" style="179" customWidth="1"/>
    <col min="11525" max="11525" width="6.85546875" style="179" customWidth="1"/>
    <col min="11526" max="11775" width="9.28515625" style="179"/>
    <col min="11776" max="11776" width="7.7109375" style="179" customWidth="1"/>
    <col min="11777" max="11777" width="58.28515625" style="179" bestFit="1" customWidth="1"/>
    <col min="11778" max="11780" width="16.28515625" style="179" customWidth="1"/>
    <col min="11781" max="11781" width="6.85546875" style="179" customWidth="1"/>
    <col min="11782" max="12031" width="9.28515625" style="179"/>
    <col min="12032" max="12032" width="7.7109375" style="179" customWidth="1"/>
    <col min="12033" max="12033" width="58.28515625" style="179" bestFit="1" customWidth="1"/>
    <col min="12034" max="12036" width="16.28515625" style="179" customWidth="1"/>
    <col min="12037" max="12037" width="6.85546875" style="179" customWidth="1"/>
    <col min="12038" max="12287" width="9.28515625" style="179"/>
    <col min="12288" max="12288" width="7.7109375" style="179" customWidth="1"/>
    <col min="12289" max="12289" width="58.28515625" style="179" bestFit="1" customWidth="1"/>
    <col min="12290" max="12292" width="16.28515625" style="179" customWidth="1"/>
    <col min="12293" max="12293" width="6.85546875" style="179" customWidth="1"/>
    <col min="12294" max="12543" width="9.28515625" style="179"/>
    <col min="12544" max="12544" width="7.7109375" style="179" customWidth="1"/>
    <col min="12545" max="12545" width="58.28515625" style="179" bestFit="1" customWidth="1"/>
    <col min="12546" max="12548" width="16.28515625" style="179" customWidth="1"/>
    <col min="12549" max="12549" width="6.85546875" style="179" customWidth="1"/>
    <col min="12550" max="12799" width="9.28515625" style="179"/>
    <col min="12800" max="12800" width="7.7109375" style="179" customWidth="1"/>
    <col min="12801" max="12801" width="58.28515625" style="179" bestFit="1" customWidth="1"/>
    <col min="12802" max="12804" width="16.28515625" style="179" customWidth="1"/>
    <col min="12805" max="12805" width="6.85546875" style="179" customWidth="1"/>
    <col min="12806" max="13055" width="9.28515625" style="179"/>
    <col min="13056" max="13056" width="7.7109375" style="179" customWidth="1"/>
    <col min="13057" max="13057" width="58.28515625" style="179" bestFit="1" customWidth="1"/>
    <col min="13058" max="13060" width="16.28515625" style="179" customWidth="1"/>
    <col min="13061" max="13061" width="6.85546875" style="179" customWidth="1"/>
    <col min="13062" max="13311" width="9.28515625" style="179"/>
    <col min="13312" max="13312" width="7.7109375" style="179" customWidth="1"/>
    <col min="13313" max="13313" width="58.28515625" style="179" bestFit="1" customWidth="1"/>
    <col min="13314" max="13316" width="16.28515625" style="179" customWidth="1"/>
    <col min="13317" max="13317" width="6.85546875" style="179" customWidth="1"/>
    <col min="13318" max="13567" width="9.28515625" style="179"/>
    <col min="13568" max="13568" width="7.7109375" style="179" customWidth="1"/>
    <col min="13569" max="13569" width="58.28515625" style="179" bestFit="1" customWidth="1"/>
    <col min="13570" max="13572" width="16.28515625" style="179" customWidth="1"/>
    <col min="13573" max="13573" width="6.85546875" style="179" customWidth="1"/>
    <col min="13574" max="13823" width="9.28515625" style="179"/>
    <col min="13824" max="13824" width="7.7109375" style="179" customWidth="1"/>
    <col min="13825" max="13825" width="58.28515625" style="179" bestFit="1" customWidth="1"/>
    <col min="13826" max="13828" width="16.28515625" style="179" customWidth="1"/>
    <col min="13829" max="13829" width="6.85546875" style="179" customWidth="1"/>
    <col min="13830" max="14079" width="9.28515625" style="179"/>
    <col min="14080" max="14080" width="7.7109375" style="179" customWidth="1"/>
    <col min="14081" max="14081" width="58.28515625" style="179" bestFit="1" customWidth="1"/>
    <col min="14082" max="14084" width="16.28515625" style="179" customWidth="1"/>
    <col min="14085" max="14085" width="6.85546875" style="179" customWidth="1"/>
    <col min="14086" max="14335" width="9.28515625" style="179"/>
    <col min="14336" max="14336" width="7.7109375" style="179" customWidth="1"/>
    <col min="14337" max="14337" width="58.28515625" style="179" bestFit="1" customWidth="1"/>
    <col min="14338" max="14340" width="16.28515625" style="179" customWidth="1"/>
    <col min="14341" max="14341" width="6.85546875" style="179" customWidth="1"/>
    <col min="14342" max="14591" width="9.28515625" style="179"/>
    <col min="14592" max="14592" width="7.7109375" style="179" customWidth="1"/>
    <col min="14593" max="14593" width="58.28515625" style="179" bestFit="1" customWidth="1"/>
    <col min="14594" max="14596" width="16.28515625" style="179" customWidth="1"/>
    <col min="14597" max="14597" width="6.85546875" style="179" customWidth="1"/>
    <col min="14598" max="14847" width="9.28515625" style="179"/>
    <col min="14848" max="14848" width="7.7109375" style="179" customWidth="1"/>
    <col min="14849" max="14849" width="58.28515625" style="179" bestFit="1" customWidth="1"/>
    <col min="14850" max="14852" width="16.28515625" style="179" customWidth="1"/>
    <col min="14853" max="14853" width="6.85546875" style="179" customWidth="1"/>
    <col min="14854" max="15103" width="9.28515625" style="179"/>
    <col min="15104" max="15104" width="7.7109375" style="179" customWidth="1"/>
    <col min="15105" max="15105" width="58.28515625" style="179" bestFit="1" customWidth="1"/>
    <col min="15106" max="15108" width="16.28515625" style="179" customWidth="1"/>
    <col min="15109" max="15109" width="6.85546875" style="179" customWidth="1"/>
    <col min="15110" max="15359" width="9.28515625" style="179"/>
    <col min="15360" max="15360" width="7.7109375" style="179" customWidth="1"/>
    <col min="15361" max="15361" width="58.28515625" style="179" bestFit="1" customWidth="1"/>
    <col min="15362" max="15364" width="16.28515625" style="179" customWidth="1"/>
    <col min="15365" max="15365" width="6.85546875" style="179" customWidth="1"/>
    <col min="15366" max="15615" width="9.28515625" style="179"/>
    <col min="15616" max="15616" width="7.7109375" style="179" customWidth="1"/>
    <col min="15617" max="15617" width="58.28515625" style="179" bestFit="1" customWidth="1"/>
    <col min="15618" max="15620" width="16.28515625" style="179" customWidth="1"/>
    <col min="15621" max="15621" width="6.85546875" style="179" customWidth="1"/>
    <col min="15622" max="15871" width="9.28515625" style="179"/>
    <col min="15872" max="15872" width="7.7109375" style="179" customWidth="1"/>
    <col min="15873" max="15873" width="58.28515625" style="179" bestFit="1" customWidth="1"/>
    <col min="15874" max="15876" width="16.28515625" style="179" customWidth="1"/>
    <col min="15877" max="15877" width="6.85546875" style="179" customWidth="1"/>
    <col min="15878" max="16127" width="9.28515625" style="179"/>
    <col min="16128" max="16128" width="7.7109375" style="179" customWidth="1"/>
    <col min="16129" max="16129" width="58.28515625" style="179" bestFit="1" customWidth="1"/>
    <col min="16130" max="16132" width="16.28515625" style="179" customWidth="1"/>
    <col min="16133" max="16133" width="6.85546875" style="179" customWidth="1"/>
    <col min="16134" max="16384" width="9.28515625" style="179"/>
  </cols>
  <sheetData>
    <row r="1" spans="1:5" ht="35.1" customHeight="1">
      <c r="A1" s="1001" t="str">
        <f>+Títulos!$B$2&amp;"
ESTADO DE FLUJOS DE EFECTIVO
DEL 01 DE ENERO AL "&amp;Títulos!$B$3</f>
        <v>TRIBUNAL DE JUSTICIA ADMINISTRATIVA
ESTADO DE FLUJOS DE EFECTIVO
DEL 01 DE ENERO AL 31 DE DICIEMBRE DE 2017</v>
      </c>
      <c r="B1" s="1002"/>
      <c r="C1" s="1002"/>
      <c r="D1" s="1002"/>
      <c r="E1" s="1003"/>
    </row>
    <row r="2" spans="1:5" ht="15" customHeight="1">
      <c r="A2" s="141" t="s">
        <v>0</v>
      </c>
      <c r="B2" s="323" t="s">
        <v>1</v>
      </c>
      <c r="C2" s="872" t="s">
        <v>1531</v>
      </c>
      <c r="D2" s="872" t="s">
        <v>1532</v>
      </c>
      <c r="E2" s="141" t="s">
        <v>2</v>
      </c>
    </row>
    <row r="3" spans="1:5" ht="12.75" customHeight="1">
      <c r="A3" s="180"/>
      <c r="B3" s="371" t="s">
        <v>99</v>
      </c>
      <c r="C3" s="146"/>
      <c r="D3" s="146"/>
      <c r="E3" s="157" t="s">
        <v>100</v>
      </c>
    </row>
    <row r="4" spans="1:5">
      <c r="A4" s="181">
        <v>900001</v>
      </c>
      <c r="B4" s="372" t="s">
        <v>101</v>
      </c>
      <c r="C4" s="128">
        <f ca="1">SUM(C5:C15)</f>
        <v>86401234.179999992</v>
      </c>
      <c r="D4" s="128">
        <f ca="1">SUM(D5:D15)</f>
        <v>73275719.019999996</v>
      </c>
      <c r="E4" s="157"/>
    </row>
    <row r="5" spans="1:5">
      <c r="A5" s="182">
        <v>4110</v>
      </c>
      <c r="B5" s="191" t="s">
        <v>102</v>
      </c>
      <c r="C5" s="112">
        <f ca="1">+Impresos!AK6</f>
        <v>0</v>
      </c>
      <c r="D5" s="112">
        <f ca="1">+Impresos!AL6</f>
        <v>0</v>
      </c>
      <c r="E5" s="157"/>
    </row>
    <row r="6" spans="1:5">
      <c r="A6" s="183">
        <v>4120</v>
      </c>
      <c r="B6" s="166" t="s">
        <v>103</v>
      </c>
      <c r="C6" s="112">
        <f ca="1">+Impresos!AK7</f>
        <v>0</v>
      </c>
      <c r="D6" s="112">
        <f ca="1">+Impresos!AL7</f>
        <v>0</v>
      </c>
      <c r="E6" s="157"/>
    </row>
    <row r="7" spans="1:5">
      <c r="A7" s="182">
        <v>4130</v>
      </c>
      <c r="B7" s="191" t="s">
        <v>104</v>
      </c>
      <c r="C7" s="112">
        <f ca="1">+Impresos!AK8</f>
        <v>0</v>
      </c>
      <c r="D7" s="112">
        <f ca="1">+Impresos!AL8</f>
        <v>0</v>
      </c>
      <c r="E7" s="157"/>
    </row>
    <row r="8" spans="1:5">
      <c r="A8" s="182">
        <v>4140</v>
      </c>
      <c r="B8" s="191" t="s">
        <v>105</v>
      </c>
      <c r="C8" s="112">
        <f ca="1">+Impresos!AK9</f>
        <v>0</v>
      </c>
      <c r="D8" s="112">
        <f ca="1">+Impresos!AL9</f>
        <v>0</v>
      </c>
      <c r="E8" s="157"/>
    </row>
    <row r="9" spans="1:5">
      <c r="A9" s="182">
        <v>4150</v>
      </c>
      <c r="B9" s="191" t="s">
        <v>106</v>
      </c>
      <c r="C9" s="112">
        <f ca="1">+Impresos!AK10</f>
        <v>0</v>
      </c>
      <c r="D9" s="112">
        <f ca="1">+Impresos!AL10</f>
        <v>0</v>
      </c>
      <c r="E9" s="157"/>
    </row>
    <row r="10" spans="1:5">
      <c r="A10" s="182">
        <v>4160</v>
      </c>
      <c r="B10" s="191" t="s">
        <v>107</v>
      </c>
      <c r="C10" s="112">
        <f ca="1">+Impresos!AK11</f>
        <v>0</v>
      </c>
      <c r="D10" s="112">
        <f ca="1">+Impresos!AL11</f>
        <v>0</v>
      </c>
      <c r="E10" s="157"/>
    </row>
    <row r="11" spans="1:5">
      <c r="A11" s="182">
        <v>4170</v>
      </c>
      <c r="B11" s="191" t="s">
        <v>108</v>
      </c>
      <c r="C11" s="112">
        <f ca="1">+Impresos!AK12</f>
        <v>2925534.31</v>
      </c>
      <c r="D11" s="112">
        <f ca="1">+Impresos!AL12</f>
        <v>905941.16999999993</v>
      </c>
      <c r="E11" s="157"/>
    </row>
    <row r="12" spans="1:5">
      <c r="A12" s="182">
        <v>4190</v>
      </c>
      <c r="B12" s="191" t="s">
        <v>109</v>
      </c>
      <c r="C12" s="112">
        <f ca="1">+Impresos!AK13</f>
        <v>0</v>
      </c>
      <c r="D12" s="112">
        <f ca="1">+Impresos!AL13</f>
        <v>0</v>
      </c>
      <c r="E12" s="157"/>
    </row>
    <row r="13" spans="1:5">
      <c r="A13" s="182">
        <v>4210</v>
      </c>
      <c r="B13" s="191" t="s">
        <v>110</v>
      </c>
      <c r="C13" s="112">
        <f ca="1">+Impresos!AK14</f>
        <v>0</v>
      </c>
      <c r="D13" s="112">
        <f ca="1">+Impresos!AL14</f>
        <v>0</v>
      </c>
      <c r="E13" s="157"/>
    </row>
    <row r="14" spans="1:5">
      <c r="A14" s="182">
        <v>4220</v>
      </c>
      <c r="B14" s="191" t="s">
        <v>111</v>
      </c>
      <c r="C14" s="112">
        <f ca="1">+Impresos!AK15</f>
        <v>83475699.86999999</v>
      </c>
      <c r="D14" s="112">
        <f ca="1">+Impresos!AL15</f>
        <v>72369777.849999994</v>
      </c>
      <c r="E14" s="157"/>
    </row>
    <row r="15" spans="1:5">
      <c r="A15" s="181">
        <v>8001</v>
      </c>
      <c r="B15" s="166" t="s">
        <v>112</v>
      </c>
      <c r="C15" s="112">
        <f ca="1">+Impresos!AK16</f>
        <v>0</v>
      </c>
      <c r="D15" s="112">
        <f ca="1">+Impresos!AL16</f>
        <v>0</v>
      </c>
      <c r="E15" s="157"/>
    </row>
    <row r="16" spans="1:5">
      <c r="A16" s="181">
        <v>900002</v>
      </c>
      <c r="B16" s="372" t="s">
        <v>113</v>
      </c>
      <c r="C16" s="128">
        <f ca="1">SUM(C17:C32)</f>
        <v>83475699.86999999</v>
      </c>
      <c r="D16" s="128">
        <f ca="1">SUM(D17:D32)</f>
        <v>72369777.849999994</v>
      </c>
      <c r="E16" s="157"/>
    </row>
    <row r="17" spans="1:5">
      <c r="A17" s="182">
        <v>5110</v>
      </c>
      <c r="B17" s="191" t="s">
        <v>114</v>
      </c>
      <c r="C17" s="112">
        <f ca="1">+Impresos!AK18</f>
        <v>65924124.18999999</v>
      </c>
      <c r="D17" s="112">
        <f ca="1">+Impresos!AL18</f>
        <v>56592071.319999993</v>
      </c>
      <c r="E17" s="157"/>
    </row>
    <row r="18" spans="1:5">
      <c r="A18" s="182">
        <v>5120</v>
      </c>
      <c r="B18" s="191" t="s">
        <v>115</v>
      </c>
      <c r="C18" s="112">
        <f ca="1">+Impresos!AK19</f>
        <v>1899438.5700000003</v>
      </c>
      <c r="D18" s="112">
        <f ca="1">+Impresos!AL19</f>
        <v>1884536.9899999998</v>
      </c>
      <c r="E18" s="157"/>
    </row>
    <row r="19" spans="1:5">
      <c r="A19" s="182">
        <v>5130</v>
      </c>
      <c r="B19" s="191" t="s">
        <v>116</v>
      </c>
      <c r="C19" s="112">
        <f ca="1">+Impresos!AK20</f>
        <v>15652137.109999999</v>
      </c>
      <c r="D19" s="112">
        <f ca="1">+Impresos!AL20</f>
        <v>13893169.539999999</v>
      </c>
      <c r="E19" s="157"/>
    </row>
    <row r="20" spans="1:5">
      <c r="A20" s="182">
        <v>5210</v>
      </c>
      <c r="B20" s="191" t="s">
        <v>117</v>
      </c>
      <c r="C20" s="112">
        <f ca="1">+Impresos!AK21</f>
        <v>0</v>
      </c>
      <c r="D20" s="112">
        <f ca="1">+Impresos!AL21</f>
        <v>0</v>
      </c>
      <c r="E20" s="157"/>
    </row>
    <row r="21" spans="1:5">
      <c r="A21" s="182">
        <v>5220</v>
      </c>
      <c r="B21" s="191" t="s">
        <v>118</v>
      </c>
      <c r="C21" s="112">
        <f ca="1">+Impresos!AK22</f>
        <v>0</v>
      </c>
      <c r="D21" s="112">
        <f ca="1">+Impresos!AL22</f>
        <v>0</v>
      </c>
      <c r="E21" s="157"/>
    </row>
    <row r="22" spans="1:5">
      <c r="A22" s="182">
        <v>5230</v>
      </c>
      <c r="B22" s="191" t="s">
        <v>119</v>
      </c>
      <c r="C22" s="112">
        <f ca="1">+Impresos!AK23</f>
        <v>0</v>
      </c>
      <c r="D22" s="112">
        <f ca="1">+Impresos!AL23</f>
        <v>0</v>
      </c>
      <c r="E22" s="157"/>
    </row>
    <row r="23" spans="1:5">
      <c r="A23" s="182">
        <v>5240</v>
      </c>
      <c r="B23" s="191" t="s">
        <v>120</v>
      </c>
      <c r="C23" s="112">
        <f ca="1">+Impresos!AK24</f>
        <v>0</v>
      </c>
      <c r="D23" s="112">
        <f ca="1">+Impresos!AL24</f>
        <v>0</v>
      </c>
      <c r="E23" s="157"/>
    </row>
    <row r="24" spans="1:5">
      <c r="A24" s="182">
        <v>5250</v>
      </c>
      <c r="B24" s="191" t="s">
        <v>121</v>
      </c>
      <c r="C24" s="112">
        <f ca="1">+Impresos!AK25</f>
        <v>0</v>
      </c>
      <c r="D24" s="112">
        <f ca="1">+Impresos!AL25</f>
        <v>0</v>
      </c>
      <c r="E24" s="157"/>
    </row>
    <row r="25" spans="1:5">
      <c r="A25" s="182">
        <v>5260</v>
      </c>
      <c r="B25" s="191" t="s">
        <v>122</v>
      </c>
      <c r="C25" s="112">
        <f ca="1">+Impresos!AK26</f>
        <v>0</v>
      </c>
      <c r="D25" s="112">
        <f ca="1">+Impresos!AL26</f>
        <v>0</v>
      </c>
      <c r="E25" s="157"/>
    </row>
    <row r="26" spans="1:5">
      <c r="A26" s="182">
        <v>5270</v>
      </c>
      <c r="B26" s="191" t="s">
        <v>123</v>
      </c>
      <c r="C26" s="112">
        <f ca="1">+Impresos!AK27</f>
        <v>0</v>
      </c>
      <c r="D26" s="112">
        <f ca="1">+Impresos!AL27</f>
        <v>0</v>
      </c>
      <c r="E26" s="157"/>
    </row>
    <row r="27" spans="1:5">
      <c r="A27" s="182">
        <v>5280</v>
      </c>
      <c r="B27" s="191" t="s">
        <v>124</v>
      </c>
      <c r="C27" s="112">
        <f ca="1">+Impresos!AK28</f>
        <v>0</v>
      </c>
      <c r="D27" s="112">
        <f ca="1">+Impresos!AL28</f>
        <v>0</v>
      </c>
      <c r="E27" s="157"/>
    </row>
    <row r="28" spans="1:5">
      <c r="A28" s="182">
        <v>5290</v>
      </c>
      <c r="B28" s="191" t="s">
        <v>125</v>
      </c>
      <c r="C28" s="112">
        <f ca="1">+Impresos!AK29</f>
        <v>0</v>
      </c>
      <c r="D28" s="112">
        <f ca="1">+Impresos!AL29</f>
        <v>0</v>
      </c>
      <c r="E28" s="157"/>
    </row>
    <row r="29" spans="1:5">
      <c r="A29" s="182">
        <v>5310</v>
      </c>
      <c r="B29" s="191" t="s">
        <v>126</v>
      </c>
      <c r="C29" s="112">
        <f ca="1">+Impresos!AK30</f>
        <v>0</v>
      </c>
      <c r="D29" s="112">
        <f ca="1">+Impresos!AL30</f>
        <v>0</v>
      </c>
      <c r="E29" s="157"/>
    </row>
    <row r="30" spans="1:5">
      <c r="A30" s="182">
        <v>5320</v>
      </c>
      <c r="B30" s="191" t="s">
        <v>59</v>
      </c>
      <c r="C30" s="112">
        <f ca="1">+Impresos!AK31</f>
        <v>0</v>
      </c>
      <c r="D30" s="112">
        <f ca="1">+Impresos!AL31</f>
        <v>0</v>
      </c>
      <c r="E30" s="157"/>
    </row>
    <row r="31" spans="1:5">
      <c r="A31" s="182">
        <v>5330</v>
      </c>
      <c r="B31" s="191" t="s">
        <v>127</v>
      </c>
      <c r="C31" s="112">
        <f ca="1">+Impresos!AK32</f>
        <v>0</v>
      </c>
      <c r="D31" s="112">
        <f ca="1">+Impresos!AL32</f>
        <v>0</v>
      </c>
      <c r="E31" s="157"/>
    </row>
    <row r="32" spans="1:5">
      <c r="A32" s="181">
        <v>8002</v>
      </c>
      <c r="B32" s="166" t="s">
        <v>128</v>
      </c>
      <c r="C32" s="112">
        <f ca="1">+Impresos!AK33</f>
        <v>0</v>
      </c>
      <c r="D32" s="112">
        <f ca="1">+Impresos!AL33</f>
        <v>0</v>
      </c>
      <c r="E32" s="157"/>
    </row>
    <row r="33" spans="1:5">
      <c r="A33" s="181">
        <v>900003</v>
      </c>
      <c r="B33" s="168" t="s">
        <v>129</v>
      </c>
      <c r="C33" s="128">
        <f ca="1">+C4-C16</f>
        <v>2925534.3100000024</v>
      </c>
      <c r="D33" s="128">
        <f ca="1">+D4-D16</f>
        <v>905941.17000000179</v>
      </c>
      <c r="E33" s="157"/>
    </row>
    <row r="34" spans="1:5">
      <c r="A34" s="182"/>
      <c r="B34" s="373" t="s">
        <v>130</v>
      </c>
      <c r="C34" s="147"/>
      <c r="D34" s="147"/>
      <c r="E34" s="157"/>
    </row>
    <row r="35" spans="1:5">
      <c r="A35" s="181">
        <v>900004</v>
      </c>
      <c r="B35" s="168" t="s">
        <v>101</v>
      </c>
      <c r="C35" s="128">
        <f ca="1">SUM(C36:C38)</f>
        <v>853461.14000000432</v>
      </c>
      <c r="D35" s="128">
        <f ca="1">SUM(D36:D38)</f>
        <v>3453823.5599999987</v>
      </c>
      <c r="E35" s="157"/>
    </row>
    <row r="36" spans="1:5">
      <c r="A36" s="181">
        <v>8003</v>
      </c>
      <c r="B36" s="166" t="s">
        <v>18</v>
      </c>
      <c r="C36" s="112">
        <f>+Impresos!AK37</f>
        <v>0</v>
      </c>
      <c r="D36" s="112">
        <f>+Impresos!AL37</f>
        <v>0</v>
      </c>
      <c r="E36" s="157"/>
    </row>
    <row r="37" spans="1:5">
      <c r="A37" s="181">
        <v>8004</v>
      </c>
      <c r="B37" s="166" t="s">
        <v>20</v>
      </c>
      <c r="C37" s="112">
        <f>+Impresos!AK38</f>
        <v>0</v>
      </c>
      <c r="D37" s="112">
        <f>+Impresos!AL38</f>
        <v>0</v>
      </c>
      <c r="E37" s="157"/>
    </row>
    <row r="38" spans="1:5">
      <c r="A38" s="181">
        <v>8005</v>
      </c>
      <c r="B38" s="166" t="s">
        <v>131</v>
      </c>
      <c r="C38" s="112">
        <f ca="1">+Impresos!AK39</f>
        <v>853461.14000000432</v>
      </c>
      <c r="D38" s="112">
        <f ca="1">+Impresos!AL39</f>
        <v>3453823.5599999987</v>
      </c>
      <c r="E38" s="157"/>
    </row>
    <row r="39" spans="1:5">
      <c r="A39" s="181">
        <v>900005</v>
      </c>
      <c r="B39" s="168" t="s">
        <v>113</v>
      </c>
      <c r="C39" s="128">
        <f ca="1">SUM(C40:C42)</f>
        <v>2153605.2299999986</v>
      </c>
      <c r="D39" s="128">
        <f ca="1">SUM(D40:D42)</f>
        <v>2553051.8100000024</v>
      </c>
      <c r="E39" s="157"/>
    </row>
    <row r="40" spans="1:5">
      <c r="A40" s="158">
        <v>1230</v>
      </c>
      <c r="B40" s="166" t="s">
        <v>18</v>
      </c>
      <c r="C40" s="112">
        <f ca="1">+Impresos!AK41</f>
        <v>0</v>
      </c>
      <c r="D40" s="112">
        <f ca="1">+Impresos!AL41</f>
        <v>0</v>
      </c>
      <c r="E40" s="157" t="s">
        <v>132</v>
      </c>
    </row>
    <row r="41" spans="1:5">
      <c r="A41" s="158" t="s">
        <v>133</v>
      </c>
      <c r="B41" s="166" t="s">
        <v>20</v>
      </c>
      <c r="C41" s="112">
        <f ca="1">+Impresos!AK42</f>
        <v>2153605.2299999986</v>
      </c>
      <c r="D41" s="112">
        <f ca="1">+Impresos!AL42</f>
        <v>2553051.8100000024</v>
      </c>
      <c r="E41" s="157" t="s">
        <v>132</v>
      </c>
    </row>
    <row r="42" spans="1:5">
      <c r="A42" s="181">
        <v>8006</v>
      </c>
      <c r="B42" s="166" t="s">
        <v>134</v>
      </c>
      <c r="C42" s="112">
        <f>+Impresos!AK43</f>
        <v>0</v>
      </c>
      <c r="D42" s="112">
        <f>+Impresos!AL43</f>
        <v>0</v>
      </c>
      <c r="E42" s="157"/>
    </row>
    <row r="43" spans="1:5">
      <c r="A43" s="181">
        <v>900006</v>
      </c>
      <c r="B43" s="168" t="s">
        <v>135</v>
      </c>
      <c r="C43" s="128">
        <f ca="1">+C35-C39</f>
        <v>-1300144.0899999943</v>
      </c>
      <c r="D43" s="128">
        <f ca="1">+D35-D39</f>
        <v>900771.74999999627</v>
      </c>
      <c r="E43" s="157"/>
    </row>
    <row r="44" spans="1:5">
      <c r="A44" s="182"/>
      <c r="B44" s="373" t="s">
        <v>136</v>
      </c>
      <c r="C44" s="147"/>
      <c r="D44" s="147"/>
      <c r="E44" s="157"/>
    </row>
    <row r="45" spans="1:5">
      <c r="A45" s="181">
        <v>900007</v>
      </c>
      <c r="B45" s="168" t="s">
        <v>101</v>
      </c>
      <c r="C45" s="128">
        <f ca="1">+C46+C49</f>
        <v>2743514.7599999947</v>
      </c>
      <c r="D45" s="128">
        <f ca="1">+D46+D49</f>
        <v>537339.72999999207</v>
      </c>
      <c r="E45" s="157"/>
    </row>
    <row r="46" spans="1:5">
      <c r="A46" s="181">
        <v>8007</v>
      </c>
      <c r="B46" s="166" t="s">
        <v>137</v>
      </c>
      <c r="C46" s="112">
        <f>+Impresos!AK47</f>
        <v>0</v>
      </c>
      <c r="D46" s="112">
        <f>+Impresos!AL47</f>
        <v>0</v>
      </c>
      <c r="E46" s="157"/>
    </row>
    <row r="47" spans="1:5">
      <c r="A47" s="158">
        <v>2233</v>
      </c>
      <c r="B47" s="166" t="s">
        <v>138</v>
      </c>
      <c r="C47" s="112">
        <f>+Impresos!AK48</f>
        <v>0</v>
      </c>
      <c r="D47" s="112">
        <f>+Impresos!AL48</f>
        <v>0</v>
      </c>
      <c r="E47" s="157"/>
    </row>
    <row r="48" spans="1:5">
      <c r="A48" s="184">
        <v>2234</v>
      </c>
      <c r="B48" s="166" t="s">
        <v>139</v>
      </c>
      <c r="C48" s="112">
        <f>+Impresos!AK49</f>
        <v>0</v>
      </c>
      <c r="D48" s="112">
        <f>+Impresos!AL49</f>
        <v>0</v>
      </c>
      <c r="E48" s="157"/>
    </row>
    <row r="49" spans="1:5">
      <c r="A49" s="185">
        <v>4800</v>
      </c>
      <c r="B49" s="166" t="s">
        <v>140</v>
      </c>
      <c r="C49" s="112">
        <f ca="1">+Impresos!AK50</f>
        <v>2743514.7599999947</v>
      </c>
      <c r="D49" s="112">
        <f ca="1">+Impresos!AL50</f>
        <v>537339.72999999207</v>
      </c>
      <c r="E49" s="157"/>
    </row>
    <row r="50" spans="1:5">
      <c r="A50" s="185">
        <v>900008</v>
      </c>
      <c r="B50" s="168" t="s">
        <v>113</v>
      </c>
      <c r="C50" s="128">
        <f ca="1">+C51+C54</f>
        <v>221.98999999999796</v>
      </c>
      <c r="D50" s="128">
        <f ca="1">+D51+D54</f>
        <v>1838570.8699999894</v>
      </c>
      <c r="E50" s="157"/>
    </row>
    <row r="51" spans="1:5">
      <c r="A51" s="181">
        <v>8008</v>
      </c>
      <c r="B51" s="166" t="s">
        <v>141</v>
      </c>
      <c r="C51" s="112">
        <f>+Impresos!AK52</f>
        <v>0</v>
      </c>
      <c r="D51" s="112">
        <f>+Impresos!AL52</f>
        <v>0</v>
      </c>
      <c r="E51" s="157"/>
    </row>
    <row r="52" spans="1:5">
      <c r="A52" s="158">
        <v>2131</v>
      </c>
      <c r="B52" s="166" t="s">
        <v>138</v>
      </c>
      <c r="C52" s="112">
        <f>+Impresos!AK53</f>
        <v>0</v>
      </c>
      <c r="D52" s="112">
        <f>+Impresos!AL53</f>
        <v>0</v>
      </c>
      <c r="E52" s="157"/>
    </row>
    <row r="53" spans="1:5">
      <c r="A53" s="184">
        <v>2132</v>
      </c>
      <c r="B53" s="166" t="s">
        <v>139</v>
      </c>
      <c r="C53" s="112">
        <f>+Impresos!AK54</f>
        <v>0</v>
      </c>
      <c r="D53" s="112">
        <f>+Impresos!AL54</f>
        <v>0</v>
      </c>
      <c r="E53" s="157"/>
    </row>
    <row r="54" spans="1:5">
      <c r="A54" s="181">
        <v>8009</v>
      </c>
      <c r="B54" s="166" t="s">
        <v>142</v>
      </c>
      <c r="C54" s="112">
        <f ca="1">+Impresos!AK55</f>
        <v>221.98999999999796</v>
      </c>
      <c r="D54" s="112">
        <f ca="1">+Impresos!AL55</f>
        <v>1838570.8699999894</v>
      </c>
      <c r="E54" s="157"/>
    </row>
    <row r="55" spans="1:5">
      <c r="A55" s="181">
        <v>900009</v>
      </c>
      <c r="B55" s="372" t="s">
        <v>143</v>
      </c>
      <c r="C55" s="132">
        <f ca="1">+C45-C50</f>
        <v>2743292.7699999944</v>
      </c>
      <c r="D55" s="132">
        <f ca="1">+D45-D50</f>
        <v>-1301231.1399999973</v>
      </c>
      <c r="E55" s="157"/>
    </row>
    <row r="56" spans="1:5">
      <c r="A56" s="181">
        <v>9000010</v>
      </c>
      <c r="B56" s="372" t="s">
        <v>144</v>
      </c>
      <c r="C56" s="111">
        <f ca="1">+C33+C43+C55</f>
        <v>4368682.9900000021</v>
      </c>
      <c r="D56" s="111">
        <f ca="1">+D33+D43+D55</f>
        <v>505481.78000000073</v>
      </c>
      <c r="E56" s="157"/>
    </row>
    <row r="57" spans="1:5">
      <c r="A57" s="181">
        <v>9000011</v>
      </c>
      <c r="B57" s="372" t="s">
        <v>145</v>
      </c>
      <c r="C57" s="112">
        <f ca="1">+Impresos!AK58</f>
        <v>11324165.710000001</v>
      </c>
      <c r="D57" s="112">
        <f ca="1">+Impresos!AL58</f>
        <v>10818683.93</v>
      </c>
      <c r="E57" s="157" t="s">
        <v>146</v>
      </c>
    </row>
    <row r="58" spans="1:5">
      <c r="A58" s="186">
        <v>9000012</v>
      </c>
      <c r="B58" s="374" t="s">
        <v>147</v>
      </c>
      <c r="C58" s="113">
        <f ca="1">+Impresos!AK59</f>
        <v>15692848.699999999</v>
      </c>
      <c r="D58" s="113">
        <f ca="1">+Impresos!AL59</f>
        <v>11324165.710000001</v>
      </c>
      <c r="E58" s="163" t="s">
        <v>146</v>
      </c>
    </row>
  </sheetData>
  <sheetProtection autoFilter="0"/>
  <mergeCells count="1">
    <mergeCell ref="A1:E1"/>
  </mergeCells>
  <dataValidations count="6">
    <dataValidation allowBlank="1" showInputMessage="1" showErrorMessage="1" prompt="Muestra el saldo de las cuentas acumulado al 31 de diciembre del ejercicio 2015." sqref="D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D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D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D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D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D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D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D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D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D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D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D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D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D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D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D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Muestra el saldo de las cuentas acumulado al 31 de diciembre del ejercicio 2014." sqref="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 allowBlank="1" showInputMessage="1" showErrorMessage="1" prompt="Muestra el saldo de las cuentas acumulado al periodo que se presenta." sqref="C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C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C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C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C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C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C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C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C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C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C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C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C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C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C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C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 allowBlank="1" showInputMessage="1" showErrorMessage="1" prompt="Corresponde al número de cuenta al 4° nivel del Plan de Cuentas emitido por el CONAC (DOF 23/12/2015)." sqref="A2 IV2 SR2 ACN2 AMJ2 AWF2 BGB2 BPX2 BZT2 CJP2 CTL2 DDH2 DND2 DWZ2 EGV2 EQR2 FAN2 FKJ2 FUF2 GEB2 GNX2 GXT2 HHP2 HRL2 IBH2 ILD2 IUZ2 JEV2 JOR2 JYN2 KIJ2 KSF2 LCB2 LLX2 LVT2 MFP2 MPL2 MZH2 NJD2 NSZ2 OCV2 OMR2 OWN2 PGJ2 PQF2 QAB2 QJX2 QTT2 RDP2 RNL2 RXH2 SHD2 SQZ2 TAV2 TKR2 TUN2 UEJ2 UOF2 UYB2 VHX2 VRT2 WBP2 WLL2 WVH2 A65538 IV65538 SR65538 ACN65538 AMJ65538 AWF65538 BGB65538 BPX65538 BZT65538 CJP65538 CTL65538 DDH65538 DND65538 DWZ65538 EGV65538 EQR65538 FAN65538 FKJ65538 FUF65538 GEB65538 GNX65538 GXT65538 HHP65538 HRL65538 IBH65538 ILD65538 IUZ65538 JEV65538 JOR65538 JYN65538 KIJ65538 KSF65538 LCB65538 LLX65538 LVT65538 MFP65538 MPL65538 MZH65538 NJD65538 NSZ65538 OCV65538 OMR65538 OWN65538 PGJ65538 PQF65538 QAB65538 QJX65538 QTT65538 RDP65538 RNL65538 RXH65538 SHD65538 SQZ65538 TAV65538 TKR65538 TUN65538 UEJ65538 UOF65538 UYB65538 VHX65538 VRT65538 WBP65538 WLL65538 WVH65538 A131074 IV131074 SR131074 ACN131074 AMJ131074 AWF131074 BGB131074 BPX131074 BZT131074 CJP131074 CTL131074 DDH131074 DND131074 DWZ131074 EGV131074 EQR131074 FAN131074 FKJ131074 FUF131074 GEB131074 GNX131074 GXT131074 HHP131074 HRL131074 IBH131074 ILD131074 IUZ131074 JEV131074 JOR131074 JYN131074 KIJ131074 KSF131074 LCB131074 LLX131074 LVT131074 MFP131074 MPL131074 MZH131074 NJD131074 NSZ131074 OCV131074 OMR131074 OWN131074 PGJ131074 PQF131074 QAB131074 QJX131074 QTT131074 RDP131074 RNL131074 RXH131074 SHD131074 SQZ131074 TAV131074 TKR131074 TUN131074 UEJ131074 UOF131074 UYB131074 VHX131074 VRT131074 WBP131074 WLL131074 WVH131074 A196610 IV196610 SR196610 ACN196610 AMJ196610 AWF196610 BGB196610 BPX196610 BZT196610 CJP196610 CTL196610 DDH196610 DND196610 DWZ196610 EGV196610 EQR196610 FAN196610 FKJ196610 FUF196610 GEB196610 GNX196610 GXT196610 HHP196610 HRL196610 IBH196610 ILD196610 IUZ196610 JEV196610 JOR196610 JYN196610 KIJ196610 KSF196610 LCB196610 LLX196610 LVT196610 MFP196610 MPL196610 MZH196610 NJD196610 NSZ196610 OCV196610 OMR196610 OWN196610 PGJ196610 PQF196610 QAB196610 QJX196610 QTT196610 RDP196610 RNL196610 RXH196610 SHD196610 SQZ196610 TAV196610 TKR196610 TUN196610 UEJ196610 UOF196610 UYB196610 VHX196610 VRT196610 WBP196610 WLL196610 WVH196610 A262146 IV262146 SR262146 ACN262146 AMJ262146 AWF262146 BGB262146 BPX262146 BZT262146 CJP262146 CTL262146 DDH262146 DND262146 DWZ262146 EGV262146 EQR262146 FAN262146 FKJ262146 FUF262146 GEB262146 GNX262146 GXT262146 HHP262146 HRL262146 IBH262146 ILD262146 IUZ262146 JEV262146 JOR262146 JYN262146 KIJ262146 KSF262146 LCB262146 LLX262146 LVT262146 MFP262146 MPL262146 MZH262146 NJD262146 NSZ262146 OCV262146 OMR262146 OWN262146 PGJ262146 PQF262146 QAB262146 QJX262146 QTT262146 RDP262146 RNL262146 RXH262146 SHD262146 SQZ262146 TAV262146 TKR262146 TUN262146 UEJ262146 UOF262146 UYB262146 VHX262146 VRT262146 WBP262146 WLL262146 WVH262146 A327682 IV327682 SR327682 ACN327682 AMJ327682 AWF327682 BGB327682 BPX327682 BZT327682 CJP327682 CTL327682 DDH327682 DND327682 DWZ327682 EGV327682 EQR327682 FAN327682 FKJ327682 FUF327682 GEB327682 GNX327682 GXT327682 HHP327682 HRL327682 IBH327682 ILD327682 IUZ327682 JEV327682 JOR327682 JYN327682 KIJ327682 KSF327682 LCB327682 LLX327682 LVT327682 MFP327682 MPL327682 MZH327682 NJD327682 NSZ327682 OCV327682 OMR327682 OWN327682 PGJ327682 PQF327682 QAB327682 QJX327682 QTT327682 RDP327682 RNL327682 RXH327682 SHD327682 SQZ327682 TAV327682 TKR327682 TUN327682 UEJ327682 UOF327682 UYB327682 VHX327682 VRT327682 WBP327682 WLL327682 WVH327682 A393218 IV393218 SR393218 ACN393218 AMJ393218 AWF393218 BGB393218 BPX393218 BZT393218 CJP393218 CTL393218 DDH393218 DND393218 DWZ393218 EGV393218 EQR393218 FAN393218 FKJ393218 FUF393218 GEB393218 GNX393218 GXT393218 HHP393218 HRL393218 IBH393218 ILD393218 IUZ393218 JEV393218 JOR393218 JYN393218 KIJ393218 KSF393218 LCB393218 LLX393218 LVT393218 MFP393218 MPL393218 MZH393218 NJD393218 NSZ393218 OCV393218 OMR393218 OWN393218 PGJ393218 PQF393218 QAB393218 QJX393218 QTT393218 RDP393218 RNL393218 RXH393218 SHD393218 SQZ393218 TAV393218 TKR393218 TUN393218 UEJ393218 UOF393218 UYB393218 VHX393218 VRT393218 WBP393218 WLL393218 WVH393218 A458754 IV458754 SR458754 ACN458754 AMJ458754 AWF458754 BGB458754 BPX458754 BZT458754 CJP458754 CTL458754 DDH458754 DND458754 DWZ458754 EGV458754 EQR458754 FAN458754 FKJ458754 FUF458754 GEB458754 GNX458754 GXT458754 HHP458754 HRL458754 IBH458754 ILD458754 IUZ458754 JEV458754 JOR458754 JYN458754 KIJ458754 KSF458754 LCB458754 LLX458754 LVT458754 MFP458754 MPL458754 MZH458754 NJD458754 NSZ458754 OCV458754 OMR458754 OWN458754 PGJ458754 PQF458754 QAB458754 QJX458754 QTT458754 RDP458754 RNL458754 RXH458754 SHD458754 SQZ458754 TAV458754 TKR458754 TUN458754 UEJ458754 UOF458754 UYB458754 VHX458754 VRT458754 WBP458754 WLL458754 WVH458754 A524290 IV524290 SR524290 ACN524290 AMJ524290 AWF524290 BGB524290 BPX524290 BZT524290 CJP524290 CTL524290 DDH524290 DND524290 DWZ524290 EGV524290 EQR524290 FAN524290 FKJ524290 FUF524290 GEB524290 GNX524290 GXT524290 HHP524290 HRL524290 IBH524290 ILD524290 IUZ524290 JEV524290 JOR524290 JYN524290 KIJ524290 KSF524290 LCB524290 LLX524290 LVT524290 MFP524290 MPL524290 MZH524290 NJD524290 NSZ524290 OCV524290 OMR524290 OWN524290 PGJ524290 PQF524290 QAB524290 QJX524290 QTT524290 RDP524290 RNL524290 RXH524290 SHD524290 SQZ524290 TAV524290 TKR524290 TUN524290 UEJ524290 UOF524290 UYB524290 VHX524290 VRT524290 WBP524290 WLL524290 WVH524290 A589826 IV589826 SR589826 ACN589826 AMJ589826 AWF589826 BGB589826 BPX589826 BZT589826 CJP589826 CTL589826 DDH589826 DND589826 DWZ589826 EGV589826 EQR589826 FAN589826 FKJ589826 FUF589826 GEB589826 GNX589826 GXT589826 HHP589826 HRL589826 IBH589826 ILD589826 IUZ589826 JEV589826 JOR589826 JYN589826 KIJ589826 KSF589826 LCB589826 LLX589826 LVT589826 MFP589826 MPL589826 MZH589826 NJD589826 NSZ589826 OCV589826 OMR589826 OWN589826 PGJ589826 PQF589826 QAB589826 QJX589826 QTT589826 RDP589826 RNL589826 RXH589826 SHD589826 SQZ589826 TAV589826 TKR589826 TUN589826 UEJ589826 UOF589826 UYB589826 VHX589826 VRT589826 WBP589826 WLL589826 WVH589826 A655362 IV655362 SR655362 ACN655362 AMJ655362 AWF655362 BGB655362 BPX655362 BZT655362 CJP655362 CTL655362 DDH655362 DND655362 DWZ655362 EGV655362 EQR655362 FAN655362 FKJ655362 FUF655362 GEB655362 GNX655362 GXT655362 HHP655362 HRL655362 IBH655362 ILD655362 IUZ655362 JEV655362 JOR655362 JYN655362 KIJ655362 KSF655362 LCB655362 LLX655362 LVT655362 MFP655362 MPL655362 MZH655362 NJD655362 NSZ655362 OCV655362 OMR655362 OWN655362 PGJ655362 PQF655362 QAB655362 QJX655362 QTT655362 RDP655362 RNL655362 RXH655362 SHD655362 SQZ655362 TAV655362 TKR655362 TUN655362 UEJ655362 UOF655362 UYB655362 VHX655362 VRT655362 WBP655362 WLL655362 WVH655362 A720898 IV720898 SR720898 ACN720898 AMJ720898 AWF720898 BGB720898 BPX720898 BZT720898 CJP720898 CTL720898 DDH720898 DND720898 DWZ720898 EGV720898 EQR720898 FAN720898 FKJ720898 FUF720898 GEB720898 GNX720898 GXT720898 HHP720898 HRL720898 IBH720898 ILD720898 IUZ720898 JEV720898 JOR720898 JYN720898 KIJ720898 KSF720898 LCB720898 LLX720898 LVT720898 MFP720898 MPL720898 MZH720898 NJD720898 NSZ720898 OCV720898 OMR720898 OWN720898 PGJ720898 PQF720898 QAB720898 QJX720898 QTT720898 RDP720898 RNL720898 RXH720898 SHD720898 SQZ720898 TAV720898 TKR720898 TUN720898 UEJ720898 UOF720898 UYB720898 VHX720898 VRT720898 WBP720898 WLL720898 WVH720898 A786434 IV786434 SR786434 ACN786434 AMJ786434 AWF786434 BGB786434 BPX786434 BZT786434 CJP786434 CTL786434 DDH786434 DND786434 DWZ786434 EGV786434 EQR786434 FAN786434 FKJ786434 FUF786434 GEB786434 GNX786434 GXT786434 HHP786434 HRL786434 IBH786434 ILD786434 IUZ786434 JEV786434 JOR786434 JYN786434 KIJ786434 KSF786434 LCB786434 LLX786434 LVT786434 MFP786434 MPL786434 MZH786434 NJD786434 NSZ786434 OCV786434 OMR786434 OWN786434 PGJ786434 PQF786434 QAB786434 QJX786434 QTT786434 RDP786434 RNL786434 RXH786434 SHD786434 SQZ786434 TAV786434 TKR786434 TUN786434 UEJ786434 UOF786434 UYB786434 VHX786434 VRT786434 WBP786434 WLL786434 WVH786434 A851970 IV851970 SR851970 ACN851970 AMJ851970 AWF851970 BGB851970 BPX851970 BZT851970 CJP851970 CTL851970 DDH851970 DND851970 DWZ851970 EGV851970 EQR851970 FAN851970 FKJ851970 FUF851970 GEB851970 GNX851970 GXT851970 HHP851970 HRL851970 IBH851970 ILD851970 IUZ851970 JEV851970 JOR851970 JYN851970 KIJ851970 KSF851970 LCB851970 LLX851970 LVT851970 MFP851970 MPL851970 MZH851970 NJD851970 NSZ851970 OCV851970 OMR851970 OWN851970 PGJ851970 PQF851970 QAB851970 QJX851970 QTT851970 RDP851970 RNL851970 RXH851970 SHD851970 SQZ851970 TAV851970 TKR851970 TUN851970 UEJ851970 UOF851970 UYB851970 VHX851970 VRT851970 WBP851970 WLL851970 WVH851970 A917506 IV917506 SR917506 ACN917506 AMJ917506 AWF917506 BGB917506 BPX917506 BZT917506 CJP917506 CTL917506 DDH917506 DND917506 DWZ917506 EGV917506 EQR917506 FAN917506 FKJ917506 FUF917506 GEB917506 GNX917506 GXT917506 HHP917506 HRL917506 IBH917506 ILD917506 IUZ917506 JEV917506 JOR917506 JYN917506 KIJ917506 KSF917506 LCB917506 LLX917506 LVT917506 MFP917506 MPL917506 MZH917506 NJD917506 NSZ917506 OCV917506 OMR917506 OWN917506 PGJ917506 PQF917506 QAB917506 QJX917506 QTT917506 RDP917506 RNL917506 RXH917506 SHD917506 SQZ917506 TAV917506 TKR917506 TUN917506 UEJ917506 UOF917506 UYB917506 VHX917506 VRT917506 WBP917506 WLL917506 WVH917506 A983042 IV983042 SR983042 ACN983042 AMJ983042 AWF983042 BGB983042 BPX983042 BZT983042 CJP983042 CTL983042 DDH983042 DND983042 DWZ983042 EGV983042 EQR983042 FAN983042 FKJ983042 FUF983042 GEB983042 GNX983042 GXT983042 HHP983042 HRL983042 IBH983042 ILD983042 IUZ983042 JEV983042 JOR983042 JYN983042 KIJ983042 KSF983042 LCB983042 LLX983042 LVT983042 MFP983042 MPL983042 MZH983042 NJD983042 NSZ983042 OCV983042 OMR983042 OWN983042 PGJ983042 PQF983042 QAB983042 QJX983042 QTT983042 RDP983042 RNL983042 RXH983042 SHD983042 SQZ983042 TAV983042 TKR983042 TUN983042 UEJ983042 UOF983042 UYB983042 VHX983042 VRT983042 WBP983042 WLL983042 WVH983042"/>
    <dataValidation allowBlank="1" showInputMessage="1" showErrorMessage="1" prompt="Dato alfanumérico con el que se vincula este estado financiero con el documento denominado &quot;Notas a los Estados Financieros&quot;."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prompt="Corresponde al nombre o descripción de la cuenta de acuerdo al Plan de Cuentas emitido por el CONAC." sqref="B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B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B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B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B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B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B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B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B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B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B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B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B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B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B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B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s>
  <pageMargins left="0.70866141732283472" right="0.70866141732283472" top="0.55118110236220474" bottom="0.74803149606299213" header="0.31496062992125984" footer="0.31496062992125984"/>
  <pageSetup scale="66" orientation="portrait" r:id="rId1"/>
  <ignoredErrors>
    <ignoredError sqref="C4:D33 C35:D43 C45:D58"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
  <sheetViews>
    <sheetView showGridLines="0" topLeftCell="C1" workbookViewId="0">
      <pane ySplit="2" topLeftCell="A64" activePane="bottomLeft" state="frozen"/>
      <selection pane="bottomLeft" activeCell="L78" sqref="L78"/>
    </sheetView>
  </sheetViews>
  <sheetFormatPr baseColWidth="10" defaultRowHeight="11.25"/>
  <cols>
    <col min="1" max="1" width="7.7109375" style="187" customWidth="1"/>
    <col min="2" max="2" width="62.85546875" style="187" bestFit="1" customWidth="1"/>
    <col min="3" max="7" width="13.85546875" style="187" customWidth="1"/>
    <col min="8" max="256" width="11.5703125" style="187"/>
    <col min="257" max="257" width="7.7109375" style="187" customWidth="1"/>
    <col min="258" max="258" width="62.85546875" style="187" bestFit="1" customWidth="1"/>
    <col min="259" max="263" width="13.85546875" style="187" customWidth="1"/>
    <col min="264" max="512" width="11.5703125" style="187"/>
    <col min="513" max="513" width="7.7109375" style="187" customWidth="1"/>
    <col min="514" max="514" width="62.85546875" style="187" bestFit="1" customWidth="1"/>
    <col min="515" max="519" width="13.85546875" style="187" customWidth="1"/>
    <col min="520" max="768" width="11.5703125" style="187"/>
    <col min="769" max="769" width="7.7109375" style="187" customWidth="1"/>
    <col min="770" max="770" width="62.85546875" style="187" bestFit="1" customWidth="1"/>
    <col min="771" max="775" width="13.85546875" style="187" customWidth="1"/>
    <col min="776" max="1024" width="11.5703125" style="187"/>
    <col min="1025" max="1025" width="7.7109375" style="187" customWidth="1"/>
    <col min="1026" max="1026" width="62.85546875" style="187" bestFit="1" customWidth="1"/>
    <col min="1027" max="1031" width="13.85546875" style="187" customWidth="1"/>
    <col min="1032" max="1280" width="11.5703125" style="187"/>
    <col min="1281" max="1281" width="7.7109375" style="187" customWidth="1"/>
    <col min="1282" max="1282" width="62.85546875" style="187" bestFit="1" customWidth="1"/>
    <col min="1283" max="1287" width="13.85546875" style="187" customWidth="1"/>
    <col min="1288" max="1536" width="11.5703125" style="187"/>
    <col min="1537" max="1537" width="7.7109375" style="187" customWidth="1"/>
    <col min="1538" max="1538" width="62.85546875" style="187" bestFit="1" customWidth="1"/>
    <col min="1539" max="1543" width="13.85546875" style="187" customWidth="1"/>
    <col min="1544" max="1792" width="11.5703125" style="187"/>
    <col min="1793" max="1793" width="7.7109375" style="187" customWidth="1"/>
    <col min="1794" max="1794" width="62.85546875" style="187" bestFit="1" customWidth="1"/>
    <col min="1795" max="1799" width="13.85546875" style="187" customWidth="1"/>
    <col min="1800" max="2048" width="11.5703125" style="187"/>
    <col min="2049" max="2049" width="7.7109375" style="187" customWidth="1"/>
    <col min="2050" max="2050" width="62.85546875" style="187" bestFit="1" customWidth="1"/>
    <col min="2051" max="2055" width="13.85546875" style="187" customWidth="1"/>
    <col min="2056" max="2304" width="11.5703125" style="187"/>
    <col min="2305" max="2305" width="7.7109375" style="187" customWidth="1"/>
    <col min="2306" max="2306" width="62.85546875" style="187" bestFit="1" customWidth="1"/>
    <col min="2307" max="2311" width="13.85546875" style="187" customWidth="1"/>
    <col min="2312" max="2560" width="11.5703125" style="187"/>
    <col min="2561" max="2561" width="7.7109375" style="187" customWidth="1"/>
    <col min="2562" max="2562" width="62.85546875" style="187" bestFit="1" customWidth="1"/>
    <col min="2563" max="2567" width="13.85546875" style="187" customWidth="1"/>
    <col min="2568" max="2816" width="11.5703125" style="187"/>
    <col min="2817" max="2817" width="7.7109375" style="187" customWidth="1"/>
    <col min="2818" max="2818" width="62.85546875" style="187" bestFit="1" customWidth="1"/>
    <col min="2819" max="2823" width="13.85546875" style="187" customWidth="1"/>
    <col min="2824" max="3072" width="11.5703125" style="187"/>
    <col min="3073" max="3073" width="7.7109375" style="187" customWidth="1"/>
    <col min="3074" max="3074" width="62.85546875" style="187" bestFit="1" customWidth="1"/>
    <col min="3075" max="3079" width="13.85546875" style="187" customWidth="1"/>
    <col min="3080" max="3328" width="11.5703125" style="187"/>
    <col min="3329" max="3329" width="7.7109375" style="187" customWidth="1"/>
    <col min="3330" max="3330" width="62.85546875" style="187" bestFit="1" customWidth="1"/>
    <col min="3331" max="3335" width="13.85546875" style="187" customWidth="1"/>
    <col min="3336" max="3584" width="11.5703125" style="187"/>
    <col min="3585" max="3585" width="7.7109375" style="187" customWidth="1"/>
    <col min="3586" max="3586" width="62.85546875" style="187" bestFit="1" customWidth="1"/>
    <col min="3587" max="3591" width="13.85546875" style="187" customWidth="1"/>
    <col min="3592" max="3840" width="11.5703125" style="187"/>
    <col min="3841" max="3841" width="7.7109375" style="187" customWidth="1"/>
    <col min="3842" max="3842" width="62.85546875" style="187" bestFit="1" customWidth="1"/>
    <col min="3843" max="3847" width="13.85546875" style="187" customWidth="1"/>
    <col min="3848" max="4096" width="11.5703125" style="187"/>
    <col min="4097" max="4097" width="7.7109375" style="187" customWidth="1"/>
    <col min="4098" max="4098" width="62.85546875" style="187" bestFit="1" customWidth="1"/>
    <col min="4099" max="4103" width="13.85546875" style="187" customWidth="1"/>
    <col min="4104" max="4352" width="11.5703125" style="187"/>
    <col min="4353" max="4353" width="7.7109375" style="187" customWidth="1"/>
    <col min="4354" max="4354" width="62.85546875" style="187" bestFit="1" customWidth="1"/>
    <col min="4355" max="4359" width="13.85546875" style="187" customWidth="1"/>
    <col min="4360" max="4608" width="11.5703125" style="187"/>
    <col min="4609" max="4609" width="7.7109375" style="187" customWidth="1"/>
    <col min="4610" max="4610" width="62.85546875" style="187" bestFit="1" customWidth="1"/>
    <col min="4611" max="4615" width="13.85546875" style="187" customWidth="1"/>
    <col min="4616" max="4864" width="11.5703125" style="187"/>
    <col min="4865" max="4865" width="7.7109375" style="187" customWidth="1"/>
    <col min="4866" max="4866" width="62.85546875" style="187" bestFit="1" customWidth="1"/>
    <col min="4867" max="4871" width="13.85546875" style="187" customWidth="1"/>
    <col min="4872" max="5120" width="11.5703125" style="187"/>
    <col min="5121" max="5121" width="7.7109375" style="187" customWidth="1"/>
    <col min="5122" max="5122" width="62.85546875" style="187" bestFit="1" customWidth="1"/>
    <col min="5123" max="5127" width="13.85546875" style="187" customWidth="1"/>
    <col min="5128" max="5376" width="11.5703125" style="187"/>
    <col min="5377" max="5377" width="7.7109375" style="187" customWidth="1"/>
    <col min="5378" max="5378" width="62.85546875" style="187" bestFit="1" customWidth="1"/>
    <col min="5379" max="5383" width="13.85546875" style="187" customWidth="1"/>
    <col min="5384" max="5632" width="11.5703125" style="187"/>
    <col min="5633" max="5633" width="7.7109375" style="187" customWidth="1"/>
    <col min="5634" max="5634" width="62.85546875" style="187" bestFit="1" customWidth="1"/>
    <col min="5635" max="5639" width="13.85546875" style="187" customWidth="1"/>
    <col min="5640" max="5888" width="11.5703125" style="187"/>
    <col min="5889" max="5889" width="7.7109375" style="187" customWidth="1"/>
    <col min="5890" max="5890" width="62.85546875" style="187" bestFit="1" customWidth="1"/>
    <col min="5891" max="5895" width="13.85546875" style="187" customWidth="1"/>
    <col min="5896" max="6144" width="11.5703125" style="187"/>
    <col min="6145" max="6145" width="7.7109375" style="187" customWidth="1"/>
    <col min="6146" max="6146" width="62.85546875" style="187" bestFit="1" customWidth="1"/>
    <col min="6147" max="6151" width="13.85546875" style="187" customWidth="1"/>
    <col min="6152" max="6400" width="11.5703125" style="187"/>
    <col min="6401" max="6401" width="7.7109375" style="187" customWidth="1"/>
    <col min="6402" max="6402" width="62.85546875" style="187" bestFit="1" customWidth="1"/>
    <col min="6403" max="6407" width="13.85546875" style="187" customWidth="1"/>
    <col min="6408" max="6656" width="11.5703125" style="187"/>
    <col min="6657" max="6657" width="7.7109375" style="187" customWidth="1"/>
    <col min="6658" max="6658" width="62.85546875" style="187" bestFit="1" customWidth="1"/>
    <col min="6659" max="6663" width="13.85546875" style="187" customWidth="1"/>
    <col min="6664" max="6912" width="11.5703125" style="187"/>
    <col min="6913" max="6913" width="7.7109375" style="187" customWidth="1"/>
    <col min="6914" max="6914" width="62.85546875" style="187" bestFit="1" customWidth="1"/>
    <col min="6915" max="6919" width="13.85546875" style="187" customWidth="1"/>
    <col min="6920" max="7168" width="11.5703125" style="187"/>
    <col min="7169" max="7169" width="7.7109375" style="187" customWidth="1"/>
    <col min="7170" max="7170" width="62.85546875" style="187" bestFit="1" customWidth="1"/>
    <col min="7171" max="7175" width="13.85546875" style="187" customWidth="1"/>
    <col min="7176" max="7424" width="11.5703125" style="187"/>
    <col min="7425" max="7425" width="7.7109375" style="187" customWidth="1"/>
    <col min="7426" max="7426" width="62.85546875" style="187" bestFit="1" customWidth="1"/>
    <col min="7427" max="7431" width="13.85546875" style="187" customWidth="1"/>
    <col min="7432" max="7680" width="11.5703125" style="187"/>
    <col min="7681" max="7681" width="7.7109375" style="187" customWidth="1"/>
    <col min="7682" max="7682" width="62.85546875" style="187" bestFit="1" customWidth="1"/>
    <col min="7683" max="7687" width="13.85546875" style="187" customWidth="1"/>
    <col min="7688" max="7936" width="11.5703125" style="187"/>
    <col min="7937" max="7937" width="7.7109375" style="187" customWidth="1"/>
    <col min="7938" max="7938" width="62.85546875" style="187" bestFit="1" customWidth="1"/>
    <col min="7939" max="7943" width="13.85546875" style="187" customWidth="1"/>
    <col min="7944" max="8192" width="11.5703125" style="187"/>
    <col min="8193" max="8193" width="7.7109375" style="187" customWidth="1"/>
    <col min="8194" max="8194" width="62.85546875" style="187" bestFit="1" customWidth="1"/>
    <col min="8195" max="8199" width="13.85546875" style="187" customWidth="1"/>
    <col min="8200" max="8448" width="11.5703125" style="187"/>
    <col min="8449" max="8449" width="7.7109375" style="187" customWidth="1"/>
    <col min="8450" max="8450" width="62.85546875" style="187" bestFit="1" customWidth="1"/>
    <col min="8451" max="8455" width="13.85546875" style="187" customWidth="1"/>
    <col min="8456" max="8704" width="11.5703125" style="187"/>
    <col min="8705" max="8705" width="7.7109375" style="187" customWidth="1"/>
    <col min="8706" max="8706" width="62.85546875" style="187" bestFit="1" customWidth="1"/>
    <col min="8707" max="8711" width="13.85546875" style="187" customWidth="1"/>
    <col min="8712" max="8960" width="11.5703125" style="187"/>
    <col min="8961" max="8961" width="7.7109375" style="187" customWidth="1"/>
    <col min="8962" max="8962" width="62.85546875" style="187" bestFit="1" customWidth="1"/>
    <col min="8963" max="8967" width="13.85546875" style="187" customWidth="1"/>
    <col min="8968" max="9216" width="11.5703125" style="187"/>
    <col min="9217" max="9217" width="7.7109375" style="187" customWidth="1"/>
    <col min="9218" max="9218" width="62.85546875" style="187" bestFit="1" customWidth="1"/>
    <col min="9219" max="9223" width="13.85546875" style="187" customWidth="1"/>
    <col min="9224" max="9472" width="11.5703125" style="187"/>
    <col min="9473" max="9473" width="7.7109375" style="187" customWidth="1"/>
    <col min="9474" max="9474" width="62.85546875" style="187" bestFit="1" customWidth="1"/>
    <col min="9475" max="9479" width="13.85546875" style="187" customWidth="1"/>
    <col min="9480" max="9728" width="11.5703125" style="187"/>
    <col min="9729" max="9729" width="7.7109375" style="187" customWidth="1"/>
    <col min="9730" max="9730" width="62.85546875" style="187" bestFit="1" customWidth="1"/>
    <col min="9731" max="9735" width="13.85546875" style="187" customWidth="1"/>
    <col min="9736" max="9984" width="11.5703125" style="187"/>
    <col min="9985" max="9985" width="7.7109375" style="187" customWidth="1"/>
    <col min="9986" max="9986" width="62.85546875" style="187" bestFit="1" customWidth="1"/>
    <col min="9987" max="9991" width="13.85546875" style="187" customWidth="1"/>
    <col min="9992" max="10240" width="11.5703125" style="187"/>
    <col min="10241" max="10241" width="7.7109375" style="187" customWidth="1"/>
    <col min="10242" max="10242" width="62.85546875" style="187" bestFit="1" customWidth="1"/>
    <col min="10243" max="10247" width="13.85546875" style="187" customWidth="1"/>
    <col min="10248" max="10496" width="11.5703125" style="187"/>
    <col min="10497" max="10497" width="7.7109375" style="187" customWidth="1"/>
    <col min="10498" max="10498" width="62.85546875" style="187" bestFit="1" customWidth="1"/>
    <col min="10499" max="10503" width="13.85546875" style="187" customWidth="1"/>
    <col min="10504" max="10752" width="11.5703125" style="187"/>
    <col min="10753" max="10753" width="7.7109375" style="187" customWidth="1"/>
    <col min="10754" max="10754" width="62.85546875" style="187" bestFit="1" customWidth="1"/>
    <col min="10755" max="10759" width="13.85546875" style="187" customWidth="1"/>
    <col min="10760" max="11008" width="11.5703125" style="187"/>
    <col min="11009" max="11009" width="7.7109375" style="187" customWidth="1"/>
    <col min="11010" max="11010" width="62.85546875" style="187" bestFit="1" customWidth="1"/>
    <col min="11011" max="11015" width="13.85546875" style="187" customWidth="1"/>
    <col min="11016" max="11264" width="11.5703125" style="187"/>
    <col min="11265" max="11265" width="7.7109375" style="187" customWidth="1"/>
    <col min="11266" max="11266" width="62.85546875" style="187" bestFit="1" customWidth="1"/>
    <col min="11267" max="11271" width="13.85546875" style="187" customWidth="1"/>
    <col min="11272" max="11520" width="11.5703125" style="187"/>
    <col min="11521" max="11521" width="7.7109375" style="187" customWidth="1"/>
    <col min="11522" max="11522" width="62.85546875" style="187" bestFit="1" customWidth="1"/>
    <col min="11523" max="11527" width="13.85546875" style="187" customWidth="1"/>
    <col min="11528" max="11776" width="11.5703125" style="187"/>
    <col min="11777" max="11777" width="7.7109375" style="187" customWidth="1"/>
    <col min="11778" max="11778" width="62.85546875" style="187" bestFit="1" customWidth="1"/>
    <col min="11779" max="11783" width="13.85546875" style="187" customWidth="1"/>
    <col min="11784" max="12032" width="11.5703125" style="187"/>
    <col min="12033" max="12033" width="7.7109375" style="187" customWidth="1"/>
    <col min="12034" max="12034" width="62.85546875" style="187" bestFit="1" customWidth="1"/>
    <col min="12035" max="12039" width="13.85546875" style="187" customWidth="1"/>
    <col min="12040" max="12288" width="11.5703125" style="187"/>
    <col min="12289" max="12289" width="7.7109375" style="187" customWidth="1"/>
    <col min="12290" max="12290" width="62.85546875" style="187" bestFit="1" customWidth="1"/>
    <col min="12291" max="12295" width="13.85546875" style="187" customWidth="1"/>
    <col min="12296" max="12544" width="11.5703125" style="187"/>
    <col min="12545" max="12545" width="7.7109375" style="187" customWidth="1"/>
    <col min="12546" max="12546" width="62.85546875" style="187" bestFit="1" customWidth="1"/>
    <col min="12547" max="12551" width="13.85546875" style="187" customWidth="1"/>
    <col min="12552" max="12800" width="11.5703125" style="187"/>
    <col min="12801" max="12801" width="7.7109375" style="187" customWidth="1"/>
    <col min="12802" max="12802" width="62.85546875" style="187" bestFit="1" customWidth="1"/>
    <col min="12803" max="12807" width="13.85546875" style="187" customWidth="1"/>
    <col min="12808" max="13056" width="11.5703125" style="187"/>
    <col min="13057" max="13057" width="7.7109375" style="187" customWidth="1"/>
    <col min="13058" max="13058" width="62.85546875" style="187" bestFit="1" customWidth="1"/>
    <col min="13059" max="13063" width="13.85546875" style="187" customWidth="1"/>
    <col min="13064" max="13312" width="11.5703125" style="187"/>
    <col min="13313" max="13313" width="7.7109375" style="187" customWidth="1"/>
    <col min="13314" max="13314" width="62.85546875" style="187" bestFit="1" customWidth="1"/>
    <col min="13315" max="13319" width="13.85546875" style="187" customWidth="1"/>
    <col min="13320" max="13568" width="11.5703125" style="187"/>
    <col min="13569" max="13569" width="7.7109375" style="187" customWidth="1"/>
    <col min="13570" max="13570" width="62.85546875" style="187" bestFit="1" customWidth="1"/>
    <col min="13571" max="13575" width="13.85546875" style="187" customWidth="1"/>
    <col min="13576" max="13824" width="11.5703125" style="187"/>
    <col min="13825" max="13825" width="7.7109375" style="187" customWidth="1"/>
    <col min="13826" max="13826" width="62.85546875" style="187" bestFit="1" customWidth="1"/>
    <col min="13827" max="13831" width="13.85546875" style="187" customWidth="1"/>
    <col min="13832" max="14080" width="11.5703125" style="187"/>
    <col min="14081" max="14081" width="7.7109375" style="187" customWidth="1"/>
    <col min="14082" max="14082" width="62.85546875" style="187" bestFit="1" customWidth="1"/>
    <col min="14083" max="14087" width="13.85546875" style="187" customWidth="1"/>
    <col min="14088" max="14336" width="11.5703125" style="187"/>
    <col min="14337" max="14337" width="7.7109375" style="187" customWidth="1"/>
    <col min="14338" max="14338" width="62.85546875" style="187" bestFit="1" customWidth="1"/>
    <col min="14339" max="14343" width="13.85546875" style="187" customWidth="1"/>
    <col min="14344" max="14592" width="11.5703125" style="187"/>
    <col min="14593" max="14593" width="7.7109375" style="187" customWidth="1"/>
    <col min="14594" max="14594" width="62.85546875" style="187" bestFit="1" customWidth="1"/>
    <col min="14595" max="14599" width="13.85546875" style="187" customWidth="1"/>
    <col min="14600" max="14848" width="11.5703125" style="187"/>
    <col min="14849" max="14849" width="7.7109375" style="187" customWidth="1"/>
    <col min="14850" max="14850" width="62.85546875" style="187" bestFit="1" customWidth="1"/>
    <col min="14851" max="14855" width="13.85546875" style="187" customWidth="1"/>
    <col min="14856" max="15104" width="11.5703125" style="187"/>
    <col min="15105" max="15105" width="7.7109375" style="187" customWidth="1"/>
    <col min="15106" max="15106" width="62.85546875" style="187" bestFit="1" customWidth="1"/>
    <col min="15107" max="15111" width="13.85546875" style="187" customWidth="1"/>
    <col min="15112" max="15360" width="11.5703125" style="187"/>
    <col min="15361" max="15361" width="7.7109375" style="187" customWidth="1"/>
    <col min="15362" max="15362" width="62.85546875" style="187" bestFit="1" customWidth="1"/>
    <col min="15363" max="15367" width="13.85546875" style="187" customWidth="1"/>
    <col min="15368" max="15616" width="11.5703125" style="187"/>
    <col min="15617" max="15617" width="7.7109375" style="187" customWidth="1"/>
    <col min="15618" max="15618" width="62.85546875" style="187" bestFit="1" customWidth="1"/>
    <col min="15619" max="15623" width="13.85546875" style="187" customWidth="1"/>
    <col min="15624" max="15872" width="11.5703125" style="187"/>
    <col min="15873" max="15873" width="7.7109375" style="187" customWidth="1"/>
    <col min="15874" max="15874" width="62.85546875" style="187" bestFit="1" customWidth="1"/>
    <col min="15875" max="15879" width="13.85546875" style="187" customWidth="1"/>
    <col min="15880" max="16128" width="11.5703125" style="187"/>
    <col min="16129" max="16129" width="7.7109375" style="187" customWidth="1"/>
    <col min="16130" max="16130" width="62.85546875" style="187" bestFit="1" customWidth="1"/>
    <col min="16131" max="16135" width="13.85546875" style="187" customWidth="1"/>
    <col min="16136" max="16384" width="11.5703125" style="187"/>
  </cols>
  <sheetData>
    <row r="1" spans="1:7" ht="35.1" customHeight="1">
      <c r="A1" s="1001" t="str">
        <f>+Títulos!$B$2&amp;"
ESTADO ANALITICO DEL ACTIVO
DEL 01 DE ENERO AL "&amp;Títulos!$B$3</f>
        <v>TRIBUNAL DE JUSTICIA ADMINISTRATIVA
ESTADO ANALITICO DEL ACTIVO
DEL 01 DE ENERO AL 31 DE DICIEMBRE DE 2017</v>
      </c>
      <c r="B1" s="1002"/>
      <c r="C1" s="1002"/>
      <c r="D1" s="1002"/>
      <c r="E1" s="1002"/>
      <c r="F1" s="1002"/>
      <c r="G1" s="1003"/>
    </row>
    <row r="2" spans="1:7" ht="32.1" customHeight="1">
      <c r="A2" s="141" t="s">
        <v>0</v>
      </c>
      <c r="B2" s="188" t="s">
        <v>1</v>
      </c>
      <c r="C2" s="189" t="s">
        <v>94</v>
      </c>
      <c r="D2" s="189" t="s">
        <v>1538</v>
      </c>
      <c r="E2" s="189" t="s">
        <v>1539</v>
      </c>
      <c r="F2" s="189" t="s">
        <v>1536</v>
      </c>
      <c r="G2" s="189" t="s">
        <v>1537</v>
      </c>
    </row>
    <row r="3" spans="1:7">
      <c r="A3" s="190">
        <v>1000</v>
      </c>
      <c r="B3" s="152" t="s">
        <v>3</v>
      </c>
      <c r="C3" s="375">
        <f ca="1">IF(RIGHT($A3,3)="000",SUMIF(BC[],MID($A3,1,1)&amp;"*",bc_2016),IF(RIGHT($A3,2)="00",SUMIF(BC[],MID($A3,1,2)&amp;"*",bc_2016),IF(RIGHT($A3,1)="0",SUMIF(BC[],MID($A3,1,3)&amp;"*",bc_2016),SUMIF(BC[],$A3,bc_2016))))</f>
        <v>31227829.199999996</v>
      </c>
      <c r="D3" s="375">
        <f ca="1">IF(RIGHT($A3,3)="000",SUMIF(BC[],MID($A3,1,1)&amp;"*",bc_2017c),IF(RIGHT($A3,2)="00",SUMIF(BC[],MID($A3,1,2)&amp;"*",bc_2017c),IF(RIGHT($A3,1)="0",SUMIF(BC[],MID($A3,1,3)&amp;"*",bc_2017c),SUMIF(BC[],$A3,bc_2017c))))</f>
        <v>243269663.41000003</v>
      </c>
      <c r="E3" s="375">
        <f ca="1">-IF(RIGHT($A3,3)="000",SUMIF(BC[],MID($A3,1,1)&amp;"*",bc_2017a),IF(RIGHT($A3,2)="00",SUMIF(BC[],MID($A3,1,2)&amp;"*",bc_2017a),IF(RIGHT($A3,1)="0",SUMIF(BC[],MID($A3,1,3)&amp;"*",bc_2017a),SUMIF(BC[],$A3,bc_2017a))))</f>
        <v>238598606.25999999</v>
      </c>
      <c r="F3" s="375">
        <f ca="1">IF(RIGHT($A3,3)="000",SUMIF(BC[],MID($A3,1,1)&amp;"*",bc_2017),IF(RIGHT($A3,2)="00",SUMIF(BC[],MID($A3,1,2)&amp;"*",bc_2017),IF(RIGHT($A3,1)="0",SUMIF(BC[],MID($A3,1,3)&amp;"*",bc_2017),SUMIF(BC[],$A3,bc_2017))))</f>
        <v>35898886.349999994</v>
      </c>
      <c r="G3" s="375">
        <f ca="1">+F3-C3</f>
        <v>4671057.1499999985</v>
      </c>
    </row>
    <row r="4" spans="1:7">
      <c r="A4" s="180">
        <v>1100</v>
      </c>
      <c r="B4" s="156" t="s">
        <v>4</v>
      </c>
      <c r="C4" s="376">
        <f ca="1">IF(RIGHT($A4,3)="000",SUMIF(BC[],MID($A4,1,1)&amp;"*",bc_2016),IF(RIGHT($A4,2)="00",SUMIF(BC[],MID($A4,1,2)&amp;"*",bc_2016),IF(RIGHT($A4,1)="0",SUMIF(BC[],MID($A4,1,3)&amp;"*",bc_2016),SUMIF(BC[],$A4,bc_2016))))</f>
        <v>11361825.720000001</v>
      </c>
      <c r="D4" s="376">
        <f ca="1">IF(RIGHT($A4,3)="000",SUMIF(BC[],MID($A4,1,1)&amp;"*",bc_2017c),IF(RIGHT($A4,2)="00",SUMIF(BC[],MID($A4,1,2)&amp;"*",bc_2017c),IF(RIGHT($A4,1)="0",SUMIF(BC[],MID($A4,1,3)&amp;"*",bc_2017c),SUMIF(BC[],$A4,bc_2017c))))</f>
        <v>239611389.44000003</v>
      </c>
      <c r="E4" s="376">
        <f ca="1">-IF(RIGHT($A4,3)="000",SUMIF(BC[],MID($A4,1,1)&amp;"*",bc_2017a),IF(RIGHT($A4,2)="00",SUMIF(BC[],MID($A4,1,2)&amp;"*",bc_2017a),IF(RIGHT($A4,1)="0",SUMIF(BC[],MID($A4,1,3)&amp;"*",bc_2017a),SUMIF(BC[],$A4,bc_2017a))))</f>
        <v>235242484.45999998</v>
      </c>
      <c r="F4" s="376">
        <f ca="1">IF(RIGHT($A4,3)="000",SUMIF(BC[],MID($A4,1,1)&amp;"*",bc_2017),IF(RIGHT($A4,2)="00",SUMIF(BC[],MID($A4,1,2)&amp;"*",bc_2017),IF(RIGHT($A4,1)="0",SUMIF(BC[],MID($A4,1,3)&amp;"*",bc_2017),SUMIF(BC[],$A4,bc_2017))))</f>
        <v>15730730.699999997</v>
      </c>
      <c r="G4" s="376">
        <f t="shared" ref="G4:G68" ca="1" si="0">+F4-C4</f>
        <v>4368904.9799999967</v>
      </c>
    </row>
    <row r="5" spans="1:7">
      <c r="A5" s="180">
        <v>1110</v>
      </c>
      <c r="B5" s="156" t="s">
        <v>5</v>
      </c>
      <c r="C5" s="376">
        <f ca="1">IF(RIGHT($A5,3)="000",SUMIF(BC[],MID($A5,1,1)&amp;"*",bc_2016),IF(RIGHT($A5,2)="00",SUMIF(BC[],MID($A5,1,2)&amp;"*",bc_2016),IF(RIGHT($A5,1)="0",SUMIF(BC[],MID($A5,1,3)&amp;"*",bc_2016),SUMIF(BC[],$A5,bc_2016))))</f>
        <v>11324165.710000001</v>
      </c>
      <c r="D5" s="376">
        <f ca="1">IF(RIGHT($A5,3)="000",SUMIF(BC[],MID($A5,1,1)&amp;"*",bc_2017c),IF(RIGHT($A5,2)="00",SUMIF(BC[],MID($A5,1,2)&amp;"*",bc_2017c),IF(RIGHT($A5,1)="0",SUMIF(BC[],MID($A5,1,3)&amp;"*",bc_2017c),SUMIF(BC[],$A5,bc_2017c))))</f>
        <v>145882408.34</v>
      </c>
      <c r="E5" s="376">
        <f ca="1">-IF(RIGHT($A5,3)="000",SUMIF(BC[],MID($A5,1,1)&amp;"*",bc_2017a),IF(RIGHT($A5,2)="00",SUMIF(BC[],MID($A5,1,2)&amp;"*",bc_2017a),IF(RIGHT($A5,1)="0",SUMIF(BC[],MID($A5,1,3)&amp;"*",bc_2017a),SUMIF(BC[],$A5,bc_2017a))))</f>
        <v>141513725.34999999</v>
      </c>
      <c r="F5" s="376">
        <f ca="1">IF(RIGHT($A5,3)="000",SUMIF(BC[],MID($A5,1,1)&amp;"*",bc_2017),IF(RIGHT($A5,2)="00",SUMIF(BC[],MID($A5,1,2)&amp;"*",bc_2017),IF(RIGHT($A5,1)="0",SUMIF(BC[],MID($A5,1,3)&amp;"*",bc_2017),SUMIF(BC[],$A5,bc_2017))))</f>
        <v>15692848.699999999</v>
      </c>
      <c r="G5" s="376">
        <f t="shared" ca="1" si="0"/>
        <v>4368682.9899999984</v>
      </c>
    </row>
    <row r="6" spans="1:7">
      <c r="A6" s="182">
        <v>1111</v>
      </c>
      <c r="B6" s="159" t="s">
        <v>398</v>
      </c>
      <c r="C6" s="377">
        <f ca="1">IF(RIGHT($A6,3)="000",SUMIF(BC[],MID($A6,1,1)&amp;"*",bc_2016),IF(RIGHT($A6,2)="00",SUMIF(BC[],MID($A6,1,2)&amp;"*",bc_2016),IF(RIGHT($A6,1)="0",SUMIF(BC[],MID($A6,1,3)&amp;"*",bc_2016),SUMIF(BC[],$A6,bc_2016))))</f>
        <v>0</v>
      </c>
      <c r="D6" s="377">
        <f ca="1">IF(RIGHT($A6,3)="000",SUMIF(BC[],MID($A6,1,1)&amp;"*",bc_2017c),IF(RIGHT($A6,2)="00",SUMIF(BC[],MID($A6,1,2)&amp;"*",bc_2017c),IF(RIGHT($A6,1)="0",SUMIF(BC[],MID($A6,1,3)&amp;"*",bc_2017c),SUMIF(BC[],$A6,bc_2017c))))</f>
        <v>0</v>
      </c>
      <c r="E6" s="377">
        <f ca="1">-IF(RIGHT($A6,3)="000",SUMIF(BC[],MID($A6,1,1)&amp;"*",bc_2017a),IF(RIGHT($A6,2)="00",SUMIF(BC[],MID($A6,1,2)&amp;"*",bc_2017a),IF(RIGHT($A6,1)="0",SUMIF(BC[],MID($A6,1,3)&amp;"*",bc_2017a),SUMIF(BC[],$A6,bc_2017a))))</f>
        <v>0</v>
      </c>
      <c r="F6" s="377">
        <f ca="1">IF(RIGHT($A6,3)="000",SUMIF(BC[],MID($A6,1,1)&amp;"*",bc_2017),IF(RIGHT($A6,2)="00",SUMIF(BC[],MID($A6,1,2)&amp;"*",bc_2017),IF(RIGHT($A6,1)="0",SUMIF(BC[],MID($A6,1,3)&amp;"*",bc_2017),SUMIF(BC[],$A6,bc_2017))))</f>
        <v>0</v>
      </c>
      <c r="G6" s="376">
        <f t="shared" ca="1" si="0"/>
        <v>0</v>
      </c>
    </row>
    <row r="7" spans="1:7">
      <c r="A7" s="182">
        <v>1112</v>
      </c>
      <c r="B7" s="159" t="s">
        <v>399</v>
      </c>
      <c r="C7" s="377">
        <f ca="1">IF(RIGHT($A7,3)="000",SUMIF(BC[],MID($A7,1,1)&amp;"*",bc_2016),IF(RIGHT($A7,2)="00",SUMIF(BC[],MID($A7,1,2)&amp;"*",bc_2016),IF(RIGHT($A7,1)="0",SUMIF(BC[],MID($A7,1,3)&amp;"*",bc_2016),SUMIF(BC[],$A7,bc_2016))))</f>
        <v>11324165.710000001</v>
      </c>
      <c r="D7" s="377">
        <f ca="1">IF(RIGHT($A7,3)="000",SUMIF(BC[],MID($A7,1,1)&amp;"*",bc_2017c),IF(RIGHT($A7,2)="00",SUMIF(BC[],MID($A7,1,2)&amp;"*",bc_2017c),IF(RIGHT($A7,1)="0",SUMIF(BC[],MID($A7,1,3)&amp;"*",bc_2017c),SUMIF(BC[],$A7,bc_2017c))))</f>
        <v>143640092.47</v>
      </c>
      <c r="E7" s="377">
        <f ca="1">-IF(RIGHT($A7,3)="000",SUMIF(BC[],MID($A7,1,1)&amp;"*",bc_2017a),IF(RIGHT($A7,2)="00",SUMIF(BC[],MID($A7,1,2)&amp;"*",bc_2017a),IF(RIGHT($A7,1)="0",SUMIF(BC[],MID($A7,1,3)&amp;"*",bc_2017a),SUMIF(BC[],$A7,bc_2017a))))</f>
        <v>141513725.34999999</v>
      </c>
      <c r="F7" s="377">
        <f ca="1">IF(RIGHT($A7,3)="000",SUMIF(BC[],MID($A7,1,1)&amp;"*",bc_2017),IF(RIGHT($A7,2)="00",SUMIF(BC[],MID($A7,1,2)&amp;"*",bc_2017),IF(RIGHT($A7,1)="0",SUMIF(BC[],MID($A7,1,3)&amp;"*",bc_2017),SUMIF(BC[],$A7,bc_2017))))</f>
        <v>13450532.83</v>
      </c>
      <c r="G7" s="376">
        <f t="shared" ca="1" si="0"/>
        <v>2126367.1199999992</v>
      </c>
    </row>
    <row r="8" spans="1:7">
      <c r="A8" s="182">
        <v>1113</v>
      </c>
      <c r="B8" s="159" t="s">
        <v>400</v>
      </c>
      <c r="C8" s="377">
        <f ca="1">IF(RIGHT($A8,3)="000",SUMIF(BC[],MID($A8,1,1)&amp;"*",bc_2016),IF(RIGHT($A8,2)="00",SUMIF(BC[],MID($A8,1,2)&amp;"*",bc_2016),IF(RIGHT($A8,1)="0",SUMIF(BC[],MID($A8,1,3)&amp;"*",bc_2016),SUMIF(BC[],$A8,bc_2016))))</f>
        <v>0</v>
      </c>
      <c r="D8" s="377">
        <f ca="1">IF(RIGHT($A8,3)="000",SUMIF(BC[],MID($A8,1,1)&amp;"*",bc_2017c),IF(RIGHT($A8,2)="00",SUMIF(BC[],MID($A8,1,2)&amp;"*",bc_2017c),IF(RIGHT($A8,1)="0",SUMIF(BC[],MID($A8,1,3)&amp;"*",bc_2017c),SUMIF(BC[],$A8,bc_2017c))))</f>
        <v>0</v>
      </c>
      <c r="E8" s="377">
        <f ca="1">-IF(RIGHT($A8,3)="000",SUMIF(BC[],MID($A8,1,1)&amp;"*",bc_2017a),IF(RIGHT($A8,2)="00",SUMIF(BC[],MID($A8,1,2)&amp;"*",bc_2017a),IF(RIGHT($A8,1)="0",SUMIF(BC[],MID($A8,1,3)&amp;"*",bc_2017a),SUMIF(BC[],$A8,bc_2017a))))</f>
        <v>0</v>
      </c>
      <c r="F8" s="377">
        <f ca="1">IF(RIGHT($A8,3)="000",SUMIF(BC[],MID($A8,1,1)&amp;"*",bc_2017),IF(RIGHT($A8,2)="00",SUMIF(BC[],MID($A8,1,2)&amp;"*",bc_2017),IF(RIGHT($A8,1)="0",SUMIF(BC[],MID($A8,1,3)&amp;"*",bc_2017),SUMIF(BC[],$A8,bc_2017))))</f>
        <v>0</v>
      </c>
      <c r="G8" s="376">
        <f t="shared" ca="1" si="0"/>
        <v>0</v>
      </c>
    </row>
    <row r="9" spans="1:7">
      <c r="A9" s="182">
        <v>1114</v>
      </c>
      <c r="B9" s="159" t="s">
        <v>401</v>
      </c>
      <c r="C9" s="377">
        <f ca="1">IF(RIGHT($A9,3)="000",SUMIF(BC[],MID($A9,1,1)&amp;"*",bc_2016),IF(RIGHT($A9,2)="00",SUMIF(BC[],MID($A9,1,2)&amp;"*",bc_2016),IF(RIGHT($A9,1)="0",SUMIF(BC[],MID($A9,1,3)&amp;"*",bc_2016),SUMIF(BC[],$A9,bc_2016))))</f>
        <v>0</v>
      </c>
      <c r="D9" s="377">
        <f ca="1">IF(RIGHT($A9,3)="000",SUMIF(BC[],MID($A9,1,1)&amp;"*",bc_2017c),IF(RIGHT($A9,2)="00",SUMIF(BC[],MID($A9,1,2)&amp;"*",bc_2017c),IF(RIGHT($A9,1)="0",SUMIF(BC[],MID($A9,1,3)&amp;"*",bc_2017c),SUMIF(BC[],$A9,bc_2017c))))</f>
        <v>2242315.87</v>
      </c>
      <c r="E9" s="377">
        <f ca="1">-IF(RIGHT($A9,3)="000",SUMIF(BC[],MID($A9,1,1)&amp;"*",bc_2017a),IF(RIGHT($A9,2)="00",SUMIF(BC[],MID($A9,1,2)&amp;"*",bc_2017a),IF(RIGHT($A9,1)="0",SUMIF(BC[],MID($A9,1,3)&amp;"*",bc_2017a),SUMIF(BC[],$A9,bc_2017a))))</f>
        <v>0</v>
      </c>
      <c r="F9" s="377">
        <f ca="1">IF(RIGHT($A9,3)="000",SUMIF(BC[],MID($A9,1,1)&amp;"*",bc_2017),IF(RIGHT($A9,2)="00",SUMIF(BC[],MID($A9,1,2)&amp;"*",bc_2017),IF(RIGHT($A9,1)="0",SUMIF(BC[],MID($A9,1,3)&amp;"*",bc_2017),SUMIF(BC[],$A9,bc_2017))))</f>
        <v>2242315.87</v>
      </c>
      <c r="G9" s="376">
        <f t="shared" ca="1" si="0"/>
        <v>2242315.87</v>
      </c>
    </row>
    <row r="10" spans="1:7">
      <c r="A10" s="182">
        <v>1115</v>
      </c>
      <c r="B10" s="159" t="s">
        <v>403</v>
      </c>
      <c r="C10" s="377">
        <f ca="1">IF(RIGHT($A10,3)="000",SUMIF(BC[],MID($A10,1,1)&amp;"*",bc_2016),IF(RIGHT($A10,2)="00",SUMIF(BC[],MID($A10,1,2)&amp;"*",bc_2016),IF(RIGHT($A10,1)="0",SUMIF(BC[],MID($A10,1,3)&amp;"*",bc_2016),SUMIF(BC[],$A10,bc_2016))))</f>
        <v>0</v>
      </c>
      <c r="D10" s="377">
        <f ca="1">IF(RIGHT($A10,3)="000",SUMIF(BC[],MID($A10,1,1)&amp;"*",bc_2017c),IF(RIGHT($A10,2)="00",SUMIF(BC[],MID($A10,1,2)&amp;"*",bc_2017c),IF(RIGHT($A10,1)="0",SUMIF(BC[],MID($A10,1,3)&amp;"*",bc_2017c),SUMIF(BC[],$A10,bc_2017c))))</f>
        <v>0</v>
      </c>
      <c r="E10" s="377">
        <f ca="1">-IF(RIGHT($A10,3)="000",SUMIF(BC[],MID($A10,1,1)&amp;"*",bc_2017a),IF(RIGHT($A10,2)="00",SUMIF(BC[],MID($A10,1,2)&amp;"*",bc_2017a),IF(RIGHT($A10,1)="0",SUMIF(BC[],MID($A10,1,3)&amp;"*",bc_2017a),SUMIF(BC[],$A10,bc_2017a))))</f>
        <v>0</v>
      </c>
      <c r="F10" s="377">
        <f ca="1">IF(RIGHT($A10,3)="000",SUMIF(BC[],MID($A10,1,1)&amp;"*",bc_2017),IF(RIGHT($A10,2)="00",SUMIF(BC[],MID($A10,1,2)&amp;"*",bc_2017),IF(RIGHT($A10,1)="0",SUMIF(BC[],MID($A10,1,3)&amp;"*",bc_2017),SUMIF(BC[],$A10,bc_2017))))</f>
        <v>0</v>
      </c>
      <c r="G10" s="376">
        <f t="shared" ca="1" si="0"/>
        <v>0</v>
      </c>
    </row>
    <row r="11" spans="1:7">
      <c r="A11" s="182">
        <v>1116</v>
      </c>
      <c r="B11" s="159" t="s">
        <v>404</v>
      </c>
      <c r="C11" s="377">
        <f ca="1">IF(RIGHT($A11,3)="000",SUMIF(BC[],MID($A11,1,1)&amp;"*",bc_2016),IF(RIGHT($A11,2)="00",SUMIF(BC[],MID($A11,1,2)&amp;"*",bc_2016),IF(RIGHT($A11,1)="0",SUMIF(BC[],MID($A11,1,3)&amp;"*",bc_2016),SUMIF(BC[],$A11,bc_2016))))</f>
        <v>0</v>
      </c>
      <c r="D11" s="377">
        <f ca="1">IF(RIGHT($A11,3)="000",SUMIF(BC[],MID($A11,1,1)&amp;"*",bc_2017c),IF(RIGHT($A11,2)="00",SUMIF(BC[],MID($A11,1,2)&amp;"*",bc_2017c),IF(RIGHT($A11,1)="0",SUMIF(BC[],MID($A11,1,3)&amp;"*",bc_2017c),SUMIF(BC[],$A11,bc_2017c))))</f>
        <v>0</v>
      </c>
      <c r="E11" s="377">
        <f ca="1">-IF(RIGHT($A11,3)="000",SUMIF(BC[],MID($A11,1,1)&amp;"*",bc_2017a),IF(RIGHT($A11,2)="00",SUMIF(BC[],MID($A11,1,2)&amp;"*",bc_2017a),IF(RIGHT($A11,1)="0",SUMIF(BC[],MID($A11,1,3)&amp;"*",bc_2017a),SUMIF(BC[],$A11,bc_2017a))))</f>
        <v>0</v>
      </c>
      <c r="F11" s="377">
        <f ca="1">IF(RIGHT($A11,3)="000",SUMIF(BC[],MID($A11,1,1)&amp;"*",bc_2017),IF(RIGHT($A11,2)="00",SUMIF(BC[],MID($A11,1,2)&amp;"*",bc_2017),IF(RIGHT($A11,1)="0",SUMIF(BC[],MID($A11,1,3)&amp;"*",bc_2017),SUMIF(BC[],$A11,bc_2017))))</f>
        <v>0</v>
      </c>
      <c r="G11" s="376">
        <f t="shared" ca="1" si="0"/>
        <v>0</v>
      </c>
    </row>
    <row r="12" spans="1:7">
      <c r="A12" s="182">
        <v>1119</v>
      </c>
      <c r="B12" s="159" t="s">
        <v>405</v>
      </c>
      <c r="C12" s="377">
        <f ca="1">IF(RIGHT($A12,3)="000",SUMIF(BC[],MID($A12,1,1)&amp;"*",bc_2016),IF(RIGHT($A12,2)="00",SUMIF(BC[],MID($A12,1,2)&amp;"*",bc_2016),IF(RIGHT($A12,1)="0",SUMIF(BC[],MID($A12,1,3)&amp;"*",bc_2016),SUMIF(BC[],$A12,bc_2016))))</f>
        <v>0</v>
      </c>
      <c r="D12" s="377">
        <f ca="1">IF(RIGHT($A12,3)="000",SUMIF(BC[],MID($A12,1,1)&amp;"*",bc_2017c),IF(RIGHT($A12,2)="00",SUMIF(BC[],MID($A12,1,2)&amp;"*",bc_2017c),IF(RIGHT($A12,1)="0",SUMIF(BC[],MID($A12,1,3)&amp;"*",bc_2017c),SUMIF(BC[],$A12,bc_2017c))))</f>
        <v>0</v>
      </c>
      <c r="E12" s="377">
        <f ca="1">-IF(RIGHT($A12,3)="000",SUMIF(BC[],MID($A12,1,1)&amp;"*",bc_2017a),IF(RIGHT($A12,2)="00",SUMIF(BC[],MID($A12,1,2)&amp;"*",bc_2017a),IF(RIGHT($A12,1)="0",SUMIF(BC[],MID($A12,1,3)&amp;"*",bc_2017a),SUMIF(BC[],$A12,bc_2017a))))</f>
        <v>0</v>
      </c>
      <c r="F12" s="377">
        <f ca="1">IF(RIGHT($A12,3)="000",SUMIF(BC[],MID($A12,1,1)&amp;"*",bc_2017),IF(RIGHT($A12,2)="00",SUMIF(BC[],MID($A12,1,2)&amp;"*",bc_2017),IF(RIGHT($A12,1)="0",SUMIF(BC[],MID($A12,1,3)&amp;"*",bc_2017),SUMIF(BC[],$A12,bc_2017))))</f>
        <v>0</v>
      </c>
      <c r="G12" s="376">
        <f t="shared" ca="1" si="0"/>
        <v>0</v>
      </c>
    </row>
    <row r="13" spans="1:7">
      <c r="A13" s="180">
        <v>1120</v>
      </c>
      <c r="B13" s="156" t="s">
        <v>6</v>
      </c>
      <c r="C13" s="376">
        <f ca="1">IF(RIGHT($A13,3)="000",SUMIF(BC[],MID($A13,1,1)&amp;"*",bc_2016),IF(RIGHT($A13,2)="00",SUMIF(BC[],MID($A13,1,2)&amp;"*",bc_2016),IF(RIGHT($A13,1)="0",SUMIF(BC[],MID($A13,1,3)&amp;"*",bc_2016),SUMIF(BC[],$A13,bc_2016))))</f>
        <v>18150.45</v>
      </c>
      <c r="D13" s="376">
        <f ca="1">IF(RIGHT($A13,3)="000",SUMIF(BC[],MID($A13,1,1)&amp;"*",bc_2017c),IF(RIGHT($A13,2)="00",SUMIF(BC[],MID($A13,1,2)&amp;"*",bc_2017c),IF(RIGHT($A13,1)="0",SUMIF(BC[],MID($A13,1,3)&amp;"*",bc_2017c),SUMIF(BC[],$A13,bc_2017c))))</f>
        <v>88170690.549999982</v>
      </c>
      <c r="E13" s="376">
        <f ca="1">-IF(RIGHT($A13,3)="000",SUMIF(BC[],MID($A13,1,1)&amp;"*",bc_2017a),IF(RIGHT($A13,2)="00",SUMIF(BC[],MID($A13,1,2)&amp;"*",bc_2017a),IF(RIGHT($A13,1)="0",SUMIF(BC[],MID($A13,1,3)&amp;"*",bc_2017a),SUMIF(BC[],$A13,bc_2017a))))</f>
        <v>88170591.429999992</v>
      </c>
      <c r="F13" s="376">
        <f ca="1">IF(RIGHT($A13,3)="000",SUMIF(BC[],MID($A13,1,1)&amp;"*",bc_2017),IF(RIGHT($A13,2)="00",SUMIF(BC[],MID($A13,1,2)&amp;"*",bc_2017),IF(RIGHT($A13,1)="0",SUMIF(BC[],MID($A13,1,3)&amp;"*",bc_2017),SUMIF(BC[],$A13,bc_2017))))</f>
        <v>18249.57</v>
      </c>
      <c r="G13" s="376">
        <f t="shared" ca="1" si="0"/>
        <v>99.119999999998981</v>
      </c>
    </row>
    <row r="14" spans="1:7">
      <c r="A14" s="182">
        <v>1121</v>
      </c>
      <c r="B14" s="159" t="s">
        <v>406</v>
      </c>
      <c r="C14" s="377">
        <f ca="1">IF(RIGHT($A14,3)="000",SUMIF(BC[],MID($A14,1,1)&amp;"*",bc_2016),IF(RIGHT($A14,2)="00",SUMIF(BC[],MID($A14,1,2)&amp;"*",bc_2016),IF(RIGHT($A14,1)="0",SUMIF(BC[],MID($A14,1,3)&amp;"*",bc_2016),SUMIF(BC[],$A14,bc_2016))))</f>
        <v>0</v>
      </c>
      <c r="D14" s="377">
        <f ca="1">IF(RIGHT($A14,3)="000",SUMIF(BC[],MID($A14,1,1)&amp;"*",bc_2017c),IF(RIGHT($A14,2)="00",SUMIF(BC[],MID($A14,1,2)&amp;"*",bc_2017c),IF(RIGHT($A14,1)="0",SUMIF(BC[],MID($A14,1,3)&amp;"*",bc_2017c),SUMIF(BC[],$A14,bc_2017c))))</f>
        <v>0</v>
      </c>
      <c r="E14" s="377">
        <f ca="1">-IF(RIGHT($A14,3)="000",SUMIF(BC[],MID($A14,1,1)&amp;"*",bc_2017a),IF(RIGHT($A14,2)="00",SUMIF(BC[],MID($A14,1,2)&amp;"*",bc_2017a),IF(RIGHT($A14,1)="0",SUMIF(BC[],MID($A14,1,3)&amp;"*",bc_2017a),SUMIF(BC[],$A14,bc_2017a))))</f>
        <v>0</v>
      </c>
      <c r="F14" s="377">
        <f ca="1">IF(RIGHT($A14,3)="000",SUMIF(BC[],MID($A14,1,1)&amp;"*",bc_2017),IF(RIGHT($A14,2)="00",SUMIF(BC[],MID($A14,1,2)&amp;"*",bc_2017),IF(RIGHT($A14,1)="0",SUMIF(BC[],MID($A14,1,3)&amp;"*",bc_2017),SUMIF(BC[],$A14,bc_2017))))</f>
        <v>0</v>
      </c>
      <c r="G14" s="376">
        <f t="shared" ca="1" si="0"/>
        <v>0</v>
      </c>
    </row>
    <row r="15" spans="1:7">
      <c r="A15" s="182">
        <v>1122</v>
      </c>
      <c r="B15" s="159" t="s">
        <v>407</v>
      </c>
      <c r="C15" s="377">
        <f ca="1">IF(RIGHT($A15,3)="000",SUMIF(BC[],MID($A15,1,1)&amp;"*",bc_2016),IF(RIGHT($A15,2)="00",SUMIF(BC[],MID($A15,1,2)&amp;"*",bc_2016),IF(RIGHT($A15,1)="0",SUMIF(BC[],MID($A15,1,3)&amp;"*",bc_2016),SUMIF(BC[],$A15,bc_2016))))</f>
        <v>18147.43</v>
      </c>
      <c r="D15" s="377">
        <f ca="1">IF(RIGHT($A15,3)="000",SUMIF(BC[],MID($A15,1,1)&amp;"*",bc_2017c),IF(RIGHT($A15,2)="00",SUMIF(BC[],MID($A15,1,2)&amp;"*",bc_2017c),IF(RIGHT($A15,1)="0",SUMIF(BC[],MID($A15,1,3)&amp;"*",bc_2017c),SUMIF(BC[],$A15,bc_2017c))))</f>
        <v>87161417.379999995</v>
      </c>
      <c r="E15" s="377">
        <f ca="1">-IF(RIGHT($A15,3)="000",SUMIF(BC[],MID($A15,1,1)&amp;"*",bc_2017a),IF(RIGHT($A15,2)="00",SUMIF(BC[],MID($A15,1,2)&amp;"*",bc_2017a),IF(RIGHT($A15,1)="0",SUMIF(BC[],MID($A15,1,3)&amp;"*",bc_2017a),SUMIF(BC[],$A15,bc_2017a))))</f>
        <v>87161417.379999995</v>
      </c>
      <c r="F15" s="377">
        <f ca="1">IF(RIGHT($A15,3)="000",SUMIF(BC[],MID($A15,1,1)&amp;"*",bc_2017),IF(RIGHT($A15,2)="00",SUMIF(BC[],MID($A15,1,2)&amp;"*",bc_2017),IF(RIGHT($A15,1)="0",SUMIF(BC[],MID($A15,1,3)&amp;"*",bc_2017),SUMIF(BC[],$A15,bc_2017))))</f>
        <v>18147.43</v>
      </c>
      <c r="G15" s="376">
        <f t="shared" ca="1" si="0"/>
        <v>0</v>
      </c>
    </row>
    <row r="16" spans="1:7">
      <c r="A16" s="182">
        <v>1123</v>
      </c>
      <c r="B16" s="159" t="s">
        <v>409</v>
      </c>
      <c r="C16" s="377">
        <f ca="1">IF(RIGHT($A16,3)="000",SUMIF(BC[],MID($A16,1,1)&amp;"*",bc_2016),IF(RIGHT($A16,2)="00",SUMIF(BC[],MID($A16,1,2)&amp;"*",bc_2016),IF(RIGHT($A16,1)="0",SUMIF(BC[],MID($A16,1,3)&amp;"*",bc_2016),SUMIF(BC[],$A16,bc_2016))))</f>
        <v>0</v>
      </c>
      <c r="D16" s="377">
        <f ca="1">IF(RIGHT($A16,3)="000",SUMIF(BC[],MID($A16,1,1)&amp;"*",bc_2017c),IF(RIGHT($A16,2)="00",SUMIF(BC[],MID($A16,1,2)&amp;"*",bc_2017c),IF(RIGHT($A16,1)="0",SUMIF(BC[],MID($A16,1,3)&amp;"*",bc_2017c),SUMIF(BC[],$A16,bc_2017c))))</f>
        <v>180056.43</v>
      </c>
      <c r="E16" s="377">
        <f ca="1">-IF(RIGHT($A16,3)="000",SUMIF(BC[],MID($A16,1,1)&amp;"*",bc_2017a),IF(RIGHT($A16,2)="00",SUMIF(BC[],MID($A16,1,2)&amp;"*",bc_2017a),IF(RIGHT($A16,1)="0",SUMIF(BC[],MID($A16,1,3)&amp;"*",bc_2017a),SUMIF(BC[],$A16,bc_2017a))))</f>
        <v>180056.41</v>
      </c>
      <c r="F16" s="377">
        <f ca="1">IF(RIGHT($A16,3)="000",SUMIF(BC[],MID($A16,1,1)&amp;"*",bc_2017),IF(RIGHT($A16,2)="00",SUMIF(BC[],MID($A16,1,2)&amp;"*",bc_2017),IF(RIGHT($A16,1)="0",SUMIF(BC[],MID($A16,1,3)&amp;"*",bc_2017),SUMIF(BC[],$A16,bc_2017))))</f>
        <v>0.02</v>
      </c>
      <c r="G16" s="376">
        <f t="shared" ca="1" si="0"/>
        <v>0.02</v>
      </c>
    </row>
    <row r="17" spans="1:7">
      <c r="A17" s="182">
        <v>1124</v>
      </c>
      <c r="B17" s="159" t="s">
        <v>410</v>
      </c>
      <c r="C17" s="377">
        <f ca="1">IF(RIGHT($A17,3)="000",SUMIF(BC[],MID($A17,1,1)&amp;"*",bc_2016),IF(RIGHT($A17,2)="00",SUMIF(BC[],MID($A17,1,2)&amp;"*",bc_2016),IF(RIGHT($A17,1)="0",SUMIF(BC[],MID($A17,1,3)&amp;"*",bc_2016),SUMIF(BC[],$A17,bc_2016))))</f>
        <v>0</v>
      </c>
      <c r="D17" s="377">
        <f ca="1">IF(RIGHT($A17,3)="000",SUMIF(BC[],MID($A17,1,1)&amp;"*",bc_2017c),IF(RIGHT($A17,2)="00",SUMIF(BC[],MID($A17,1,2)&amp;"*",bc_2017c),IF(RIGHT($A17,1)="0",SUMIF(BC[],MID($A17,1,3)&amp;"*",bc_2017c),SUMIF(BC[],$A17,bc_2017c))))</f>
        <v>0</v>
      </c>
      <c r="E17" s="377">
        <f ca="1">-IF(RIGHT($A17,3)="000",SUMIF(BC[],MID($A17,1,1)&amp;"*",bc_2017a),IF(RIGHT($A17,2)="00",SUMIF(BC[],MID($A17,1,2)&amp;"*",bc_2017a),IF(RIGHT($A17,1)="0",SUMIF(BC[],MID($A17,1,3)&amp;"*",bc_2017a),SUMIF(BC[],$A17,bc_2017a))))</f>
        <v>0</v>
      </c>
      <c r="F17" s="377">
        <f ca="1">IF(RIGHT($A17,3)="000",SUMIF(BC[],MID($A17,1,1)&amp;"*",bc_2017),IF(RIGHT($A17,2)="00",SUMIF(BC[],MID($A17,1,2)&amp;"*",bc_2017),IF(RIGHT($A17,1)="0",SUMIF(BC[],MID($A17,1,3)&amp;"*",bc_2017),SUMIF(BC[],$A17,bc_2017))))</f>
        <v>0</v>
      </c>
      <c r="G17" s="376">
        <f t="shared" ca="1" si="0"/>
        <v>0</v>
      </c>
    </row>
    <row r="18" spans="1:7">
      <c r="A18" s="182">
        <v>1125</v>
      </c>
      <c r="B18" s="159" t="s">
        <v>411</v>
      </c>
      <c r="C18" s="377">
        <f ca="1">IF(RIGHT($A18,3)="000",SUMIF(BC[],MID($A18,1,1)&amp;"*",bc_2016),IF(RIGHT($A18,2)="00",SUMIF(BC[],MID($A18,1,2)&amp;"*",bc_2016),IF(RIGHT($A18,1)="0",SUMIF(BC[],MID($A18,1,3)&amp;"*",bc_2016),SUMIF(BC[],$A18,bc_2016))))</f>
        <v>0</v>
      </c>
      <c r="D18" s="377">
        <f ca="1">IF(RIGHT($A18,3)="000",SUMIF(BC[],MID($A18,1,1)&amp;"*",bc_2017c),IF(RIGHT($A18,2)="00",SUMIF(BC[],MID($A18,1,2)&amp;"*",bc_2017c),IF(RIGHT($A18,1)="0",SUMIF(BC[],MID($A18,1,3)&amp;"*",bc_2017c),SUMIF(BC[],$A18,bc_2017c))))</f>
        <v>29000</v>
      </c>
      <c r="E18" s="377">
        <f ca="1">-IF(RIGHT($A18,3)="000",SUMIF(BC[],MID($A18,1,1)&amp;"*",bc_2017a),IF(RIGHT($A18,2)="00",SUMIF(BC[],MID($A18,1,2)&amp;"*",bc_2017a),IF(RIGHT($A18,1)="0",SUMIF(BC[],MID($A18,1,3)&amp;"*",bc_2017a),SUMIF(BC[],$A18,bc_2017a))))</f>
        <v>29000</v>
      </c>
      <c r="F18" s="377">
        <f ca="1">IF(RIGHT($A18,3)="000",SUMIF(BC[],MID($A18,1,1)&amp;"*",bc_2017),IF(RIGHT($A18,2)="00",SUMIF(BC[],MID($A18,1,2)&amp;"*",bc_2017),IF(RIGHT($A18,1)="0",SUMIF(BC[],MID($A18,1,3)&amp;"*",bc_2017),SUMIF(BC[],$A18,bc_2017))))</f>
        <v>0</v>
      </c>
      <c r="G18" s="376">
        <f t="shared" ca="1" si="0"/>
        <v>0</v>
      </c>
    </row>
    <row r="19" spans="1:7">
      <c r="A19" s="182">
        <v>1126</v>
      </c>
      <c r="B19" s="159" t="s">
        <v>412</v>
      </c>
      <c r="C19" s="377">
        <f ca="1">IF(RIGHT($A19,3)="000",SUMIF(BC[],MID($A19,1,1)&amp;"*",bc_2016),IF(RIGHT($A19,2)="00",SUMIF(BC[],MID($A19,1,2)&amp;"*",bc_2016),IF(RIGHT($A19,1)="0",SUMIF(BC[],MID($A19,1,3)&amp;"*",bc_2016),SUMIF(BC[],$A19,bc_2016))))</f>
        <v>0</v>
      </c>
      <c r="D19" s="377">
        <f ca="1">IF(RIGHT($A19,3)="000",SUMIF(BC[],MID($A19,1,1)&amp;"*",bc_2017c),IF(RIGHT($A19,2)="00",SUMIF(BC[],MID($A19,1,2)&amp;"*",bc_2017c),IF(RIGHT($A19,1)="0",SUMIF(BC[],MID($A19,1,3)&amp;"*",bc_2017c),SUMIF(BC[],$A19,bc_2017c))))</f>
        <v>0</v>
      </c>
      <c r="E19" s="377">
        <f ca="1">-IF(RIGHT($A19,3)="000",SUMIF(BC[],MID($A19,1,1)&amp;"*",bc_2017a),IF(RIGHT($A19,2)="00",SUMIF(BC[],MID($A19,1,2)&amp;"*",bc_2017a),IF(RIGHT($A19,1)="0",SUMIF(BC[],MID($A19,1,3)&amp;"*",bc_2017a),SUMIF(BC[],$A19,bc_2017a))))</f>
        <v>0</v>
      </c>
      <c r="F19" s="377">
        <f ca="1">IF(RIGHT($A19,3)="000",SUMIF(BC[],MID($A19,1,1)&amp;"*",bc_2017),IF(RIGHT($A19,2)="00",SUMIF(BC[],MID($A19,1,2)&amp;"*",bc_2017),IF(RIGHT($A19,1)="0",SUMIF(BC[],MID($A19,1,3)&amp;"*",bc_2017),SUMIF(BC[],$A19,bc_2017))))</f>
        <v>0</v>
      </c>
      <c r="G19" s="376">
        <f t="shared" ca="1" si="0"/>
        <v>0</v>
      </c>
    </row>
    <row r="20" spans="1:7">
      <c r="A20" s="182">
        <v>1129</v>
      </c>
      <c r="B20" s="159" t="s">
        <v>413</v>
      </c>
      <c r="C20" s="377">
        <f ca="1">IF(RIGHT($A20,3)="000",SUMIF(BC[],MID($A20,1,1)&amp;"*",bc_2016),IF(RIGHT($A20,2)="00",SUMIF(BC[],MID($A20,1,2)&amp;"*",bc_2016),IF(RIGHT($A20,1)="0",SUMIF(BC[],MID($A20,1,3)&amp;"*",bc_2016),SUMIF(BC[],$A20,bc_2016))))</f>
        <v>3.02</v>
      </c>
      <c r="D20" s="377">
        <f ca="1">IF(RIGHT($A20,3)="000",SUMIF(BC[],MID($A20,1,1)&amp;"*",bc_2017c),IF(RIGHT($A20,2)="00",SUMIF(BC[],MID($A20,1,2)&amp;"*",bc_2017c),IF(RIGHT($A20,1)="0",SUMIF(BC[],MID($A20,1,3)&amp;"*",bc_2017c),SUMIF(BC[],$A20,bc_2017c))))</f>
        <v>800216.74</v>
      </c>
      <c r="E20" s="377">
        <f ca="1">-IF(RIGHT($A20,3)="000",SUMIF(BC[],MID($A20,1,1)&amp;"*",bc_2017a),IF(RIGHT($A20,2)="00",SUMIF(BC[],MID($A20,1,2)&amp;"*",bc_2017a),IF(RIGHT($A20,1)="0",SUMIF(BC[],MID($A20,1,3)&amp;"*",bc_2017a),SUMIF(BC[],$A20,bc_2017a))))</f>
        <v>800117.64</v>
      </c>
      <c r="F20" s="377">
        <f ca="1">IF(RIGHT($A20,3)="000",SUMIF(BC[],MID($A20,1,1)&amp;"*",bc_2017),IF(RIGHT($A20,2)="00",SUMIF(BC[],MID($A20,1,2)&amp;"*",bc_2017),IF(RIGHT($A20,1)="0",SUMIF(BC[],MID($A20,1,3)&amp;"*",bc_2017),SUMIF(BC[],$A20,bc_2017))))</f>
        <v>102.12</v>
      </c>
      <c r="G20" s="376">
        <f t="shared" ca="1" si="0"/>
        <v>99.100000000000009</v>
      </c>
    </row>
    <row r="21" spans="1:7">
      <c r="A21" s="180">
        <v>1130</v>
      </c>
      <c r="B21" s="156" t="s">
        <v>8</v>
      </c>
      <c r="C21" s="376">
        <f ca="1">IF(RIGHT($A21,3)="000",SUMIF(BC[],MID($A21,1,1)&amp;"*",bc_2016),IF(RIGHT($A21,2)="00",SUMIF(BC[],MID($A21,1,2)&amp;"*",bc_2016),IF(RIGHT($A21,1)="0",SUMIF(BC[],MID($A21,1,3)&amp;"*",bc_2016),SUMIF(BC[],$A21,bc_2016))))</f>
        <v>19509.560000000001</v>
      </c>
      <c r="D21" s="376">
        <f ca="1">IF(RIGHT($A21,3)="000",SUMIF(BC[],MID($A21,1,1)&amp;"*",bc_2017c),IF(RIGHT($A21,2)="00",SUMIF(BC[],MID($A21,1,2)&amp;"*",bc_2017c),IF(RIGHT($A21,1)="0",SUMIF(BC[],MID($A21,1,3)&amp;"*",bc_2017c),SUMIF(BC[],$A21,bc_2017c))))</f>
        <v>5558290.5499999998</v>
      </c>
      <c r="E21" s="376">
        <f ca="1">-IF(RIGHT($A21,3)="000",SUMIF(BC[],MID($A21,1,1)&amp;"*",bc_2017a),IF(RIGHT($A21,2)="00",SUMIF(BC[],MID($A21,1,2)&amp;"*",bc_2017a),IF(RIGHT($A21,1)="0",SUMIF(BC[],MID($A21,1,3)&amp;"*",bc_2017a),SUMIF(BC[],$A21,bc_2017a))))</f>
        <v>5558167.6799999997</v>
      </c>
      <c r="F21" s="376">
        <f ca="1">IF(RIGHT($A21,3)="000",SUMIF(BC[],MID($A21,1,1)&amp;"*",bc_2017),IF(RIGHT($A21,2)="00",SUMIF(BC[],MID($A21,1,2)&amp;"*",bc_2017),IF(RIGHT($A21,1)="0",SUMIF(BC[],MID($A21,1,3)&amp;"*",bc_2017),SUMIF(BC[],$A21,bc_2017))))</f>
        <v>19632.43</v>
      </c>
      <c r="G21" s="376">
        <f t="shared" ca="1" si="0"/>
        <v>122.86999999999898</v>
      </c>
    </row>
    <row r="22" spans="1:7" ht="22.5">
      <c r="A22" s="182">
        <v>1131</v>
      </c>
      <c r="B22" s="159" t="s">
        <v>414</v>
      </c>
      <c r="C22" s="377">
        <f ca="1">IF(RIGHT($A22,3)="000",SUMIF(BC[],MID($A22,1,1)&amp;"*",bc_2016),IF(RIGHT($A22,2)="00",SUMIF(BC[],MID($A22,1,2)&amp;"*",bc_2016),IF(RIGHT($A22,1)="0",SUMIF(BC[],MID($A22,1,3)&amp;"*",bc_2016),SUMIF(BC[],$A22,bc_2016))))</f>
        <v>19509.560000000001</v>
      </c>
      <c r="D22" s="377">
        <f ca="1">IF(RIGHT($A22,3)="000",SUMIF(BC[],MID($A22,1,1)&amp;"*",bc_2017c),IF(RIGHT($A22,2)="00",SUMIF(BC[],MID($A22,1,2)&amp;"*",bc_2017c),IF(RIGHT($A22,1)="0",SUMIF(BC[],MID($A22,1,3)&amp;"*",bc_2017c),SUMIF(BC[],$A22,bc_2017c))))</f>
        <v>5558290.5499999998</v>
      </c>
      <c r="E22" s="377">
        <f ca="1">-IF(RIGHT($A22,3)="000",SUMIF(BC[],MID($A22,1,1)&amp;"*",bc_2017a),IF(RIGHT($A22,2)="00",SUMIF(BC[],MID($A22,1,2)&amp;"*",bc_2017a),IF(RIGHT($A22,1)="0",SUMIF(BC[],MID($A22,1,3)&amp;"*",bc_2017a),SUMIF(BC[],$A22,bc_2017a))))</f>
        <v>5558167.6799999997</v>
      </c>
      <c r="F22" s="377">
        <f ca="1">IF(RIGHT($A22,3)="000",SUMIF(BC[],MID($A22,1,1)&amp;"*",bc_2017),IF(RIGHT($A22,2)="00",SUMIF(BC[],MID($A22,1,2)&amp;"*",bc_2017),IF(RIGHT($A22,1)="0",SUMIF(BC[],MID($A22,1,3)&amp;"*",bc_2017),SUMIF(BC[],$A22,bc_2017))))</f>
        <v>19632.43</v>
      </c>
      <c r="G22" s="376">
        <f t="shared" ca="1" si="0"/>
        <v>122.86999999999898</v>
      </c>
    </row>
    <row r="23" spans="1:7">
      <c r="A23" s="182">
        <v>1132</v>
      </c>
      <c r="B23" s="159" t="s">
        <v>415</v>
      </c>
      <c r="C23" s="377">
        <f ca="1">IF(RIGHT($A23,3)="000",SUMIF(BC[],MID($A23,1,1)&amp;"*",bc_2016),IF(RIGHT($A23,2)="00",SUMIF(BC[],MID($A23,1,2)&amp;"*",bc_2016),IF(RIGHT($A23,1)="0",SUMIF(BC[],MID($A23,1,3)&amp;"*",bc_2016),SUMIF(BC[],$A23,bc_2016))))</f>
        <v>0</v>
      </c>
      <c r="D23" s="377">
        <f ca="1">IF(RIGHT($A23,3)="000",SUMIF(BC[],MID($A23,1,1)&amp;"*",bc_2017c),IF(RIGHT($A23,2)="00",SUMIF(BC[],MID($A23,1,2)&amp;"*",bc_2017c),IF(RIGHT($A23,1)="0",SUMIF(BC[],MID($A23,1,3)&amp;"*",bc_2017c),SUMIF(BC[],$A23,bc_2017c))))</f>
        <v>0</v>
      </c>
      <c r="E23" s="377">
        <f ca="1">-IF(RIGHT($A23,3)="000",SUMIF(BC[],MID($A23,1,1)&amp;"*",bc_2017a),IF(RIGHT($A23,2)="00",SUMIF(BC[],MID($A23,1,2)&amp;"*",bc_2017a),IF(RIGHT($A23,1)="0",SUMIF(BC[],MID($A23,1,3)&amp;"*",bc_2017a),SUMIF(BC[],$A23,bc_2017a))))</f>
        <v>0</v>
      </c>
      <c r="F23" s="377">
        <f ca="1">IF(RIGHT($A23,3)="000",SUMIF(BC[],MID($A23,1,1)&amp;"*",bc_2017),IF(RIGHT($A23,2)="00",SUMIF(BC[],MID($A23,1,2)&amp;"*",bc_2017),IF(RIGHT($A23,1)="0",SUMIF(BC[],MID($A23,1,3)&amp;"*",bc_2017),SUMIF(BC[],$A23,bc_2017))))</f>
        <v>0</v>
      </c>
      <c r="G23" s="376">
        <f t="shared" ca="1" si="0"/>
        <v>0</v>
      </c>
    </row>
    <row r="24" spans="1:7">
      <c r="A24" s="182">
        <v>1133</v>
      </c>
      <c r="B24" s="159" t="s">
        <v>416</v>
      </c>
      <c r="C24" s="377">
        <f ca="1">IF(RIGHT($A24,3)="000",SUMIF(BC[],MID($A24,1,1)&amp;"*",bc_2016),IF(RIGHT($A24,2)="00",SUMIF(BC[],MID($A24,1,2)&amp;"*",bc_2016),IF(RIGHT($A24,1)="0",SUMIF(BC[],MID($A24,1,3)&amp;"*",bc_2016),SUMIF(BC[],$A24,bc_2016))))</f>
        <v>0</v>
      </c>
      <c r="D24" s="377">
        <f ca="1">IF(RIGHT($A24,3)="000",SUMIF(BC[],MID($A24,1,1)&amp;"*",bc_2017c),IF(RIGHT($A24,2)="00",SUMIF(BC[],MID($A24,1,2)&amp;"*",bc_2017c),IF(RIGHT($A24,1)="0",SUMIF(BC[],MID($A24,1,3)&amp;"*",bc_2017c),SUMIF(BC[],$A24,bc_2017c))))</f>
        <v>0</v>
      </c>
      <c r="E24" s="377">
        <f ca="1">-IF(RIGHT($A24,3)="000",SUMIF(BC[],MID($A24,1,1)&amp;"*",bc_2017a),IF(RIGHT($A24,2)="00",SUMIF(BC[],MID($A24,1,2)&amp;"*",bc_2017a),IF(RIGHT($A24,1)="0",SUMIF(BC[],MID($A24,1,3)&amp;"*",bc_2017a),SUMIF(BC[],$A24,bc_2017a))))</f>
        <v>0</v>
      </c>
      <c r="F24" s="377">
        <f ca="1">IF(RIGHT($A24,3)="000",SUMIF(BC[],MID($A24,1,1)&amp;"*",bc_2017),IF(RIGHT($A24,2)="00",SUMIF(BC[],MID($A24,1,2)&amp;"*",bc_2017),IF(RIGHT($A24,1)="0",SUMIF(BC[],MID($A24,1,3)&amp;"*",bc_2017),SUMIF(BC[],$A24,bc_2017))))</f>
        <v>0</v>
      </c>
      <c r="G24" s="376">
        <f t="shared" ca="1" si="0"/>
        <v>0</v>
      </c>
    </row>
    <row r="25" spans="1:7">
      <c r="A25" s="182">
        <v>1134</v>
      </c>
      <c r="B25" s="159" t="s">
        <v>417</v>
      </c>
      <c r="C25" s="377">
        <f ca="1">IF(RIGHT($A25,3)="000",SUMIF(BC[],MID($A25,1,1)&amp;"*",bc_2016),IF(RIGHT($A25,2)="00",SUMIF(BC[],MID($A25,1,2)&amp;"*",bc_2016),IF(RIGHT($A25,1)="0",SUMIF(BC[],MID($A25,1,3)&amp;"*",bc_2016),SUMIF(BC[],$A25,bc_2016))))</f>
        <v>0</v>
      </c>
      <c r="D25" s="377">
        <f ca="1">IF(RIGHT($A25,3)="000",SUMIF(BC[],MID($A25,1,1)&amp;"*",bc_2017c),IF(RIGHT($A25,2)="00",SUMIF(BC[],MID($A25,1,2)&amp;"*",bc_2017c),IF(RIGHT($A25,1)="0",SUMIF(BC[],MID($A25,1,3)&amp;"*",bc_2017c),SUMIF(BC[],$A25,bc_2017c))))</f>
        <v>0</v>
      </c>
      <c r="E25" s="377">
        <f ca="1">-IF(RIGHT($A25,3)="000",SUMIF(BC[],MID($A25,1,1)&amp;"*",bc_2017a),IF(RIGHT($A25,2)="00",SUMIF(BC[],MID($A25,1,2)&amp;"*",bc_2017a),IF(RIGHT($A25,1)="0",SUMIF(BC[],MID($A25,1,3)&amp;"*",bc_2017a),SUMIF(BC[],$A25,bc_2017a))))</f>
        <v>0</v>
      </c>
      <c r="F25" s="377">
        <f ca="1">IF(RIGHT($A25,3)="000",SUMIF(BC[],MID($A25,1,1)&amp;"*",bc_2017),IF(RIGHT($A25,2)="00",SUMIF(BC[],MID($A25,1,2)&amp;"*",bc_2017),IF(RIGHT($A25,1)="0",SUMIF(BC[],MID($A25,1,3)&amp;"*",bc_2017),SUMIF(BC[],$A25,bc_2017))))</f>
        <v>0</v>
      </c>
      <c r="G25" s="376">
        <f t="shared" ca="1" si="0"/>
        <v>0</v>
      </c>
    </row>
    <row r="26" spans="1:7">
      <c r="A26" s="182">
        <v>1139</v>
      </c>
      <c r="B26" s="159" t="s">
        <v>418</v>
      </c>
      <c r="C26" s="377">
        <f ca="1">IF(RIGHT($A26,3)="000",SUMIF(BC[],MID($A26,1,1)&amp;"*",bc_2016),IF(RIGHT($A26,2)="00",SUMIF(BC[],MID($A26,1,2)&amp;"*",bc_2016),IF(RIGHT($A26,1)="0",SUMIF(BC[],MID($A26,1,3)&amp;"*",bc_2016),SUMIF(BC[],$A26,bc_2016))))</f>
        <v>0</v>
      </c>
      <c r="D26" s="377">
        <f ca="1">IF(RIGHT($A26,3)="000",SUMIF(BC[],MID($A26,1,1)&amp;"*",bc_2017c),IF(RIGHT($A26,2)="00",SUMIF(BC[],MID($A26,1,2)&amp;"*",bc_2017c),IF(RIGHT($A26,1)="0",SUMIF(BC[],MID($A26,1,3)&amp;"*",bc_2017c),SUMIF(BC[],$A26,bc_2017c))))</f>
        <v>0</v>
      </c>
      <c r="E26" s="377">
        <f ca="1">-IF(RIGHT($A26,3)="000",SUMIF(BC[],MID($A26,1,1)&amp;"*",bc_2017a),IF(RIGHT($A26,2)="00",SUMIF(BC[],MID($A26,1,2)&amp;"*",bc_2017a),IF(RIGHT($A26,1)="0",SUMIF(BC[],MID($A26,1,3)&amp;"*",bc_2017a),SUMIF(BC[],$A26,bc_2017a))))</f>
        <v>0</v>
      </c>
      <c r="F26" s="377">
        <f ca="1">IF(RIGHT($A26,3)="000",SUMIF(BC[],MID($A26,1,1)&amp;"*",bc_2017),IF(RIGHT($A26,2)="00",SUMIF(BC[],MID($A26,1,2)&amp;"*",bc_2017),IF(RIGHT($A26,1)="0",SUMIF(BC[],MID($A26,1,3)&amp;"*",bc_2017),SUMIF(BC[],$A26,bc_2017))))</f>
        <v>0</v>
      </c>
      <c r="G26" s="376">
        <f t="shared" ca="1" si="0"/>
        <v>0</v>
      </c>
    </row>
    <row r="27" spans="1:7">
      <c r="A27" s="180">
        <v>1140</v>
      </c>
      <c r="B27" s="156" t="s">
        <v>9</v>
      </c>
      <c r="C27" s="376">
        <f ca="1">IF(RIGHT($A27,3)="000",SUMIF(BC[],MID($A27,1,1)&amp;"*",bc_2016),IF(RIGHT($A27,2)="00",SUMIF(BC[],MID($A27,1,2)&amp;"*",bc_2016),IF(RIGHT($A27,1)="0",SUMIF(BC[],MID($A27,1,3)&amp;"*",bc_2016),SUMIF(BC[],$A27,bc_2016))))</f>
        <v>0</v>
      </c>
      <c r="D27" s="376">
        <f ca="1">IF(RIGHT($A27,3)="000",SUMIF(BC[],MID($A27,1,1)&amp;"*",bc_2017c),IF(RIGHT($A27,2)="00",SUMIF(BC[],MID($A27,1,2)&amp;"*",bc_2017c),IF(RIGHT($A27,1)="0",SUMIF(BC[],MID($A27,1,3)&amp;"*",bc_2017c),SUMIF(BC[],$A27,bc_2017c))))</f>
        <v>0</v>
      </c>
      <c r="E27" s="376">
        <f ca="1">-IF(RIGHT($A27,3)="000",SUMIF(BC[],MID($A27,1,1)&amp;"*",bc_2017a),IF(RIGHT($A27,2)="00",SUMIF(BC[],MID($A27,1,2)&amp;"*",bc_2017a),IF(RIGHT($A27,1)="0",SUMIF(BC[],MID($A27,1,3)&amp;"*",bc_2017a),SUMIF(BC[],$A27,bc_2017a))))</f>
        <v>0</v>
      </c>
      <c r="F27" s="376">
        <f ca="1">IF(RIGHT($A27,3)="000",SUMIF(BC[],MID($A27,1,1)&amp;"*",bc_2017),IF(RIGHT($A27,2)="00",SUMIF(BC[],MID($A27,1,2)&amp;"*",bc_2017),IF(RIGHT($A27,1)="0",SUMIF(BC[],MID($A27,1,3)&amp;"*",bc_2017),SUMIF(BC[],$A27,bc_2017))))</f>
        <v>0</v>
      </c>
      <c r="G27" s="376">
        <f t="shared" ca="1" si="0"/>
        <v>0</v>
      </c>
    </row>
    <row r="28" spans="1:7">
      <c r="A28" s="182">
        <v>1141</v>
      </c>
      <c r="B28" s="159" t="s">
        <v>419</v>
      </c>
      <c r="C28" s="378">
        <f ca="1">IF(RIGHT($A28,3)="000",SUMIF(BC[],MID($A28,1,1)&amp;"*",bc_2016),IF(RIGHT($A28,2)="00",SUMIF(BC[],MID($A28,1,2)&amp;"*",bc_2016),IF(RIGHT($A28,1)="0",SUMIF(BC[],MID($A28,1,3)&amp;"*",bc_2016),SUMIF(BC[],$A28,bc_2016))))</f>
        <v>0</v>
      </c>
      <c r="D28" s="378">
        <f ca="1">IF(RIGHT($A28,3)="000",SUMIF(BC[],MID($A28,1,1)&amp;"*",bc_2017c),IF(RIGHT($A28,2)="00",SUMIF(BC[],MID($A28,1,2)&amp;"*",bc_2017c),IF(RIGHT($A28,1)="0",SUMIF(BC[],MID($A28,1,3)&amp;"*",bc_2017c),SUMIF(BC[],$A28,bc_2017c))))</f>
        <v>0</v>
      </c>
      <c r="E28" s="378">
        <f ca="1">-IF(RIGHT($A28,3)="000",SUMIF(BC[],MID($A28,1,1)&amp;"*",bc_2017a),IF(RIGHT($A28,2)="00",SUMIF(BC[],MID($A28,1,2)&amp;"*",bc_2017a),IF(RIGHT($A28,1)="0",SUMIF(BC[],MID($A28,1,3)&amp;"*",bc_2017a),SUMIF(BC[],$A28,bc_2017a))))</f>
        <v>0</v>
      </c>
      <c r="F28" s="378">
        <f ca="1">IF(RIGHT($A28,3)="000",SUMIF(BC[],MID($A28,1,1)&amp;"*",bc_2017),IF(RIGHT($A28,2)="00",SUMIF(BC[],MID($A28,1,2)&amp;"*",bc_2017),IF(RIGHT($A28,1)="0",SUMIF(BC[],MID($A28,1,3)&amp;"*",bc_2017),SUMIF(BC[],$A28,bc_2017))))</f>
        <v>0</v>
      </c>
      <c r="G28" s="376">
        <f t="shared" ca="1" si="0"/>
        <v>0</v>
      </c>
    </row>
    <row r="29" spans="1:7">
      <c r="A29" s="182">
        <v>1142</v>
      </c>
      <c r="B29" s="159" t="s">
        <v>420</v>
      </c>
      <c r="C29" s="378">
        <f ca="1">IF(RIGHT($A29,3)="000",SUMIF(BC[],MID($A29,1,1)&amp;"*",bc_2016),IF(RIGHT($A29,2)="00",SUMIF(BC[],MID($A29,1,2)&amp;"*",bc_2016),IF(RIGHT($A29,1)="0",SUMIF(BC[],MID($A29,1,3)&amp;"*",bc_2016),SUMIF(BC[],$A29,bc_2016))))</f>
        <v>0</v>
      </c>
      <c r="D29" s="378">
        <f ca="1">IF(RIGHT($A29,3)="000",SUMIF(BC[],MID($A29,1,1)&amp;"*",bc_2017c),IF(RIGHT($A29,2)="00",SUMIF(BC[],MID($A29,1,2)&amp;"*",bc_2017c),IF(RIGHT($A29,1)="0",SUMIF(BC[],MID($A29,1,3)&amp;"*",bc_2017c),SUMIF(BC[],$A29,bc_2017c))))</f>
        <v>0</v>
      </c>
      <c r="E29" s="378">
        <f ca="1">-IF(RIGHT($A29,3)="000",SUMIF(BC[],MID($A29,1,1)&amp;"*",bc_2017a),IF(RIGHT($A29,2)="00",SUMIF(BC[],MID($A29,1,2)&amp;"*",bc_2017a),IF(RIGHT($A29,1)="0",SUMIF(BC[],MID($A29,1,3)&amp;"*",bc_2017a),SUMIF(BC[],$A29,bc_2017a))))</f>
        <v>0</v>
      </c>
      <c r="F29" s="378">
        <f ca="1">IF(RIGHT($A29,3)="000",SUMIF(BC[],MID($A29,1,1)&amp;"*",bc_2017),IF(RIGHT($A29,2)="00",SUMIF(BC[],MID($A29,1,2)&amp;"*",bc_2017),IF(RIGHT($A29,1)="0",SUMIF(BC[],MID($A29,1,3)&amp;"*",bc_2017),SUMIF(BC[],$A29,bc_2017))))</f>
        <v>0</v>
      </c>
      <c r="G29" s="376">
        <f t="shared" ca="1" si="0"/>
        <v>0</v>
      </c>
    </row>
    <row r="30" spans="1:7">
      <c r="A30" s="182">
        <v>1143</v>
      </c>
      <c r="B30" s="159" t="s">
        <v>421</v>
      </c>
      <c r="C30" s="378">
        <f ca="1">IF(RIGHT($A30,3)="000",SUMIF(BC[],MID($A30,1,1)&amp;"*",bc_2016),IF(RIGHT($A30,2)="00",SUMIF(BC[],MID($A30,1,2)&amp;"*",bc_2016),IF(RIGHT($A30,1)="0",SUMIF(BC[],MID($A30,1,3)&amp;"*",bc_2016),SUMIF(BC[],$A30,bc_2016))))</f>
        <v>0</v>
      </c>
      <c r="D30" s="378">
        <f ca="1">IF(RIGHT($A30,3)="000",SUMIF(BC[],MID($A30,1,1)&amp;"*",bc_2017c),IF(RIGHT($A30,2)="00",SUMIF(BC[],MID($A30,1,2)&amp;"*",bc_2017c),IF(RIGHT($A30,1)="0",SUMIF(BC[],MID($A30,1,3)&amp;"*",bc_2017c),SUMIF(BC[],$A30,bc_2017c))))</f>
        <v>0</v>
      </c>
      <c r="E30" s="378">
        <f ca="1">-IF(RIGHT($A30,3)="000",SUMIF(BC[],MID($A30,1,1)&amp;"*",bc_2017a),IF(RIGHT($A30,2)="00",SUMIF(BC[],MID($A30,1,2)&amp;"*",bc_2017a),IF(RIGHT($A30,1)="0",SUMIF(BC[],MID($A30,1,3)&amp;"*",bc_2017a),SUMIF(BC[],$A30,bc_2017a))))</f>
        <v>0</v>
      </c>
      <c r="F30" s="378">
        <f ca="1">IF(RIGHT($A30,3)="000",SUMIF(BC[],MID($A30,1,1)&amp;"*",bc_2017),IF(RIGHT($A30,2)="00",SUMIF(BC[],MID($A30,1,2)&amp;"*",bc_2017),IF(RIGHT($A30,1)="0",SUMIF(BC[],MID($A30,1,3)&amp;"*",bc_2017),SUMIF(BC[],$A30,bc_2017))))</f>
        <v>0</v>
      </c>
      <c r="G30" s="376">
        <f t="shared" ca="1" si="0"/>
        <v>0</v>
      </c>
    </row>
    <row r="31" spans="1:7">
      <c r="A31" s="182">
        <v>1144</v>
      </c>
      <c r="B31" s="159" t="s">
        <v>422</v>
      </c>
      <c r="C31" s="378">
        <f ca="1">IF(RIGHT($A31,3)="000",SUMIF(BC[],MID($A31,1,1)&amp;"*",bc_2016),IF(RIGHT($A31,2)="00",SUMIF(BC[],MID($A31,1,2)&amp;"*",bc_2016),IF(RIGHT($A31,1)="0",SUMIF(BC[],MID($A31,1,3)&amp;"*",bc_2016),SUMIF(BC[],$A31,bc_2016))))</f>
        <v>0</v>
      </c>
      <c r="D31" s="378">
        <f ca="1">IF(RIGHT($A31,3)="000",SUMIF(BC[],MID($A31,1,1)&amp;"*",bc_2017c),IF(RIGHT($A31,2)="00",SUMIF(BC[],MID($A31,1,2)&amp;"*",bc_2017c),IF(RIGHT($A31,1)="0",SUMIF(BC[],MID($A31,1,3)&amp;"*",bc_2017c),SUMIF(BC[],$A31,bc_2017c))))</f>
        <v>0</v>
      </c>
      <c r="E31" s="378">
        <f ca="1">-IF(RIGHT($A31,3)="000",SUMIF(BC[],MID($A31,1,1)&amp;"*",bc_2017a),IF(RIGHT($A31,2)="00",SUMIF(BC[],MID($A31,1,2)&amp;"*",bc_2017a),IF(RIGHT($A31,1)="0",SUMIF(BC[],MID($A31,1,3)&amp;"*",bc_2017a),SUMIF(BC[],$A31,bc_2017a))))</f>
        <v>0</v>
      </c>
      <c r="F31" s="378">
        <f ca="1">IF(RIGHT($A31,3)="000",SUMIF(BC[],MID($A31,1,1)&amp;"*",bc_2017),IF(RIGHT($A31,2)="00",SUMIF(BC[],MID($A31,1,2)&amp;"*",bc_2017),IF(RIGHT($A31,1)="0",SUMIF(BC[],MID($A31,1,3)&amp;"*",bc_2017),SUMIF(BC[],$A31,bc_2017))))</f>
        <v>0</v>
      </c>
      <c r="G31" s="376">
        <f t="shared" ca="1" si="0"/>
        <v>0</v>
      </c>
    </row>
    <row r="32" spans="1:7">
      <c r="A32" s="182">
        <v>1145</v>
      </c>
      <c r="B32" s="159" t="s">
        <v>423</v>
      </c>
      <c r="C32" s="378">
        <f ca="1">IF(RIGHT($A32,3)="000",SUMIF(BC[],MID($A32,1,1)&amp;"*",bc_2016),IF(RIGHT($A32,2)="00",SUMIF(BC[],MID($A32,1,2)&amp;"*",bc_2016),IF(RIGHT($A32,1)="0",SUMIF(BC[],MID($A32,1,3)&amp;"*",bc_2016),SUMIF(BC[],$A32,bc_2016))))</f>
        <v>0</v>
      </c>
      <c r="D32" s="378">
        <f ca="1">IF(RIGHT($A32,3)="000",SUMIF(BC[],MID($A32,1,1)&amp;"*",bc_2017c),IF(RIGHT($A32,2)="00",SUMIF(BC[],MID($A32,1,2)&amp;"*",bc_2017c),IF(RIGHT($A32,1)="0",SUMIF(BC[],MID($A32,1,3)&amp;"*",bc_2017c),SUMIF(BC[],$A32,bc_2017c))))</f>
        <v>0</v>
      </c>
      <c r="E32" s="378">
        <f ca="1">-IF(RIGHT($A32,3)="000",SUMIF(BC[],MID($A32,1,1)&amp;"*",bc_2017a),IF(RIGHT($A32,2)="00",SUMIF(BC[],MID($A32,1,2)&amp;"*",bc_2017a),IF(RIGHT($A32,1)="0",SUMIF(BC[],MID($A32,1,3)&amp;"*",bc_2017a),SUMIF(BC[],$A32,bc_2017a))))</f>
        <v>0</v>
      </c>
      <c r="F32" s="378">
        <f ca="1">IF(RIGHT($A32,3)="000",SUMIF(BC[],MID($A32,1,1)&amp;"*",bc_2017),IF(RIGHT($A32,2)="00",SUMIF(BC[],MID($A32,1,2)&amp;"*",bc_2017),IF(RIGHT($A32,1)="0",SUMIF(BC[],MID($A32,1,3)&amp;"*",bc_2017),SUMIF(BC[],$A32,bc_2017))))</f>
        <v>0</v>
      </c>
      <c r="G32" s="376">
        <f t="shared" ca="1" si="0"/>
        <v>0</v>
      </c>
    </row>
    <row r="33" spans="1:7">
      <c r="A33" s="180">
        <v>1150</v>
      </c>
      <c r="B33" s="156" t="s">
        <v>11</v>
      </c>
      <c r="C33" s="376">
        <f ca="1">IF(RIGHT($A33,3)="000",SUMIF(BC[],MID($A33,1,1)&amp;"*",bc_2016),IF(RIGHT($A33,2)="00",SUMIF(BC[],MID($A33,1,2)&amp;"*",bc_2016),IF(RIGHT($A33,1)="0",SUMIF(BC[],MID($A33,1,3)&amp;"*",bc_2016),SUMIF(BC[],$A33,bc_2016))))</f>
        <v>0</v>
      </c>
      <c r="D33" s="376">
        <f ca="1">IF(RIGHT($A33,3)="000",SUMIF(BC[],MID($A33,1,1)&amp;"*",bc_2017c),IF(RIGHT($A33,2)="00",SUMIF(BC[],MID($A33,1,2)&amp;"*",bc_2017c),IF(RIGHT($A33,1)="0",SUMIF(BC[],MID($A33,1,3)&amp;"*",bc_2017c),SUMIF(BC[],$A33,bc_2017c))))</f>
        <v>0</v>
      </c>
      <c r="E33" s="376">
        <f ca="1">-IF(RIGHT($A33,3)="000",SUMIF(BC[],MID($A33,1,1)&amp;"*",bc_2017a),IF(RIGHT($A33,2)="00",SUMIF(BC[],MID($A33,1,2)&amp;"*",bc_2017a),IF(RIGHT($A33,1)="0",SUMIF(BC[],MID($A33,1,3)&amp;"*",bc_2017a),SUMIF(BC[],$A33,bc_2017a))))</f>
        <v>0</v>
      </c>
      <c r="F33" s="376">
        <f ca="1">IF(RIGHT($A33,3)="000",SUMIF(BC[],MID($A33,1,1)&amp;"*",bc_2017),IF(RIGHT($A33,2)="00",SUMIF(BC[],MID($A33,1,2)&amp;"*",bc_2017),IF(RIGHT($A33,1)="0",SUMIF(BC[],MID($A33,1,3)&amp;"*",bc_2017),SUMIF(BC[],$A33,bc_2017))))</f>
        <v>0</v>
      </c>
      <c r="G33" s="376">
        <f t="shared" ca="1" si="0"/>
        <v>0</v>
      </c>
    </row>
    <row r="34" spans="1:7">
      <c r="A34" s="182">
        <v>1151</v>
      </c>
      <c r="B34" s="159" t="s">
        <v>424</v>
      </c>
      <c r="C34" s="378">
        <f ca="1">IF(RIGHT($A34,3)="000",SUMIF(BC[],MID($A34,1,1)&amp;"*",bc_2016),IF(RIGHT($A34,2)="00",SUMIF(BC[],MID($A34,1,2)&amp;"*",bc_2016),IF(RIGHT($A34,1)="0",SUMIF(BC[],MID($A34,1,3)&amp;"*",bc_2016),SUMIF(BC[],$A34,bc_2016))))</f>
        <v>0</v>
      </c>
      <c r="D34" s="378">
        <f ca="1">IF(RIGHT($A34,3)="000",SUMIF(BC[],MID($A34,1,1)&amp;"*",bc_2017c),IF(RIGHT($A34,2)="00",SUMIF(BC[],MID($A34,1,2)&amp;"*",bc_2017c),IF(RIGHT($A34,1)="0",SUMIF(BC[],MID($A34,1,3)&amp;"*",bc_2017c),SUMIF(BC[],$A34,bc_2017c))))</f>
        <v>0</v>
      </c>
      <c r="E34" s="378">
        <f ca="1">-IF(RIGHT($A34,3)="000",SUMIF(BC[],MID($A34,1,1)&amp;"*",bc_2017a),IF(RIGHT($A34,2)="00",SUMIF(BC[],MID($A34,1,2)&amp;"*",bc_2017a),IF(RIGHT($A34,1)="0",SUMIF(BC[],MID($A34,1,3)&amp;"*",bc_2017a),SUMIF(BC[],$A34,bc_2017a))))</f>
        <v>0</v>
      </c>
      <c r="F34" s="378">
        <f ca="1">IF(RIGHT($A34,3)="000",SUMIF(BC[],MID($A34,1,1)&amp;"*",bc_2017),IF(RIGHT($A34,2)="00",SUMIF(BC[],MID($A34,1,2)&amp;"*",bc_2017),IF(RIGHT($A34,1)="0",SUMIF(BC[],MID($A34,1,3)&amp;"*",bc_2017),SUMIF(BC[],$A34,bc_2017))))</f>
        <v>0</v>
      </c>
      <c r="G34" s="376">
        <f t="shared" ca="1" si="0"/>
        <v>0</v>
      </c>
    </row>
    <row r="35" spans="1:7">
      <c r="A35" s="180">
        <v>1160</v>
      </c>
      <c r="B35" s="156" t="s">
        <v>12</v>
      </c>
      <c r="C35" s="376">
        <f ca="1">IF(RIGHT($A35,3)="000",SUMIF(BC[],MID($A35,1,1)&amp;"*",bc_2016),IF(RIGHT($A35,2)="00",SUMIF(BC[],MID($A35,1,2)&amp;"*",bc_2016),IF(RIGHT($A35,1)="0",SUMIF(BC[],MID($A35,1,3)&amp;"*",bc_2016),SUMIF(BC[],$A35,bc_2016))))</f>
        <v>0</v>
      </c>
      <c r="D35" s="376">
        <f ca="1">IF(RIGHT($A35,3)="000",SUMIF(BC[],MID($A35,1,1)&amp;"*",bc_2017c),IF(RIGHT($A35,2)="00",SUMIF(BC[],MID($A35,1,2)&amp;"*",bc_2017c),IF(RIGHT($A35,1)="0",SUMIF(BC[],MID($A35,1,3)&amp;"*",bc_2017c),SUMIF(BC[],$A35,bc_2017c))))</f>
        <v>0</v>
      </c>
      <c r="E35" s="376">
        <f ca="1">-IF(RIGHT($A35,3)="000",SUMIF(BC[],MID($A35,1,1)&amp;"*",bc_2017a),IF(RIGHT($A35,2)="00",SUMIF(BC[],MID($A35,1,2)&amp;"*",bc_2017a),IF(RIGHT($A35,1)="0",SUMIF(BC[],MID($A35,1,3)&amp;"*",bc_2017a),SUMIF(BC[],$A35,bc_2017a))))</f>
        <v>0</v>
      </c>
      <c r="F35" s="376">
        <f ca="1">IF(RIGHT($A35,3)="000",SUMIF(BC[],MID($A35,1,1)&amp;"*",bc_2017),IF(RIGHT($A35,2)="00",SUMIF(BC[],MID($A35,1,2)&amp;"*",bc_2017),IF(RIGHT($A35,1)="0",SUMIF(BC[],MID($A35,1,3)&amp;"*",bc_2017),SUMIF(BC[],$A35,bc_2017))))</f>
        <v>0</v>
      </c>
      <c r="G35" s="376">
        <f t="shared" ca="1" si="0"/>
        <v>0</v>
      </c>
    </row>
    <row r="36" spans="1:7">
      <c r="A36" s="182">
        <v>1161</v>
      </c>
      <c r="B36" s="159" t="s">
        <v>425</v>
      </c>
      <c r="C36" s="378">
        <f ca="1">IF(RIGHT($A36,3)="000",SUMIF(BC[],MID($A36,1,1)&amp;"*",bc_2016),IF(RIGHT($A36,2)="00",SUMIF(BC[],MID($A36,1,2)&amp;"*",bc_2016),IF(RIGHT($A36,1)="0",SUMIF(BC[],MID($A36,1,3)&amp;"*",bc_2016),SUMIF(BC[],$A36,bc_2016))))</f>
        <v>0</v>
      </c>
      <c r="D36" s="378">
        <f ca="1">IF(RIGHT($A36,3)="000",SUMIF(BC[],MID($A36,1,1)&amp;"*",bc_2017c),IF(RIGHT($A36,2)="00",SUMIF(BC[],MID($A36,1,2)&amp;"*",bc_2017c),IF(RIGHT($A36,1)="0",SUMIF(BC[],MID($A36,1,3)&amp;"*",bc_2017c),SUMIF(BC[],$A36,bc_2017c))))</f>
        <v>0</v>
      </c>
      <c r="E36" s="378">
        <f ca="1">-IF(RIGHT($A36,3)="000",SUMIF(BC[],MID($A36,1,1)&amp;"*",bc_2017a),IF(RIGHT($A36,2)="00",SUMIF(BC[],MID($A36,1,2)&amp;"*",bc_2017a),IF(RIGHT($A36,1)="0",SUMIF(BC[],MID($A36,1,3)&amp;"*",bc_2017a),SUMIF(BC[],$A36,bc_2017a))))</f>
        <v>0</v>
      </c>
      <c r="F36" s="378">
        <f ca="1">IF(RIGHT($A36,3)="000",SUMIF(BC[],MID($A36,1,1)&amp;"*",bc_2017),IF(RIGHT($A36,2)="00",SUMIF(BC[],MID($A36,1,2)&amp;"*",bc_2017),IF(RIGHT($A36,1)="0",SUMIF(BC[],MID($A36,1,3)&amp;"*",bc_2017),SUMIF(BC[],$A36,bc_2017))))</f>
        <v>0</v>
      </c>
      <c r="G36" s="376">
        <f t="shared" ca="1" si="0"/>
        <v>0</v>
      </c>
    </row>
    <row r="37" spans="1:7">
      <c r="A37" s="182">
        <v>1162</v>
      </c>
      <c r="B37" s="159" t="s">
        <v>426</v>
      </c>
      <c r="C37" s="378">
        <f ca="1">IF(RIGHT($A37,3)="000",SUMIF(BC[],MID($A37,1,1)&amp;"*",bc_2016),IF(RIGHT($A37,2)="00",SUMIF(BC[],MID($A37,1,2)&amp;"*",bc_2016),IF(RIGHT($A37,1)="0",SUMIF(BC[],MID($A37,1,3)&amp;"*",bc_2016),SUMIF(BC[],$A37,bc_2016))))</f>
        <v>0</v>
      </c>
      <c r="D37" s="378">
        <f ca="1">IF(RIGHT($A37,3)="000",SUMIF(BC[],MID($A37,1,1)&amp;"*",bc_2017c),IF(RIGHT($A37,2)="00",SUMIF(BC[],MID($A37,1,2)&amp;"*",bc_2017c),IF(RIGHT($A37,1)="0",SUMIF(BC[],MID($A37,1,3)&amp;"*",bc_2017c),SUMIF(BC[],$A37,bc_2017c))))</f>
        <v>0</v>
      </c>
      <c r="E37" s="378">
        <f ca="1">-IF(RIGHT($A37,3)="000",SUMIF(BC[],MID($A37,1,1)&amp;"*",bc_2017a),IF(RIGHT($A37,2)="00",SUMIF(BC[],MID($A37,1,2)&amp;"*",bc_2017a),IF(RIGHT($A37,1)="0",SUMIF(BC[],MID($A37,1,3)&amp;"*",bc_2017a),SUMIF(BC[],$A37,bc_2017a))))</f>
        <v>0</v>
      </c>
      <c r="F37" s="378">
        <f ca="1">IF(RIGHT($A37,3)="000",SUMIF(BC[],MID($A37,1,1)&amp;"*",bc_2017),IF(RIGHT($A37,2)="00",SUMIF(BC[],MID($A37,1,2)&amp;"*",bc_2017),IF(RIGHT($A37,1)="0",SUMIF(BC[],MID($A37,1,3)&amp;"*",bc_2017),SUMIF(BC[],$A37,bc_2017))))</f>
        <v>0</v>
      </c>
      <c r="G37" s="376">
        <f t="shared" ca="1" si="0"/>
        <v>0</v>
      </c>
    </row>
    <row r="38" spans="1:7">
      <c r="A38" s="180">
        <v>1190</v>
      </c>
      <c r="B38" s="156" t="s">
        <v>13</v>
      </c>
      <c r="C38" s="376">
        <f ca="1">IF(RIGHT($A38,3)="000",SUMIF(BC[],MID($A38,1,1)&amp;"*",bc_2016),IF(RIGHT($A38,2)="00",SUMIF(BC[],MID($A38,1,2)&amp;"*",bc_2016),IF(RIGHT($A38,1)="0",SUMIF(BC[],MID($A38,1,3)&amp;"*",bc_2016),SUMIF(BC[],$A38,bc_2016))))</f>
        <v>0</v>
      </c>
      <c r="D38" s="376">
        <f ca="1">IF(RIGHT($A38,3)="000",SUMIF(BC[],MID($A38,1,1)&amp;"*",bc_2017c),IF(RIGHT($A38,2)="00",SUMIF(BC[],MID($A38,1,2)&amp;"*",bc_2017c),IF(RIGHT($A38,1)="0",SUMIF(BC[],MID($A38,1,3)&amp;"*",bc_2017c),SUMIF(BC[],$A38,bc_2017c))))</f>
        <v>0</v>
      </c>
      <c r="E38" s="376">
        <f ca="1">-IF(RIGHT($A38,3)="000",SUMIF(BC[],MID($A38,1,1)&amp;"*",bc_2017a),IF(RIGHT($A38,2)="00",SUMIF(BC[],MID($A38,1,2)&amp;"*",bc_2017a),IF(RIGHT($A38,1)="0",SUMIF(BC[],MID($A38,1,3)&amp;"*",bc_2017a),SUMIF(BC[],$A38,bc_2017a))))</f>
        <v>0</v>
      </c>
      <c r="F38" s="376">
        <f ca="1">IF(RIGHT($A38,3)="000",SUMIF(BC[],MID($A38,1,1)&amp;"*",bc_2017),IF(RIGHT($A38,2)="00",SUMIF(BC[],MID($A38,1,2)&amp;"*",bc_2017),IF(RIGHT($A38,1)="0",SUMIF(BC[],MID($A38,1,3)&amp;"*",bc_2017),SUMIF(BC[],$A38,bc_2017))))</f>
        <v>0</v>
      </c>
      <c r="G38" s="376">
        <f t="shared" ca="1" si="0"/>
        <v>0</v>
      </c>
    </row>
    <row r="39" spans="1:7">
      <c r="A39" s="182">
        <v>1191</v>
      </c>
      <c r="B39" s="159" t="s">
        <v>427</v>
      </c>
      <c r="C39" s="378">
        <f ca="1">IF(RIGHT($A39,3)="000",SUMIF(BC[],MID($A39,1,1)&amp;"*",bc_2016),IF(RIGHT($A39,2)="00",SUMIF(BC[],MID($A39,1,2)&amp;"*",bc_2016),IF(RIGHT($A39,1)="0",SUMIF(BC[],MID($A39,1,3)&amp;"*",bc_2016),SUMIF(BC[],$A39,bc_2016))))</f>
        <v>0</v>
      </c>
      <c r="D39" s="378">
        <f ca="1">IF(RIGHT($A39,3)="000",SUMIF(BC[],MID($A39,1,1)&amp;"*",bc_2017c),IF(RIGHT($A39,2)="00",SUMIF(BC[],MID($A39,1,2)&amp;"*",bc_2017c),IF(RIGHT($A39,1)="0",SUMIF(BC[],MID($A39,1,3)&amp;"*",bc_2017c),SUMIF(BC[],$A39,bc_2017c))))</f>
        <v>0</v>
      </c>
      <c r="E39" s="378">
        <f ca="1">-IF(RIGHT($A39,3)="000",SUMIF(BC[],MID($A39,1,1)&amp;"*",bc_2017a),IF(RIGHT($A39,2)="00",SUMIF(BC[],MID($A39,1,2)&amp;"*",bc_2017a),IF(RIGHT($A39,1)="0",SUMIF(BC[],MID($A39,1,3)&amp;"*",bc_2017a),SUMIF(BC[],$A39,bc_2017a))))</f>
        <v>0</v>
      </c>
      <c r="F39" s="378">
        <f ca="1">IF(RIGHT($A39,3)="000",SUMIF(BC[],MID($A39,1,1)&amp;"*",bc_2017),IF(RIGHT($A39,2)="00",SUMIF(BC[],MID($A39,1,2)&amp;"*",bc_2017),IF(RIGHT($A39,1)="0",SUMIF(BC[],MID($A39,1,3)&amp;"*",bc_2017),SUMIF(BC[],$A39,bc_2017))))</f>
        <v>0</v>
      </c>
      <c r="G39" s="376">
        <f t="shared" ca="1" si="0"/>
        <v>0</v>
      </c>
    </row>
    <row r="40" spans="1:7">
      <c r="A40" s="182">
        <v>1192</v>
      </c>
      <c r="B40" s="159" t="s">
        <v>428</v>
      </c>
      <c r="C40" s="378">
        <f ca="1">IF(RIGHT($A40,3)="000",SUMIF(BC[],MID($A40,1,1)&amp;"*",bc_2016),IF(RIGHT($A40,2)="00",SUMIF(BC[],MID($A40,1,2)&amp;"*",bc_2016),IF(RIGHT($A40,1)="0",SUMIF(BC[],MID($A40,1,3)&amp;"*",bc_2016),SUMIF(BC[],$A40,bc_2016))))</f>
        <v>0</v>
      </c>
      <c r="D40" s="378">
        <f ca="1">IF(RIGHT($A40,3)="000",SUMIF(BC[],MID($A40,1,1)&amp;"*",bc_2017c),IF(RIGHT($A40,2)="00",SUMIF(BC[],MID($A40,1,2)&amp;"*",bc_2017c),IF(RIGHT($A40,1)="0",SUMIF(BC[],MID($A40,1,3)&amp;"*",bc_2017c),SUMIF(BC[],$A40,bc_2017c))))</f>
        <v>0</v>
      </c>
      <c r="E40" s="378">
        <f ca="1">-IF(RIGHT($A40,3)="000",SUMIF(BC[],MID($A40,1,1)&amp;"*",bc_2017a),IF(RIGHT($A40,2)="00",SUMIF(BC[],MID($A40,1,2)&amp;"*",bc_2017a),IF(RIGHT($A40,1)="0",SUMIF(BC[],MID($A40,1,3)&amp;"*",bc_2017a),SUMIF(BC[],$A40,bc_2017a))))</f>
        <v>0</v>
      </c>
      <c r="F40" s="378">
        <f ca="1">IF(RIGHT($A40,3)="000",SUMIF(BC[],MID($A40,1,1)&amp;"*",bc_2017),IF(RIGHT($A40,2)="00",SUMIF(BC[],MID($A40,1,2)&amp;"*",bc_2017),IF(RIGHT($A40,1)="0",SUMIF(BC[],MID($A40,1,3)&amp;"*",bc_2017),SUMIF(BC[],$A40,bc_2017))))</f>
        <v>0</v>
      </c>
      <c r="G40" s="376">
        <f t="shared" ca="1" si="0"/>
        <v>0</v>
      </c>
    </row>
    <row r="41" spans="1:7">
      <c r="A41" s="182">
        <v>1193</v>
      </c>
      <c r="B41" s="159" t="s">
        <v>429</v>
      </c>
      <c r="C41" s="378">
        <f ca="1">IF(RIGHT($A41,3)="000",SUMIF(BC[],MID($A41,1,1)&amp;"*",bc_2016),IF(RIGHT($A41,2)="00",SUMIF(BC[],MID($A41,1,2)&amp;"*",bc_2016),IF(RIGHT($A41,1)="0",SUMIF(BC[],MID($A41,1,3)&amp;"*",bc_2016),SUMIF(BC[],$A41,bc_2016))))</f>
        <v>0</v>
      </c>
      <c r="D41" s="378">
        <f ca="1">IF(RIGHT($A41,3)="000",SUMIF(BC[],MID($A41,1,1)&amp;"*",bc_2017c),IF(RIGHT($A41,2)="00",SUMIF(BC[],MID($A41,1,2)&amp;"*",bc_2017c),IF(RIGHT($A41,1)="0",SUMIF(BC[],MID($A41,1,3)&amp;"*",bc_2017c),SUMIF(BC[],$A41,bc_2017c))))</f>
        <v>0</v>
      </c>
      <c r="E41" s="378">
        <f ca="1">-IF(RIGHT($A41,3)="000",SUMIF(BC[],MID($A41,1,1)&amp;"*",bc_2017a),IF(RIGHT($A41,2)="00",SUMIF(BC[],MID($A41,1,2)&amp;"*",bc_2017a),IF(RIGHT($A41,1)="0",SUMIF(BC[],MID($A41,1,3)&amp;"*",bc_2017a),SUMIF(BC[],$A41,bc_2017a))))</f>
        <v>0</v>
      </c>
      <c r="F41" s="378">
        <f ca="1">IF(RIGHT($A41,3)="000",SUMIF(BC[],MID($A41,1,1)&amp;"*",bc_2017),IF(RIGHT($A41,2)="00",SUMIF(BC[],MID($A41,1,2)&amp;"*",bc_2017),IF(RIGHT($A41,1)="0",SUMIF(BC[],MID($A41,1,3)&amp;"*",bc_2017),SUMIF(BC[],$A41,bc_2017))))</f>
        <v>0</v>
      </c>
      <c r="G41" s="376">
        <f t="shared" ref="G41:G42" ca="1" si="1">+F41-C41</f>
        <v>0</v>
      </c>
    </row>
    <row r="42" spans="1:7">
      <c r="A42" s="158">
        <v>1194</v>
      </c>
      <c r="B42" s="159" t="s">
        <v>823</v>
      </c>
      <c r="C42" s="378">
        <f ca="1">IF(RIGHT($A42,3)="000",SUMIF(BC[],MID($A42,1,1)&amp;"*",bc_2016),IF(RIGHT($A42,2)="00",SUMIF(BC[],MID($A42,1,2)&amp;"*",bc_2016),IF(RIGHT($A42,1)="0",SUMIF(BC[],MID($A42,1,3)&amp;"*",bc_2016),SUMIF(BC[],$A42,bc_2016))))</f>
        <v>0</v>
      </c>
      <c r="D42" s="378">
        <f ca="1">IF(RIGHT($A42,3)="000",SUMIF(BC[],MID($A42,1,1)&amp;"*",bc_2017c),IF(RIGHT($A42,2)="00",SUMIF(BC[],MID($A42,1,2)&amp;"*",bc_2017c),IF(RIGHT($A42,1)="0",SUMIF(BC[],MID($A42,1,3)&amp;"*",bc_2017c),SUMIF(BC[],$A42,bc_2017c))))</f>
        <v>0</v>
      </c>
      <c r="E42" s="378">
        <f ca="1">-IF(RIGHT($A42,3)="000",SUMIF(BC[],MID($A42,1,1)&amp;"*",bc_2017a),IF(RIGHT($A42,2)="00",SUMIF(BC[],MID($A42,1,2)&amp;"*",bc_2017a),IF(RIGHT($A42,1)="0",SUMIF(BC[],MID($A42,1,3)&amp;"*",bc_2017a),SUMIF(BC[],$A42,bc_2017a))))</f>
        <v>0</v>
      </c>
      <c r="F42" s="378">
        <f ca="1">IF(RIGHT($A42,3)="000",SUMIF(BC[],MID($A42,1,1)&amp;"*",bc_2017),IF(RIGHT($A42,2)="00",SUMIF(BC[],MID($A42,1,2)&amp;"*",bc_2017),IF(RIGHT($A42,1)="0",SUMIF(BC[],MID($A42,1,3)&amp;"*",bc_2017),SUMIF(BC[],$A42,bc_2017))))</f>
        <v>0</v>
      </c>
      <c r="G42" s="376">
        <f t="shared" ca="1" si="1"/>
        <v>0</v>
      </c>
    </row>
    <row r="43" spans="1:7">
      <c r="A43" s="180">
        <v>1200</v>
      </c>
      <c r="B43" s="156" t="s">
        <v>15</v>
      </c>
      <c r="C43" s="376">
        <f ca="1">IF(RIGHT($A43,3)="000",SUMIF(BC[],MID($A43,1,1)&amp;"*",bc_2016),IF(RIGHT($A43,2)="00",SUMIF(BC[],MID($A43,1,2)&amp;"*",bc_2016),IF(RIGHT($A43,1)="0",SUMIF(BC[],MID($A43,1,3)&amp;"*",bc_2016),SUMIF(BC[],$A43,bc_2016))))</f>
        <v>19866003.479999993</v>
      </c>
      <c r="D43" s="376">
        <f ca="1">IF(RIGHT($A43,3)="000",SUMIF(BC[],MID($A43,1,1)&amp;"*",bc_2017c),IF(RIGHT($A43,2)="00",SUMIF(BC[],MID($A43,1,2)&amp;"*",bc_2017c),IF(RIGHT($A43,1)="0",SUMIF(BC[],MID($A43,1,3)&amp;"*",bc_2017c),SUMIF(BC[],$A43,bc_2017c))))</f>
        <v>3658273.9699999997</v>
      </c>
      <c r="E43" s="376">
        <f ca="1">-IF(RIGHT($A43,3)="000",SUMIF(BC[],MID($A43,1,1)&amp;"*",bc_2017a),IF(RIGHT($A43,2)="00",SUMIF(BC[],MID($A43,1,2)&amp;"*",bc_2017a),IF(RIGHT($A43,1)="0",SUMIF(BC[],MID($A43,1,3)&amp;"*",bc_2017a),SUMIF(BC[],$A43,bc_2017a))))</f>
        <v>3356121.8</v>
      </c>
      <c r="F43" s="376">
        <f ca="1">IF(RIGHT($A43,3)="000",SUMIF(BC[],MID($A43,1,1)&amp;"*",bc_2017),IF(RIGHT($A43,2)="00",SUMIF(BC[],MID($A43,1,2)&amp;"*",bc_2017),IF(RIGHT($A43,1)="0",SUMIF(BC[],MID($A43,1,3)&amp;"*",bc_2017),SUMIF(BC[],$A43,bc_2017))))</f>
        <v>20168155.649999999</v>
      </c>
      <c r="G43" s="376">
        <f t="shared" ca="1" si="0"/>
        <v>302152.17000000551</v>
      </c>
    </row>
    <row r="44" spans="1:7">
      <c r="A44" s="180">
        <v>1210</v>
      </c>
      <c r="B44" s="156" t="s">
        <v>16</v>
      </c>
      <c r="C44" s="376">
        <f ca="1">IF(RIGHT($A44,3)="000",SUMIF(BC[],MID($A44,1,1)&amp;"*",bc_2016),IF(RIGHT($A44,2)="00",SUMIF(BC[],MID($A44,1,2)&amp;"*",bc_2016),IF(RIGHT($A44,1)="0",SUMIF(BC[],MID($A44,1,3)&amp;"*",bc_2016),SUMIF(BC[],$A44,bc_2016))))</f>
        <v>0</v>
      </c>
      <c r="D44" s="376">
        <f ca="1">IF(RIGHT($A44,3)="000",SUMIF(BC[],MID($A44,1,1)&amp;"*",bc_2017c),IF(RIGHT($A44,2)="00",SUMIF(BC[],MID($A44,1,2)&amp;"*",bc_2017c),IF(RIGHT($A44,1)="0",SUMIF(BC[],MID($A44,1,3)&amp;"*",bc_2017c),SUMIF(BC[],$A44,bc_2017c))))</f>
        <v>0</v>
      </c>
      <c r="E44" s="376">
        <f ca="1">-IF(RIGHT($A44,3)="000",SUMIF(BC[],MID($A44,1,1)&amp;"*",bc_2017a),IF(RIGHT($A44,2)="00",SUMIF(BC[],MID($A44,1,2)&amp;"*",bc_2017a),IF(RIGHT($A44,1)="0",SUMIF(BC[],MID($A44,1,3)&amp;"*",bc_2017a),SUMIF(BC[],$A44,bc_2017a))))</f>
        <v>0</v>
      </c>
      <c r="F44" s="376">
        <f ca="1">IF(RIGHT($A44,3)="000",SUMIF(BC[],MID($A44,1,1)&amp;"*",bc_2017),IF(RIGHT($A44,2)="00",SUMIF(BC[],MID($A44,1,2)&amp;"*",bc_2017),IF(RIGHT($A44,1)="0",SUMIF(BC[],MID($A44,1,3)&amp;"*",bc_2017),SUMIF(BC[],$A44,bc_2017))))</f>
        <v>0</v>
      </c>
      <c r="G44" s="376">
        <f t="shared" ca="1" si="0"/>
        <v>0</v>
      </c>
    </row>
    <row r="45" spans="1:7">
      <c r="A45" s="182">
        <v>1211</v>
      </c>
      <c r="B45" s="159" t="s">
        <v>430</v>
      </c>
      <c r="C45" s="378">
        <f ca="1">IF(RIGHT($A45,3)="000",SUMIF(BC[],MID($A45,1,1)&amp;"*",bc_2016),IF(RIGHT($A45,2)="00",SUMIF(BC[],MID($A45,1,2)&amp;"*",bc_2016),IF(RIGHT($A45,1)="0",SUMIF(BC[],MID($A45,1,3)&amp;"*",bc_2016),SUMIF(BC[],$A45,bc_2016))))</f>
        <v>0</v>
      </c>
      <c r="D45" s="378">
        <f ca="1">IF(RIGHT($A45,3)="000",SUMIF(BC[],MID($A45,1,1)&amp;"*",bc_2017c),IF(RIGHT($A45,2)="00",SUMIF(BC[],MID($A45,1,2)&amp;"*",bc_2017c),IF(RIGHT($A45,1)="0",SUMIF(BC[],MID($A45,1,3)&amp;"*",bc_2017c),SUMIF(BC[],$A45,bc_2017c))))</f>
        <v>0</v>
      </c>
      <c r="E45" s="378">
        <f ca="1">-IF(RIGHT($A45,3)="000",SUMIF(BC[],MID($A45,1,1)&amp;"*",bc_2017a),IF(RIGHT($A45,2)="00",SUMIF(BC[],MID($A45,1,2)&amp;"*",bc_2017a),IF(RIGHT($A45,1)="0",SUMIF(BC[],MID($A45,1,3)&amp;"*",bc_2017a),SUMIF(BC[],$A45,bc_2017a))))</f>
        <v>0</v>
      </c>
      <c r="F45" s="378">
        <f ca="1">IF(RIGHT($A45,3)="000",SUMIF(BC[],MID($A45,1,1)&amp;"*",bc_2017),IF(RIGHT($A45,2)="00",SUMIF(BC[],MID($A45,1,2)&amp;"*",bc_2017),IF(RIGHT($A45,1)="0",SUMIF(BC[],MID($A45,1,3)&amp;"*",bc_2017),SUMIF(BC[],$A45,bc_2017))))</f>
        <v>0</v>
      </c>
      <c r="G45" s="376">
        <f t="shared" ca="1" si="0"/>
        <v>0</v>
      </c>
    </row>
    <row r="46" spans="1:7">
      <c r="A46" s="182">
        <v>1212</v>
      </c>
      <c r="B46" s="159" t="s">
        <v>431</v>
      </c>
      <c r="C46" s="378">
        <f ca="1">IF(RIGHT($A46,3)="000",SUMIF(BC[],MID($A46,1,1)&amp;"*",bc_2016),IF(RIGHT($A46,2)="00",SUMIF(BC[],MID($A46,1,2)&amp;"*",bc_2016),IF(RIGHT($A46,1)="0",SUMIF(BC[],MID($A46,1,3)&amp;"*",bc_2016),SUMIF(BC[],$A46,bc_2016))))</f>
        <v>0</v>
      </c>
      <c r="D46" s="378">
        <f ca="1">IF(RIGHT($A46,3)="000",SUMIF(BC[],MID($A46,1,1)&amp;"*",bc_2017c),IF(RIGHT($A46,2)="00",SUMIF(BC[],MID($A46,1,2)&amp;"*",bc_2017c),IF(RIGHT($A46,1)="0",SUMIF(BC[],MID($A46,1,3)&amp;"*",bc_2017c),SUMIF(BC[],$A46,bc_2017c))))</f>
        <v>0</v>
      </c>
      <c r="E46" s="378">
        <f ca="1">-IF(RIGHT($A46,3)="000",SUMIF(BC[],MID($A46,1,1)&amp;"*",bc_2017a),IF(RIGHT($A46,2)="00",SUMIF(BC[],MID($A46,1,2)&amp;"*",bc_2017a),IF(RIGHT($A46,1)="0",SUMIF(BC[],MID($A46,1,3)&amp;"*",bc_2017a),SUMIF(BC[],$A46,bc_2017a))))</f>
        <v>0</v>
      </c>
      <c r="F46" s="378">
        <f ca="1">IF(RIGHT($A46,3)="000",SUMIF(BC[],MID($A46,1,1)&amp;"*",bc_2017),IF(RIGHT($A46,2)="00",SUMIF(BC[],MID($A46,1,2)&amp;"*",bc_2017),IF(RIGHT($A46,1)="0",SUMIF(BC[],MID($A46,1,3)&amp;"*",bc_2017),SUMIF(BC[],$A46,bc_2017))))</f>
        <v>0</v>
      </c>
      <c r="G46" s="376">
        <f t="shared" ca="1" si="0"/>
        <v>0</v>
      </c>
    </row>
    <row r="47" spans="1:7">
      <c r="A47" s="182">
        <v>1213</v>
      </c>
      <c r="B47" s="159" t="s">
        <v>432</v>
      </c>
      <c r="C47" s="377">
        <f ca="1">IF(RIGHT($A47,3)="000",SUMIF(BC[],MID($A47,1,1)&amp;"*",bc_2016),IF(RIGHT($A47,2)="00",SUMIF(BC[],MID($A47,1,2)&amp;"*",bc_2016),IF(RIGHT($A47,1)="0",SUMIF(BC[],MID($A47,1,3)&amp;"*",bc_2016),SUMIF(BC[],$A47,bc_2016))))</f>
        <v>0</v>
      </c>
      <c r="D47" s="377">
        <f ca="1">IF(RIGHT($A47,3)="000",SUMIF(BC[],MID($A47,1,1)&amp;"*",bc_2017c),IF(RIGHT($A47,2)="00",SUMIF(BC[],MID($A47,1,2)&amp;"*",bc_2017c),IF(RIGHT($A47,1)="0",SUMIF(BC[],MID($A47,1,3)&amp;"*",bc_2017c),SUMIF(BC[],$A47,bc_2017c))))</f>
        <v>0</v>
      </c>
      <c r="E47" s="377">
        <f ca="1">-IF(RIGHT($A47,3)="000",SUMIF(BC[],MID($A47,1,1)&amp;"*",bc_2017a),IF(RIGHT($A47,2)="00",SUMIF(BC[],MID($A47,1,2)&amp;"*",bc_2017a),IF(RIGHT($A47,1)="0",SUMIF(BC[],MID($A47,1,3)&amp;"*",bc_2017a),SUMIF(BC[],$A47,bc_2017a))))</f>
        <v>0</v>
      </c>
      <c r="F47" s="377">
        <f ca="1">IF(RIGHT($A47,3)="000",SUMIF(BC[],MID($A47,1,1)&amp;"*",bc_2017),IF(RIGHT($A47,2)="00",SUMIF(BC[],MID($A47,1,2)&amp;"*",bc_2017),IF(RIGHT($A47,1)="0",SUMIF(BC[],MID($A47,1,3)&amp;"*",bc_2017),SUMIF(BC[],$A47,bc_2017))))</f>
        <v>0</v>
      </c>
      <c r="G47" s="376">
        <f t="shared" ca="1" si="0"/>
        <v>0</v>
      </c>
    </row>
    <row r="48" spans="1:7">
      <c r="A48" s="182">
        <v>1214</v>
      </c>
      <c r="B48" s="159" t="s">
        <v>434</v>
      </c>
      <c r="C48" s="378">
        <f ca="1">IF(RIGHT($A48,3)="000",SUMIF(BC[],MID($A48,1,1)&amp;"*",bc_2016),IF(RIGHT($A48,2)="00",SUMIF(BC[],MID($A48,1,2)&amp;"*",bc_2016),IF(RIGHT($A48,1)="0",SUMIF(BC[],MID($A48,1,3)&amp;"*",bc_2016),SUMIF(BC[],$A48,bc_2016))))</f>
        <v>0</v>
      </c>
      <c r="D48" s="378">
        <f ca="1">IF(RIGHT($A48,3)="000",SUMIF(BC[],MID($A48,1,1)&amp;"*",bc_2017c),IF(RIGHT($A48,2)="00",SUMIF(BC[],MID($A48,1,2)&amp;"*",bc_2017c),IF(RIGHT($A48,1)="0",SUMIF(BC[],MID($A48,1,3)&amp;"*",bc_2017c),SUMIF(BC[],$A48,bc_2017c))))</f>
        <v>0</v>
      </c>
      <c r="E48" s="378">
        <f ca="1">-IF(RIGHT($A48,3)="000",SUMIF(BC[],MID($A48,1,1)&amp;"*",bc_2017a),IF(RIGHT($A48,2)="00",SUMIF(BC[],MID($A48,1,2)&amp;"*",bc_2017a),IF(RIGHT($A48,1)="0",SUMIF(BC[],MID($A48,1,3)&amp;"*",bc_2017a),SUMIF(BC[],$A48,bc_2017a))))</f>
        <v>0</v>
      </c>
      <c r="F48" s="378">
        <f ca="1">IF(RIGHT($A48,3)="000",SUMIF(BC[],MID($A48,1,1)&amp;"*",bc_2017),IF(RIGHT($A48,2)="00",SUMIF(BC[],MID($A48,1,2)&amp;"*",bc_2017),IF(RIGHT($A48,1)="0",SUMIF(BC[],MID($A48,1,3)&amp;"*",bc_2017),SUMIF(BC[],$A48,bc_2017))))</f>
        <v>0</v>
      </c>
      <c r="G48" s="376">
        <f t="shared" ca="1" si="0"/>
        <v>0</v>
      </c>
    </row>
    <row r="49" spans="1:7">
      <c r="A49" s="180">
        <v>1220</v>
      </c>
      <c r="B49" s="156" t="s">
        <v>17</v>
      </c>
      <c r="C49" s="379">
        <f ca="1">IF(RIGHT($A49,3)="000",SUMIF(BC[],MID($A49,1,1)&amp;"*",bc_2016),IF(RIGHT($A49,2)="00",SUMIF(BC[],MID($A49,1,2)&amp;"*",bc_2016),IF(RIGHT($A49,1)="0",SUMIF(BC[],MID($A49,1,3)&amp;"*",bc_2016),SUMIF(BC[],$A49,bc_2016))))</f>
        <v>0</v>
      </c>
      <c r="D49" s="379">
        <f ca="1">IF(RIGHT($A49,3)="000",SUMIF(BC[],MID($A49,1,1)&amp;"*",bc_2017c),IF(RIGHT($A49,2)="00",SUMIF(BC[],MID($A49,1,2)&amp;"*",bc_2017c),IF(RIGHT($A49,1)="0",SUMIF(BC[],MID($A49,1,3)&amp;"*",bc_2017c),SUMIF(BC[],$A49,bc_2017c))))</f>
        <v>0</v>
      </c>
      <c r="E49" s="379">
        <f ca="1">-IF(RIGHT($A49,3)="000",SUMIF(BC[],MID($A49,1,1)&amp;"*",bc_2017a),IF(RIGHT($A49,2)="00",SUMIF(BC[],MID($A49,1,2)&amp;"*",bc_2017a),IF(RIGHT($A49,1)="0",SUMIF(BC[],MID($A49,1,3)&amp;"*",bc_2017a),SUMIF(BC[],$A49,bc_2017a))))</f>
        <v>0</v>
      </c>
      <c r="F49" s="379">
        <f ca="1">IF(RIGHT($A49,3)="000",SUMIF(BC[],MID($A49,1,1)&amp;"*",bc_2017),IF(RIGHT($A49,2)="00",SUMIF(BC[],MID($A49,1,2)&amp;"*",bc_2017),IF(RIGHT($A49,1)="0",SUMIF(BC[],MID($A49,1,3)&amp;"*",bc_2017),SUMIF(BC[],$A49,bc_2017))))</f>
        <v>0</v>
      </c>
      <c r="G49" s="376">
        <f t="shared" ca="1" si="0"/>
        <v>0</v>
      </c>
    </row>
    <row r="50" spans="1:7">
      <c r="A50" s="182">
        <v>1221</v>
      </c>
      <c r="B50" s="159" t="s">
        <v>436</v>
      </c>
      <c r="C50" s="377">
        <f ca="1">IF(RIGHT($A50,3)="000",SUMIF(BC[],MID($A50,1,1)&amp;"*",bc_2016),IF(RIGHT($A50,2)="00",SUMIF(BC[],MID($A50,1,2)&amp;"*",bc_2016),IF(RIGHT($A50,1)="0",SUMIF(BC[],MID($A50,1,3)&amp;"*",bc_2016),SUMIF(BC[],$A50,bc_2016))))</f>
        <v>0</v>
      </c>
      <c r="D50" s="377">
        <f ca="1">IF(RIGHT($A50,3)="000",SUMIF(BC[],MID($A50,1,1)&amp;"*",bc_2017c),IF(RIGHT($A50,2)="00",SUMIF(BC[],MID($A50,1,2)&amp;"*",bc_2017c),IF(RIGHT($A50,1)="0",SUMIF(BC[],MID($A50,1,3)&amp;"*",bc_2017c),SUMIF(BC[],$A50,bc_2017c))))</f>
        <v>0</v>
      </c>
      <c r="E50" s="377">
        <f ca="1">-IF(RIGHT($A50,3)="000",SUMIF(BC[],MID($A50,1,1)&amp;"*",bc_2017a),IF(RIGHT($A50,2)="00",SUMIF(BC[],MID($A50,1,2)&amp;"*",bc_2017a),IF(RIGHT($A50,1)="0",SUMIF(BC[],MID($A50,1,3)&amp;"*",bc_2017a),SUMIF(BC[],$A50,bc_2017a))))</f>
        <v>0</v>
      </c>
      <c r="F50" s="377">
        <f ca="1">IF(RIGHT($A50,3)="000",SUMIF(BC[],MID($A50,1,1)&amp;"*",bc_2017),IF(RIGHT($A50,2)="00",SUMIF(BC[],MID($A50,1,2)&amp;"*",bc_2017),IF(RIGHT($A50,1)="0",SUMIF(BC[],MID($A50,1,3)&amp;"*",bc_2017),SUMIF(BC[],$A50,bc_2017))))</f>
        <v>0</v>
      </c>
      <c r="G50" s="376">
        <f t="shared" ca="1" si="0"/>
        <v>0</v>
      </c>
    </row>
    <row r="51" spans="1:7">
      <c r="A51" s="182">
        <v>1222</v>
      </c>
      <c r="B51" s="159" t="s">
        <v>437</v>
      </c>
      <c r="C51" s="377">
        <f ca="1">IF(RIGHT($A51,3)="000",SUMIF(BC[],MID($A51,1,1)&amp;"*",bc_2016),IF(RIGHT($A51,2)="00",SUMIF(BC[],MID($A51,1,2)&amp;"*",bc_2016),IF(RIGHT($A51,1)="0",SUMIF(BC[],MID($A51,1,3)&amp;"*",bc_2016),SUMIF(BC[],$A51,bc_2016))))</f>
        <v>0</v>
      </c>
      <c r="D51" s="377">
        <f ca="1">IF(RIGHT($A51,3)="000",SUMIF(BC[],MID($A51,1,1)&amp;"*",bc_2017c),IF(RIGHT($A51,2)="00",SUMIF(BC[],MID($A51,1,2)&amp;"*",bc_2017c),IF(RIGHT($A51,1)="0",SUMIF(BC[],MID($A51,1,3)&amp;"*",bc_2017c),SUMIF(BC[],$A51,bc_2017c))))</f>
        <v>0</v>
      </c>
      <c r="E51" s="377">
        <f ca="1">-IF(RIGHT($A51,3)="000",SUMIF(BC[],MID($A51,1,1)&amp;"*",bc_2017a),IF(RIGHT($A51,2)="00",SUMIF(BC[],MID($A51,1,2)&amp;"*",bc_2017a),IF(RIGHT($A51,1)="0",SUMIF(BC[],MID($A51,1,3)&amp;"*",bc_2017a),SUMIF(BC[],$A51,bc_2017a))))</f>
        <v>0</v>
      </c>
      <c r="F51" s="377">
        <f ca="1">IF(RIGHT($A51,3)="000",SUMIF(BC[],MID($A51,1,1)&amp;"*",bc_2017),IF(RIGHT($A51,2)="00",SUMIF(BC[],MID($A51,1,2)&amp;"*",bc_2017),IF(RIGHT($A51,1)="0",SUMIF(BC[],MID($A51,1,3)&amp;"*",bc_2017),SUMIF(BC[],$A51,bc_2017))))</f>
        <v>0</v>
      </c>
      <c r="G51" s="376">
        <f t="shared" ca="1" si="0"/>
        <v>0</v>
      </c>
    </row>
    <row r="52" spans="1:7">
      <c r="A52" s="182">
        <v>1223</v>
      </c>
      <c r="B52" s="159" t="s">
        <v>438</v>
      </c>
      <c r="C52" s="378">
        <f ca="1">IF(RIGHT($A52,3)="000",SUMIF(BC[],MID($A52,1,1)&amp;"*",bc_2016),IF(RIGHT($A52,2)="00",SUMIF(BC[],MID($A52,1,2)&amp;"*",bc_2016),IF(RIGHT($A52,1)="0",SUMIF(BC[],MID($A52,1,3)&amp;"*",bc_2016),SUMIF(BC[],$A52,bc_2016))))</f>
        <v>0</v>
      </c>
      <c r="D52" s="378">
        <f ca="1">IF(RIGHT($A52,3)="000",SUMIF(BC[],MID($A52,1,1)&amp;"*",bc_2017c),IF(RIGHT($A52,2)="00",SUMIF(BC[],MID($A52,1,2)&amp;"*",bc_2017c),IF(RIGHT($A52,1)="0",SUMIF(BC[],MID($A52,1,3)&amp;"*",bc_2017c),SUMIF(BC[],$A52,bc_2017c))))</f>
        <v>0</v>
      </c>
      <c r="E52" s="378">
        <f ca="1">-IF(RIGHT($A52,3)="000",SUMIF(BC[],MID($A52,1,1)&amp;"*",bc_2017a),IF(RIGHT($A52,2)="00",SUMIF(BC[],MID($A52,1,2)&amp;"*",bc_2017a),IF(RIGHT($A52,1)="0",SUMIF(BC[],MID($A52,1,3)&amp;"*",bc_2017a),SUMIF(BC[],$A52,bc_2017a))))</f>
        <v>0</v>
      </c>
      <c r="F52" s="378">
        <f ca="1">IF(RIGHT($A52,3)="000",SUMIF(BC[],MID($A52,1,1)&amp;"*",bc_2017),IF(RIGHT($A52,2)="00",SUMIF(BC[],MID($A52,1,2)&amp;"*",bc_2017),IF(RIGHT($A52,1)="0",SUMIF(BC[],MID($A52,1,3)&amp;"*",bc_2017),SUMIF(BC[],$A52,bc_2017))))</f>
        <v>0</v>
      </c>
      <c r="G52" s="376">
        <f t="shared" ca="1" si="0"/>
        <v>0</v>
      </c>
    </row>
    <row r="53" spans="1:7">
      <c r="A53" s="182">
        <v>1224</v>
      </c>
      <c r="B53" s="159" t="s">
        <v>439</v>
      </c>
      <c r="C53" s="378">
        <f ca="1">IF(RIGHT($A53,3)="000",SUMIF(BC[],MID($A53,1,1)&amp;"*",bc_2016),IF(RIGHT($A53,2)="00",SUMIF(BC[],MID($A53,1,2)&amp;"*",bc_2016),IF(RIGHT($A53,1)="0",SUMIF(BC[],MID($A53,1,3)&amp;"*",bc_2016),SUMIF(BC[],$A53,bc_2016))))</f>
        <v>0</v>
      </c>
      <c r="D53" s="378">
        <f ca="1">IF(RIGHT($A53,3)="000",SUMIF(BC[],MID($A53,1,1)&amp;"*",bc_2017c),IF(RIGHT($A53,2)="00",SUMIF(BC[],MID($A53,1,2)&amp;"*",bc_2017c),IF(RIGHT($A53,1)="0",SUMIF(BC[],MID($A53,1,3)&amp;"*",bc_2017c),SUMIF(BC[],$A53,bc_2017c))))</f>
        <v>0</v>
      </c>
      <c r="E53" s="378">
        <f ca="1">-IF(RIGHT($A53,3)="000",SUMIF(BC[],MID($A53,1,1)&amp;"*",bc_2017a),IF(RIGHT($A53,2)="00",SUMIF(BC[],MID($A53,1,2)&amp;"*",bc_2017a),IF(RIGHT($A53,1)="0",SUMIF(BC[],MID($A53,1,3)&amp;"*",bc_2017a),SUMIF(BC[],$A53,bc_2017a))))</f>
        <v>0</v>
      </c>
      <c r="F53" s="378">
        <f ca="1">IF(RIGHT($A53,3)="000",SUMIF(BC[],MID($A53,1,1)&amp;"*",bc_2017),IF(RIGHT($A53,2)="00",SUMIF(BC[],MID($A53,1,2)&amp;"*",bc_2017),IF(RIGHT($A53,1)="0",SUMIF(BC[],MID($A53,1,3)&amp;"*",bc_2017),SUMIF(BC[],$A53,bc_2017))))</f>
        <v>0</v>
      </c>
      <c r="G53" s="376">
        <f t="shared" ca="1" si="0"/>
        <v>0</v>
      </c>
    </row>
    <row r="54" spans="1:7">
      <c r="A54" s="182">
        <v>1229</v>
      </c>
      <c r="B54" s="159" t="s">
        <v>440</v>
      </c>
      <c r="C54" s="378">
        <f ca="1">IF(RIGHT($A54,3)="000",SUMIF(BC[],MID($A54,1,1)&amp;"*",bc_2016),IF(RIGHT($A54,2)="00",SUMIF(BC[],MID($A54,1,2)&amp;"*",bc_2016),IF(RIGHT($A54,1)="0",SUMIF(BC[],MID($A54,1,3)&amp;"*",bc_2016),SUMIF(BC[],$A54,bc_2016))))</f>
        <v>0</v>
      </c>
      <c r="D54" s="378">
        <f ca="1">IF(RIGHT($A54,3)="000",SUMIF(BC[],MID($A54,1,1)&amp;"*",bc_2017c),IF(RIGHT($A54,2)="00",SUMIF(BC[],MID($A54,1,2)&amp;"*",bc_2017c),IF(RIGHT($A54,1)="0",SUMIF(BC[],MID($A54,1,3)&amp;"*",bc_2017c),SUMIF(BC[],$A54,bc_2017c))))</f>
        <v>0</v>
      </c>
      <c r="E54" s="378">
        <f ca="1">-IF(RIGHT($A54,3)="000",SUMIF(BC[],MID($A54,1,1)&amp;"*",bc_2017a),IF(RIGHT($A54,2)="00",SUMIF(BC[],MID($A54,1,2)&amp;"*",bc_2017a),IF(RIGHT($A54,1)="0",SUMIF(BC[],MID($A54,1,3)&amp;"*",bc_2017a),SUMIF(BC[],$A54,bc_2017a))))</f>
        <v>0</v>
      </c>
      <c r="F54" s="378">
        <f ca="1">IF(RIGHT($A54,3)="000",SUMIF(BC[],MID($A54,1,1)&amp;"*",bc_2017),IF(RIGHT($A54,2)="00",SUMIF(BC[],MID($A54,1,2)&amp;"*",bc_2017),IF(RIGHT($A54,1)="0",SUMIF(BC[],MID($A54,1,3)&amp;"*",bc_2017),SUMIF(BC[],$A54,bc_2017))))</f>
        <v>0</v>
      </c>
      <c r="G54" s="376">
        <f t="shared" ca="1" si="0"/>
        <v>0</v>
      </c>
    </row>
    <row r="55" spans="1:7">
      <c r="A55" s="180">
        <v>1230</v>
      </c>
      <c r="B55" s="156" t="s">
        <v>18</v>
      </c>
      <c r="C55" s="379">
        <f ca="1">IF(RIGHT($A55,3)="000",SUMIF(BC[],MID($A55,1,1)&amp;"*",bc_2016),IF(RIGHT($A55,2)="00",SUMIF(BC[],MID($A55,1,2)&amp;"*",bc_2016),IF(RIGHT($A55,1)="0",SUMIF(BC[],MID($A55,1,3)&amp;"*",bc_2016),SUMIF(BC[],$A55,bc_2016))))</f>
        <v>0</v>
      </c>
      <c r="D55" s="379">
        <f ca="1">IF(RIGHT($A55,3)="000",SUMIF(BC[],MID($A55,1,1)&amp;"*",bc_2017c),IF(RIGHT($A55,2)="00",SUMIF(BC[],MID($A55,1,2)&amp;"*",bc_2017c),IF(RIGHT($A55,1)="0",SUMIF(BC[],MID($A55,1,3)&amp;"*",bc_2017c),SUMIF(BC[],$A55,bc_2017c))))</f>
        <v>0</v>
      </c>
      <c r="E55" s="379">
        <f ca="1">-IF(RIGHT($A55,3)="000",SUMIF(BC[],MID($A55,1,1)&amp;"*",bc_2017a),IF(RIGHT($A55,2)="00",SUMIF(BC[],MID($A55,1,2)&amp;"*",bc_2017a),IF(RIGHT($A55,1)="0",SUMIF(BC[],MID($A55,1,3)&amp;"*",bc_2017a),SUMIF(BC[],$A55,bc_2017a))))</f>
        <v>0</v>
      </c>
      <c r="F55" s="379">
        <f ca="1">IF(RIGHT($A55,3)="000",SUMIF(BC[],MID($A55,1,1)&amp;"*",bc_2017),IF(RIGHT($A55,2)="00",SUMIF(BC[],MID($A55,1,2)&amp;"*",bc_2017),IF(RIGHT($A55,1)="0",SUMIF(BC[],MID($A55,1,3)&amp;"*",bc_2017),SUMIF(BC[],$A55,bc_2017))))</f>
        <v>0</v>
      </c>
      <c r="G55" s="376">
        <f t="shared" ca="1" si="0"/>
        <v>0</v>
      </c>
    </row>
    <row r="56" spans="1:7">
      <c r="A56" s="182">
        <v>1231</v>
      </c>
      <c r="B56" s="159" t="s">
        <v>441</v>
      </c>
      <c r="C56" s="377">
        <f ca="1">IF(RIGHT($A56,3)="000",SUMIF(BC[],MID($A56,1,1)&amp;"*",bc_2016),IF(RIGHT($A56,2)="00",SUMIF(BC[],MID($A56,1,2)&amp;"*",bc_2016),IF(RIGHT($A56,1)="0",SUMIF(BC[],MID($A56,1,3)&amp;"*",bc_2016),SUMIF(BC[],$A56,bc_2016))))</f>
        <v>0</v>
      </c>
      <c r="D56" s="377">
        <f ca="1">IF(RIGHT($A56,3)="000",SUMIF(BC[],MID($A56,1,1)&amp;"*",bc_2017c),IF(RIGHT($A56,2)="00",SUMIF(BC[],MID($A56,1,2)&amp;"*",bc_2017c),IF(RIGHT($A56,1)="0",SUMIF(BC[],MID($A56,1,3)&amp;"*",bc_2017c),SUMIF(BC[],$A56,bc_2017c))))</f>
        <v>0</v>
      </c>
      <c r="E56" s="377">
        <f ca="1">-IF(RIGHT($A56,3)="000",SUMIF(BC[],MID($A56,1,1)&amp;"*",bc_2017a),IF(RIGHT($A56,2)="00",SUMIF(BC[],MID($A56,1,2)&amp;"*",bc_2017a),IF(RIGHT($A56,1)="0",SUMIF(BC[],MID($A56,1,3)&amp;"*",bc_2017a),SUMIF(BC[],$A56,bc_2017a))))</f>
        <v>0</v>
      </c>
      <c r="F56" s="377">
        <f ca="1">IF(RIGHT($A56,3)="000",SUMIF(BC[],MID($A56,1,1)&amp;"*",bc_2017),IF(RIGHT($A56,2)="00",SUMIF(BC[],MID($A56,1,2)&amp;"*",bc_2017),IF(RIGHT($A56,1)="0",SUMIF(BC[],MID($A56,1,3)&amp;"*",bc_2017),SUMIF(BC[],$A56,bc_2017))))</f>
        <v>0</v>
      </c>
      <c r="G56" s="376">
        <f t="shared" ca="1" si="0"/>
        <v>0</v>
      </c>
    </row>
    <row r="57" spans="1:7">
      <c r="A57" s="182">
        <v>1232</v>
      </c>
      <c r="B57" s="159" t="s">
        <v>442</v>
      </c>
      <c r="C57" s="377">
        <f ca="1">IF(RIGHT($A57,3)="000",SUMIF(BC[],MID($A57,1,1)&amp;"*",bc_2016),IF(RIGHT($A57,2)="00",SUMIF(BC[],MID($A57,1,2)&amp;"*",bc_2016),IF(RIGHT($A57,1)="0",SUMIF(BC[],MID($A57,1,3)&amp;"*",bc_2016),SUMIF(BC[],$A57,bc_2016))))</f>
        <v>0</v>
      </c>
      <c r="D57" s="377">
        <f ca="1">IF(RIGHT($A57,3)="000",SUMIF(BC[],MID($A57,1,1)&amp;"*",bc_2017c),IF(RIGHT($A57,2)="00",SUMIF(BC[],MID($A57,1,2)&amp;"*",bc_2017c),IF(RIGHT($A57,1)="0",SUMIF(BC[],MID($A57,1,3)&amp;"*",bc_2017c),SUMIF(BC[],$A57,bc_2017c))))</f>
        <v>0</v>
      </c>
      <c r="E57" s="377">
        <f ca="1">-IF(RIGHT($A57,3)="000",SUMIF(BC[],MID($A57,1,1)&amp;"*",bc_2017a),IF(RIGHT($A57,2)="00",SUMIF(BC[],MID($A57,1,2)&amp;"*",bc_2017a),IF(RIGHT($A57,1)="0",SUMIF(BC[],MID($A57,1,3)&amp;"*",bc_2017a),SUMIF(BC[],$A57,bc_2017a))))</f>
        <v>0</v>
      </c>
      <c r="F57" s="377">
        <f ca="1">IF(RIGHT($A57,3)="000",SUMIF(BC[],MID($A57,1,1)&amp;"*",bc_2017),IF(RIGHT($A57,2)="00",SUMIF(BC[],MID($A57,1,2)&amp;"*",bc_2017),IF(RIGHT($A57,1)="0",SUMIF(BC[],MID($A57,1,3)&amp;"*",bc_2017),SUMIF(BC[],$A57,bc_2017))))</f>
        <v>0</v>
      </c>
      <c r="G57" s="376">
        <f t="shared" ca="1" si="0"/>
        <v>0</v>
      </c>
    </row>
    <row r="58" spans="1:7">
      <c r="A58" s="182">
        <v>1233</v>
      </c>
      <c r="B58" s="159" t="s">
        <v>443</v>
      </c>
      <c r="C58" s="377">
        <f ca="1">IF(RIGHT($A58,3)="000",SUMIF(BC[],MID($A58,1,1)&amp;"*",bc_2016),IF(RIGHT($A58,2)="00",SUMIF(BC[],MID($A58,1,2)&amp;"*",bc_2016),IF(RIGHT($A58,1)="0",SUMIF(BC[],MID($A58,1,3)&amp;"*",bc_2016),SUMIF(BC[],$A58,bc_2016))))</f>
        <v>0</v>
      </c>
      <c r="D58" s="377">
        <f ca="1">IF(RIGHT($A58,3)="000",SUMIF(BC[],MID($A58,1,1)&amp;"*",bc_2017c),IF(RIGHT($A58,2)="00",SUMIF(BC[],MID($A58,1,2)&amp;"*",bc_2017c),IF(RIGHT($A58,1)="0",SUMIF(BC[],MID($A58,1,3)&amp;"*",bc_2017c),SUMIF(BC[],$A58,bc_2017c))))</f>
        <v>0</v>
      </c>
      <c r="E58" s="377">
        <f ca="1">-IF(RIGHT($A58,3)="000",SUMIF(BC[],MID($A58,1,1)&amp;"*",bc_2017a),IF(RIGHT($A58,2)="00",SUMIF(BC[],MID($A58,1,2)&amp;"*",bc_2017a),IF(RIGHT($A58,1)="0",SUMIF(BC[],MID($A58,1,3)&amp;"*",bc_2017a),SUMIF(BC[],$A58,bc_2017a))))</f>
        <v>0</v>
      </c>
      <c r="F58" s="377">
        <f ca="1">IF(RIGHT($A58,3)="000",SUMIF(BC[],MID($A58,1,1)&amp;"*",bc_2017),IF(RIGHT($A58,2)="00",SUMIF(BC[],MID($A58,1,2)&amp;"*",bc_2017),IF(RIGHT($A58,1)="0",SUMIF(BC[],MID($A58,1,3)&amp;"*",bc_2017),SUMIF(BC[],$A58,bc_2017))))</f>
        <v>0</v>
      </c>
      <c r="G58" s="376">
        <f t="shared" ca="1" si="0"/>
        <v>0</v>
      </c>
    </row>
    <row r="59" spans="1:7">
      <c r="A59" s="182">
        <v>1234</v>
      </c>
      <c r="B59" s="159" t="s">
        <v>444</v>
      </c>
      <c r="C59" s="377">
        <f ca="1">IF(RIGHT($A59,3)="000",SUMIF(BC[],MID($A59,1,1)&amp;"*",bc_2016),IF(RIGHT($A59,2)="00",SUMIF(BC[],MID($A59,1,2)&amp;"*",bc_2016),IF(RIGHT($A59,1)="0",SUMIF(BC[],MID($A59,1,3)&amp;"*",bc_2016),SUMIF(BC[],$A59,bc_2016))))</f>
        <v>0</v>
      </c>
      <c r="D59" s="377">
        <f ca="1">IF(RIGHT($A59,3)="000",SUMIF(BC[],MID($A59,1,1)&amp;"*",bc_2017c),IF(RIGHT($A59,2)="00",SUMIF(BC[],MID($A59,1,2)&amp;"*",bc_2017c),IF(RIGHT($A59,1)="0",SUMIF(BC[],MID($A59,1,3)&amp;"*",bc_2017c),SUMIF(BC[],$A59,bc_2017c))))</f>
        <v>0</v>
      </c>
      <c r="E59" s="377">
        <f ca="1">-IF(RIGHT($A59,3)="000",SUMIF(BC[],MID($A59,1,1)&amp;"*",bc_2017a),IF(RIGHT($A59,2)="00",SUMIF(BC[],MID($A59,1,2)&amp;"*",bc_2017a),IF(RIGHT($A59,1)="0",SUMIF(BC[],MID($A59,1,3)&amp;"*",bc_2017a),SUMIF(BC[],$A59,bc_2017a))))</f>
        <v>0</v>
      </c>
      <c r="F59" s="377">
        <f ca="1">IF(RIGHT($A59,3)="000",SUMIF(BC[],MID($A59,1,1)&amp;"*",bc_2017),IF(RIGHT($A59,2)="00",SUMIF(BC[],MID($A59,1,2)&amp;"*",bc_2017),IF(RIGHT($A59,1)="0",SUMIF(BC[],MID($A59,1,3)&amp;"*",bc_2017),SUMIF(BC[],$A59,bc_2017))))</f>
        <v>0</v>
      </c>
      <c r="G59" s="376">
        <f t="shared" ca="1" si="0"/>
        <v>0</v>
      </c>
    </row>
    <row r="60" spans="1:7">
      <c r="A60" s="182">
        <v>1235</v>
      </c>
      <c r="B60" s="159" t="s">
        <v>445</v>
      </c>
      <c r="C60" s="377">
        <f ca="1">IF(RIGHT($A60,3)="000",SUMIF(BC[],MID($A60,1,1)&amp;"*",bc_2016),IF(RIGHT($A60,2)="00",SUMIF(BC[],MID($A60,1,2)&amp;"*",bc_2016),IF(RIGHT($A60,1)="0",SUMIF(BC[],MID($A60,1,3)&amp;"*",bc_2016),SUMIF(BC[],$A60,bc_2016))))</f>
        <v>0</v>
      </c>
      <c r="D60" s="377">
        <f ca="1">IF(RIGHT($A60,3)="000",SUMIF(BC[],MID($A60,1,1)&amp;"*",bc_2017c),IF(RIGHT($A60,2)="00",SUMIF(BC[],MID($A60,1,2)&amp;"*",bc_2017c),IF(RIGHT($A60,1)="0",SUMIF(BC[],MID($A60,1,3)&amp;"*",bc_2017c),SUMIF(BC[],$A60,bc_2017c))))</f>
        <v>0</v>
      </c>
      <c r="E60" s="377">
        <f ca="1">-IF(RIGHT($A60,3)="000",SUMIF(BC[],MID($A60,1,1)&amp;"*",bc_2017a),IF(RIGHT($A60,2)="00",SUMIF(BC[],MID($A60,1,2)&amp;"*",bc_2017a),IF(RIGHT($A60,1)="0",SUMIF(BC[],MID($A60,1,3)&amp;"*",bc_2017a),SUMIF(BC[],$A60,bc_2017a))))</f>
        <v>0</v>
      </c>
      <c r="F60" s="377">
        <f ca="1">IF(RIGHT($A60,3)="000",SUMIF(BC[],MID($A60,1,1)&amp;"*",bc_2017),IF(RIGHT($A60,2)="00",SUMIF(BC[],MID($A60,1,2)&amp;"*",bc_2017),IF(RIGHT($A60,1)="0",SUMIF(BC[],MID($A60,1,3)&amp;"*",bc_2017),SUMIF(BC[],$A60,bc_2017))))</f>
        <v>0</v>
      </c>
      <c r="G60" s="376">
        <f t="shared" ca="1" si="0"/>
        <v>0</v>
      </c>
    </row>
    <row r="61" spans="1:7">
      <c r="A61" s="182">
        <v>1236</v>
      </c>
      <c r="B61" s="159" t="s">
        <v>446</v>
      </c>
      <c r="C61" s="377">
        <f ca="1">IF(RIGHT($A61,3)="000",SUMIF(BC[],MID($A61,1,1)&amp;"*",bc_2016),IF(RIGHT($A61,2)="00",SUMIF(BC[],MID($A61,1,2)&amp;"*",bc_2016),IF(RIGHT($A61,1)="0",SUMIF(BC[],MID($A61,1,3)&amp;"*",bc_2016),SUMIF(BC[],$A61,bc_2016))))</f>
        <v>0</v>
      </c>
      <c r="D61" s="377">
        <f ca="1">IF(RIGHT($A61,3)="000",SUMIF(BC[],MID($A61,1,1)&amp;"*",bc_2017c),IF(RIGHT($A61,2)="00",SUMIF(BC[],MID($A61,1,2)&amp;"*",bc_2017c),IF(RIGHT($A61,1)="0",SUMIF(BC[],MID($A61,1,3)&amp;"*",bc_2017c),SUMIF(BC[],$A61,bc_2017c))))</f>
        <v>0</v>
      </c>
      <c r="E61" s="377">
        <f ca="1">-IF(RIGHT($A61,3)="000",SUMIF(BC[],MID($A61,1,1)&amp;"*",bc_2017a),IF(RIGHT($A61,2)="00",SUMIF(BC[],MID($A61,1,2)&amp;"*",bc_2017a),IF(RIGHT($A61,1)="0",SUMIF(BC[],MID($A61,1,3)&amp;"*",bc_2017a),SUMIF(BC[],$A61,bc_2017a))))</f>
        <v>0</v>
      </c>
      <c r="F61" s="377">
        <f ca="1">IF(RIGHT($A61,3)="000",SUMIF(BC[],MID($A61,1,1)&amp;"*",bc_2017),IF(RIGHT($A61,2)="00",SUMIF(BC[],MID($A61,1,2)&amp;"*",bc_2017),IF(RIGHT($A61,1)="0",SUMIF(BC[],MID($A61,1,3)&amp;"*",bc_2017),SUMIF(BC[],$A61,bc_2017))))</f>
        <v>0</v>
      </c>
      <c r="G61" s="376">
        <f t="shared" ca="1" si="0"/>
        <v>0</v>
      </c>
    </row>
    <row r="62" spans="1:7">
      <c r="A62" s="182">
        <v>1239</v>
      </c>
      <c r="B62" s="159" t="s">
        <v>447</v>
      </c>
      <c r="C62" s="377">
        <f ca="1">IF(RIGHT($A62,3)="000",SUMIF(BC[],MID($A62,1,1)&amp;"*",bc_2016),IF(RIGHT($A62,2)="00",SUMIF(BC[],MID($A62,1,2)&amp;"*",bc_2016),IF(RIGHT($A62,1)="0",SUMIF(BC[],MID($A62,1,3)&amp;"*",bc_2016),SUMIF(BC[],$A62,bc_2016))))</f>
        <v>0</v>
      </c>
      <c r="D62" s="377">
        <f ca="1">IF(RIGHT($A62,3)="000",SUMIF(BC[],MID($A62,1,1)&amp;"*",bc_2017c),IF(RIGHT($A62,2)="00",SUMIF(BC[],MID($A62,1,2)&amp;"*",bc_2017c),IF(RIGHT($A62,1)="0",SUMIF(BC[],MID($A62,1,3)&amp;"*",bc_2017c),SUMIF(BC[],$A62,bc_2017c))))</f>
        <v>0</v>
      </c>
      <c r="E62" s="377">
        <f ca="1">-IF(RIGHT($A62,3)="000",SUMIF(BC[],MID($A62,1,1)&amp;"*",bc_2017a),IF(RIGHT($A62,2)="00",SUMIF(BC[],MID($A62,1,2)&amp;"*",bc_2017a),IF(RIGHT($A62,1)="0",SUMIF(BC[],MID($A62,1,3)&amp;"*",bc_2017a),SUMIF(BC[],$A62,bc_2017a))))</f>
        <v>0</v>
      </c>
      <c r="F62" s="377">
        <f ca="1">IF(RIGHT($A62,3)="000",SUMIF(BC[],MID($A62,1,1)&amp;"*",bc_2017),IF(RIGHT($A62,2)="00",SUMIF(BC[],MID($A62,1,2)&amp;"*",bc_2017),IF(RIGHT($A62,1)="0",SUMIF(BC[],MID($A62,1,3)&amp;"*",bc_2017),SUMIF(BC[],$A62,bc_2017))))</f>
        <v>0</v>
      </c>
      <c r="G62" s="376">
        <f t="shared" ca="1" si="0"/>
        <v>0</v>
      </c>
    </row>
    <row r="63" spans="1:7">
      <c r="A63" s="180">
        <v>1240</v>
      </c>
      <c r="B63" s="156" t="s">
        <v>20</v>
      </c>
      <c r="C63" s="376">
        <f ca="1">IF(RIGHT($A63,3)="000",SUMIF(BC[],MID($A63,1,1)&amp;"*",bc_2016),IF(RIGHT($A63,2)="00",SUMIF(BC[],MID($A63,1,2)&amp;"*",bc_2016),IF(RIGHT($A63,1)="0",SUMIF(BC[],MID($A63,1,3)&amp;"*",bc_2016),SUMIF(BC[],$A63,bc_2016))))</f>
        <v>15855010.120000001</v>
      </c>
      <c r="D63" s="376">
        <f ca="1">IF(RIGHT($A63,3)="000",SUMIF(BC[],MID($A63,1,1)&amp;"*",bc_2017c),IF(RIGHT($A63,2)="00",SUMIF(BC[],MID($A63,1,2)&amp;"*",bc_2017c),IF(RIGHT($A63,1)="0",SUMIF(BC[],MID($A63,1,3)&amp;"*",bc_2017c),SUMIF(BC[],$A63,bc_2017c))))</f>
        <v>3014839.91</v>
      </c>
      <c r="E63" s="376">
        <f ca="1">-IF(RIGHT($A63,3)="000",SUMIF(BC[],MID($A63,1,1)&amp;"*",bc_2017a),IF(RIGHT($A63,2)="00",SUMIF(BC[],MID($A63,1,2)&amp;"*",bc_2017a),IF(RIGHT($A63,1)="0",SUMIF(BC[],MID($A63,1,3)&amp;"*",bc_2017a),SUMIF(BC[],$A63,bc_2017a))))</f>
        <v>986649.98</v>
      </c>
      <c r="F63" s="376">
        <f ca="1">IF(RIGHT($A63,3)="000",SUMIF(BC[],MID($A63,1,1)&amp;"*",bc_2017),IF(RIGHT($A63,2)="00",SUMIF(BC[],MID($A63,1,2)&amp;"*",bc_2017),IF(RIGHT($A63,1)="0",SUMIF(BC[],MID($A63,1,3)&amp;"*",bc_2017),SUMIF(BC[],$A63,bc_2017))))</f>
        <v>17883200.050000001</v>
      </c>
      <c r="G63" s="376">
        <f t="shared" ca="1" si="0"/>
        <v>2028189.9299999997</v>
      </c>
    </row>
    <row r="64" spans="1:7">
      <c r="A64" s="182">
        <v>1241</v>
      </c>
      <c r="B64" s="159" t="s">
        <v>21</v>
      </c>
      <c r="C64" s="377">
        <f ca="1">IF(RIGHT($A64,3)="000",SUMIF(BC[],MID($A64,1,1)&amp;"*",bc_2016),IF(RIGHT($A64,2)="00",SUMIF(BC[],MID($A64,1,2)&amp;"*",bc_2016),IF(RIGHT($A64,1)="0",SUMIF(BC[],MID($A64,1,3)&amp;"*",bc_2016),SUMIF(BC[],$A64,bc_2016))))</f>
        <v>10780784.810000001</v>
      </c>
      <c r="D64" s="377">
        <f ca="1">IF(RIGHT($A64,3)="000",SUMIF(BC[],MID($A64,1,1)&amp;"*",bc_2017c),IF(RIGHT($A64,2)="00",SUMIF(BC[],MID($A64,1,2)&amp;"*",bc_2017c),IF(RIGHT($A64,1)="0",SUMIF(BC[],MID($A64,1,3)&amp;"*",bc_2017c),SUMIF(BC[],$A64,bc_2017c))))</f>
        <v>1377828.2000000002</v>
      </c>
      <c r="E64" s="377">
        <f ca="1">-IF(RIGHT($A64,3)="000",SUMIF(BC[],MID($A64,1,1)&amp;"*",bc_2017a),IF(RIGHT($A64,2)="00",SUMIF(BC[],MID($A64,1,2)&amp;"*",bc_2017a),IF(RIGHT($A64,1)="0",SUMIF(BC[],MID($A64,1,3)&amp;"*",bc_2017a),SUMIF(BC[],$A64,bc_2017a))))</f>
        <v>2900</v>
      </c>
      <c r="F64" s="377">
        <f ca="1">IF(RIGHT($A64,3)="000",SUMIF(BC[],MID($A64,1,1)&amp;"*",bc_2017),IF(RIGHT($A64,2)="00",SUMIF(BC[],MID($A64,1,2)&amp;"*",bc_2017),IF(RIGHT($A64,1)="0",SUMIF(BC[],MID($A64,1,3)&amp;"*",bc_2017),SUMIF(BC[],$A64,bc_2017))))</f>
        <v>12155713.010000002</v>
      </c>
      <c r="G64" s="376">
        <f t="shared" ca="1" si="0"/>
        <v>1374928.2000000011</v>
      </c>
    </row>
    <row r="65" spans="1:7">
      <c r="A65" s="182">
        <v>1242</v>
      </c>
      <c r="B65" s="159" t="s">
        <v>22</v>
      </c>
      <c r="C65" s="377">
        <f ca="1">IF(RIGHT($A65,3)="000",SUMIF(BC[],MID($A65,1,1)&amp;"*",bc_2016),IF(RIGHT($A65,2)="00",SUMIF(BC[],MID($A65,1,2)&amp;"*",bc_2016),IF(RIGHT($A65,1)="0",SUMIF(BC[],MID($A65,1,3)&amp;"*",bc_2016),SUMIF(BC[],$A65,bc_2016))))</f>
        <v>0</v>
      </c>
      <c r="D65" s="377">
        <f ca="1">IF(RIGHT($A65,3)="000",SUMIF(BC[],MID($A65,1,1)&amp;"*",bc_2017c),IF(RIGHT($A65,2)="00",SUMIF(BC[],MID($A65,1,2)&amp;"*",bc_2017c),IF(RIGHT($A65,1)="0",SUMIF(BC[],MID($A65,1,3)&amp;"*",bc_2017c),SUMIF(BC[],$A65,bc_2017c))))</f>
        <v>0</v>
      </c>
      <c r="E65" s="377">
        <f ca="1">-IF(RIGHT($A65,3)="000",SUMIF(BC[],MID($A65,1,1)&amp;"*",bc_2017a),IF(RIGHT($A65,2)="00",SUMIF(BC[],MID($A65,1,2)&amp;"*",bc_2017a),IF(RIGHT($A65,1)="0",SUMIF(BC[],MID($A65,1,3)&amp;"*",bc_2017a),SUMIF(BC[],$A65,bc_2017a))))</f>
        <v>0</v>
      </c>
      <c r="F65" s="377">
        <f ca="1">IF(RIGHT($A65,3)="000",SUMIF(BC[],MID($A65,1,1)&amp;"*",bc_2017),IF(RIGHT($A65,2)="00",SUMIF(BC[],MID($A65,1,2)&amp;"*",bc_2017),IF(RIGHT($A65,1)="0",SUMIF(BC[],MID($A65,1,3)&amp;"*",bc_2017),SUMIF(BC[],$A65,bc_2017))))</f>
        <v>0</v>
      </c>
      <c r="G65" s="376">
        <f t="shared" ca="1" si="0"/>
        <v>0</v>
      </c>
    </row>
    <row r="66" spans="1:7">
      <c r="A66" s="182">
        <v>1243</v>
      </c>
      <c r="B66" s="159" t="s">
        <v>23</v>
      </c>
      <c r="C66" s="377">
        <f ca="1">IF(RIGHT($A66,3)="000",SUMIF(BC[],MID($A66,1,1)&amp;"*",bc_2016),IF(RIGHT($A66,2)="00",SUMIF(BC[],MID($A66,1,2)&amp;"*",bc_2016),IF(RIGHT($A66,1)="0",SUMIF(BC[],MID($A66,1,3)&amp;"*",bc_2016),SUMIF(BC[],$A66,bc_2016))))</f>
        <v>0</v>
      </c>
      <c r="D66" s="377">
        <f ca="1">IF(RIGHT($A66,3)="000",SUMIF(BC[],MID($A66,1,1)&amp;"*",bc_2017c),IF(RIGHT($A66,2)="00",SUMIF(BC[],MID($A66,1,2)&amp;"*",bc_2017c),IF(RIGHT($A66,1)="0",SUMIF(BC[],MID($A66,1,3)&amp;"*",bc_2017c),SUMIF(BC[],$A66,bc_2017c))))</f>
        <v>0</v>
      </c>
      <c r="E66" s="377">
        <f ca="1">-IF(RIGHT($A66,3)="000",SUMIF(BC[],MID($A66,1,1)&amp;"*",bc_2017a),IF(RIGHT($A66,2)="00",SUMIF(BC[],MID($A66,1,2)&amp;"*",bc_2017a),IF(RIGHT($A66,1)="0",SUMIF(BC[],MID($A66,1,3)&amp;"*",bc_2017a),SUMIF(BC[],$A66,bc_2017a))))</f>
        <v>0</v>
      </c>
      <c r="F66" s="377">
        <f ca="1">IF(RIGHT($A66,3)="000",SUMIF(BC[],MID($A66,1,1)&amp;"*",bc_2017),IF(RIGHT($A66,2)="00",SUMIF(BC[],MID($A66,1,2)&amp;"*",bc_2017),IF(RIGHT($A66,1)="0",SUMIF(BC[],MID($A66,1,3)&amp;"*",bc_2017),SUMIF(BC[],$A66,bc_2017))))</f>
        <v>0</v>
      </c>
      <c r="G66" s="376">
        <f t="shared" ca="1" si="0"/>
        <v>0</v>
      </c>
    </row>
    <row r="67" spans="1:7">
      <c r="A67" s="182">
        <v>1244</v>
      </c>
      <c r="B67" s="159" t="s">
        <v>654</v>
      </c>
      <c r="C67" s="377">
        <f ca="1">IF(RIGHT($A67,3)="000",SUMIF(BC[],MID($A67,1,1)&amp;"*",bc_2016),IF(RIGHT($A67,2)="00",SUMIF(BC[],MID($A67,1,2)&amp;"*",bc_2016),IF(RIGHT($A67,1)="0",SUMIF(BC[],MID($A67,1,3)&amp;"*",bc_2016),SUMIF(BC[],$A67,bc_2016))))</f>
        <v>4248189.0199999996</v>
      </c>
      <c r="D67" s="377">
        <f ca="1">IF(RIGHT($A67,3)="000",SUMIF(BC[],MID($A67,1,1)&amp;"*",bc_2017c),IF(RIGHT($A67,2)="00",SUMIF(BC[],MID($A67,1,2)&amp;"*",bc_2017c),IF(RIGHT($A67,1)="0",SUMIF(BC[],MID($A67,1,3)&amp;"*",bc_2017c),SUMIF(BC[],$A67,bc_2017c))))</f>
        <v>1504498</v>
      </c>
      <c r="E67" s="377">
        <f ca="1">-IF(RIGHT($A67,3)="000",SUMIF(BC[],MID($A67,1,1)&amp;"*",bc_2017a),IF(RIGHT($A67,2)="00",SUMIF(BC[],MID($A67,1,2)&amp;"*",bc_2017a),IF(RIGHT($A67,1)="0",SUMIF(BC[],MID($A67,1,3)&amp;"*",bc_2017a),SUMIF(BC[],$A67,bc_2017a))))</f>
        <v>944900.01</v>
      </c>
      <c r="F67" s="377">
        <f ca="1">IF(RIGHT($A67,3)="000",SUMIF(BC[],MID($A67,1,1)&amp;"*",bc_2017),IF(RIGHT($A67,2)="00",SUMIF(BC[],MID($A67,1,2)&amp;"*",bc_2017),IF(RIGHT($A67,1)="0",SUMIF(BC[],MID($A67,1,3)&amp;"*",bc_2017),SUMIF(BC[],$A67,bc_2017))))</f>
        <v>4807787.01</v>
      </c>
      <c r="G67" s="376">
        <f t="shared" ca="1" si="0"/>
        <v>559597.99000000022</v>
      </c>
    </row>
    <row r="68" spans="1:7">
      <c r="A68" s="182">
        <v>1245</v>
      </c>
      <c r="B68" s="159" t="s">
        <v>25</v>
      </c>
      <c r="C68" s="377">
        <f ca="1">IF(RIGHT($A68,3)="000",SUMIF(BC[],MID($A68,1,1)&amp;"*",bc_2016),IF(RIGHT($A68,2)="00",SUMIF(BC[],MID($A68,1,2)&amp;"*",bc_2016),IF(RIGHT($A68,1)="0",SUMIF(BC[],MID($A68,1,3)&amp;"*",bc_2016),SUMIF(BC[],$A68,bc_2016))))</f>
        <v>0</v>
      </c>
      <c r="D68" s="377">
        <f ca="1">IF(RIGHT($A68,3)="000",SUMIF(BC[],MID($A68,1,1)&amp;"*",bc_2017c),IF(RIGHT($A68,2)="00",SUMIF(BC[],MID($A68,1,2)&amp;"*",bc_2017c),IF(RIGHT($A68,1)="0",SUMIF(BC[],MID($A68,1,3)&amp;"*",bc_2017c),SUMIF(BC[],$A68,bc_2017c))))</f>
        <v>0</v>
      </c>
      <c r="E68" s="377">
        <f ca="1">-IF(RIGHT($A68,3)="000",SUMIF(BC[],MID($A68,1,1)&amp;"*",bc_2017a),IF(RIGHT($A68,2)="00",SUMIF(BC[],MID($A68,1,2)&amp;"*",bc_2017a),IF(RIGHT($A68,1)="0",SUMIF(BC[],MID($A68,1,3)&amp;"*",bc_2017a),SUMIF(BC[],$A68,bc_2017a))))</f>
        <v>0</v>
      </c>
      <c r="F68" s="377">
        <f ca="1">IF(RIGHT($A68,3)="000",SUMIF(BC[],MID($A68,1,1)&amp;"*",bc_2017),IF(RIGHT($A68,2)="00",SUMIF(BC[],MID($A68,1,2)&amp;"*",bc_2017),IF(RIGHT($A68,1)="0",SUMIF(BC[],MID($A68,1,3)&amp;"*",bc_2017),SUMIF(BC[],$A68,bc_2017))))</f>
        <v>0</v>
      </c>
      <c r="G68" s="376">
        <f t="shared" ca="1" si="0"/>
        <v>0</v>
      </c>
    </row>
    <row r="69" spans="1:7">
      <c r="A69" s="182">
        <v>1246</v>
      </c>
      <c r="B69" s="159" t="s">
        <v>26</v>
      </c>
      <c r="C69" s="377">
        <f ca="1">IF(RIGHT($A69,3)="000",SUMIF(BC[],MID($A69,1,1)&amp;"*",bc_2016),IF(RIGHT($A69,2)="00",SUMIF(BC[],MID($A69,1,2)&amp;"*",bc_2016),IF(RIGHT($A69,1)="0",SUMIF(BC[],MID($A69,1,3)&amp;"*",bc_2016),SUMIF(BC[],$A69,bc_2016))))</f>
        <v>625773.30000000005</v>
      </c>
      <c r="D69" s="377">
        <f ca="1">IF(RIGHT($A69,3)="000",SUMIF(BC[],MID($A69,1,1)&amp;"*",bc_2017c),IF(RIGHT($A69,2)="00",SUMIF(BC[],MID($A69,1,2)&amp;"*",bc_2017c),IF(RIGHT($A69,1)="0",SUMIF(BC[],MID($A69,1,3)&amp;"*",bc_2017c),SUMIF(BC[],$A69,bc_2017c))))</f>
        <v>132513.71</v>
      </c>
      <c r="E69" s="377">
        <f ca="1">-IF(RIGHT($A69,3)="000",SUMIF(BC[],MID($A69,1,1)&amp;"*",bc_2017a),IF(RIGHT($A69,2)="00",SUMIF(BC[],MID($A69,1,2)&amp;"*",bc_2017a),IF(RIGHT($A69,1)="0",SUMIF(BC[],MID($A69,1,3)&amp;"*",bc_2017a),SUMIF(BC[],$A69,bc_2017a))))</f>
        <v>38849.97</v>
      </c>
      <c r="F69" s="377">
        <f ca="1">IF(RIGHT($A69,3)="000",SUMIF(BC[],MID($A69,1,1)&amp;"*",bc_2017),IF(RIGHT($A69,2)="00",SUMIF(BC[],MID($A69,1,2)&amp;"*",bc_2017),IF(RIGHT($A69,1)="0",SUMIF(BC[],MID($A69,1,3)&amp;"*",bc_2017),SUMIF(BC[],$A69,bc_2017))))</f>
        <v>719437.04</v>
      </c>
      <c r="G69" s="376">
        <f t="shared" ref="G69:G100" ca="1" si="2">+F69-C69</f>
        <v>93663.739999999991</v>
      </c>
    </row>
    <row r="70" spans="1:7">
      <c r="A70" s="182">
        <v>1247</v>
      </c>
      <c r="B70" s="159" t="s">
        <v>448</v>
      </c>
      <c r="C70" s="377">
        <f ca="1">IF(RIGHT($A70,3)="000",SUMIF(BC[],MID($A70,1,1)&amp;"*",bc_2016),IF(RIGHT($A70,2)="00",SUMIF(BC[],MID($A70,1,2)&amp;"*",bc_2016),IF(RIGHT($A70,1)="0",SUMIF(BC[],MID($A70,1,3)&amp;"*",bc_2016),SUMIF(BC[],$A70,bc_2016))))</f>
        <v>200262.99</v>
      </c>
      <c r="D70" s="377">
        <f ca="1">IF(RIGHT($A70,3)="000",SUMIF(BC[],MID($A70,1,1)&amp;"*",bc_2017c),IF(RIGHT($A70,2)="00",SUMIF(BC[],MID($A70,1,2)&amp;"*",bc_2017c),IF(RIGHT($A70,1)="0",SUMIF(BC[],MID($A70,1,3)&amp;"*",bc_2017c),SUMIF(BC[],$A70,bc_2017c))))</f>
        <v>0</v>
      </c>
      <c r="E70" s="377">
        <f ca="1">-IF(RIGHT($A70,3)="000",SUMIF(BC[],MID($A70,1,1)&amp;"*",bc_2017a),IF(RIGHT($A70,2)="00",SUMIF(BC[],MID($A70,1,2)&amp;"*",bc_2017a),IF(RIGHT($A70,1)="0",SUMIF(BC[],MID($A70,1,3)&amp;"*",bc_2017a),SUMIF(BC[],$A70,bc_2017a))))</f>
        <v>0</v>
      </c>
      <c r="F70" s="377">
        <f ca="1">IF(RIGHT($A70,3)="000",SUMIF(BC[],MID($A70,1,1)&amp;"*",bc_2017),IF(RIGHT($A70,2)="00",SUMIF(BC[],MID($A70,1,2)&amp;"*",bc_2017),IF(RIGHT($A70,1)="0",SUMIF(BC[],MID($A70,1,3)&amp;"*",bc_2017),SUMIF(BC[],$A70,bc_2017))))</f>
        <v>200262.99</v>
      </c>
      <c r="G70" s="376">
        <f t="shared" ca="1" si="2"/>
        <v>0</v>
      </c>
    </row>
    <row r="71" spans="1:7">
      <c r="A71" s="182">
        <v>1248</v>
      </c>
      <c r="B71" s="159" t="s">
        <v>27</v>
      </c>
      <c r="C71" s="377">
        <f ca="1">IF(RIGHT($A71,3)="000",SUMIF(BC[],MID($A71,1,1)&amp;"*",bc_2016),IF(RIGHT($A71,2)="00",SUMIF(BC[],MID($A71,1,2)&amp;"*",bc_2016),IF(RIGHT($A71,1)="0",SUMIF(BC[],MID($A71,1,3)&amp;"*",bc_2016),SUMIF(BC[],$A71,bc_2016))))</f>
        <v>0</v>
      </c>
      <c r="D71" s="377">
        <f ca="1">IF(RIGHT($A71,3)="000",SUMIF(BC[],MID($A71,1,1)&amp;"*",bc_2017c),IF(RIGHT($A71,2)="00",SUMIF(BC[],MID($A71,1,2)&amp;"*",bc_2017c),IF(RIGHT($A71,1)="0",SUMIF(BC[],MID($A71,1,3)&amp;"*",bc_2017c),SUMIF(BC[],$A71,bc_2017c))))</f>
        <v>0</v>
      </c>
      <c r="E71" s="377">
        <f ca="1">-IF(RIGHT($A71,3)="000",SUMIF(BC[],MID($A71,1,1)&amp;"*",bc_2017a),IF(RIGHT($A71,2)="00",SUMIF(BC[],MID($A71,1,2)&amp;"*",bc_2017a),IF(RIGHT($A71,1)="0",SUMIF(BC[],MID($A71,1,3)&amp;"*",bc_2017a),SUMIF(BC[],$A71,bc_2017a))))</f>
        <v>0</v>
      </c>
      <c r="F71" s="377">
        <f ca="1">IF(RIGHT($A71,3)="000",SUMIF(BC[],MID($A71,1,1)&amp;"*",bc_2017),IF(RIGHT($A71,2)="00",SUMIF(BC[],MID($A71,1,2)&amp;"*",bc_2017),IF(RIGHT($A71,1)="0",SUMIF(BC[],MID($A71,1,3)&amp;"*",bc_2017),SUMIF(BC[],$A71,bc_2017))))</f>
        <v>0</v>
      </c>
      <c r="G71" s="376">
        <f t="shared" ca="1" si="2"/>
        <v>0</v>
      </c>
    </row>
    <row r="72" spans="1:7">
      <c r="A72" s="180">
        <v>1250</v>
      </c>
      <c r="B72" s="156" t="s">
        <v>28</v>
      </c>
      <c r="C72" s="376">
        <f ca="1">IF(RIGHT($A72,3)="000",SUMIF(BC[],MID($A72,1,1)&amp;"*",bc_2016),IF(RIGHT($A72,2)="00",SUMIF(BC[],MID($A72,1,2)&amp;"*",bc_2016),IF(RIGHT($A72,1)="0",SUMIF(BC[],MID($A72,1,3)&amp;"*",bc_2016),SUMIF(BC[],$A72,bc_2016))))</f>
        <v>12823516.859999999</v>
      </c>
      <c r="D72" s="376">
        <f ca="1">IF(RIGHT($A72,3)="000",SUMIF(BC[],MID($A72,1,1)&amp;"*",bc_2017c),IF(RIGHT($A72,2)="00",SUMIF(BC[],MID($A72,1,2)&amp;"*",bc_2017c),IF(RIGHT($A72,1)="0",SUMIF(BC[],MID($A72,1,3)&amp;"*",bc_2017c),SUMIF(BC[],$A72,bc_2017c))))</f>
        <v>125415.3</v>
      </c>
      <c r="E72" s="376">
        <f ca="1">-IF(RIGHT($A72,3)="000",SUMIF(BC[],MID($A72,1,1)&amp;"*",bc_2017a),IF(RIGHT($A72,2)="00",SUMIF(BC[],MID($A72,1,2)&amp;"*",bc_2017a),IF(RIGHT($A72,1)="0",SUMIF(BC[],MID($A72,1,3)&amp;"*",bc_2017a),SUMIF(BC[],$A72,bc_2017a))))</f>
        <v>0</v>
      </c>
      <c r="F72" s="376">
        <f ca="1">IF(RIGHT($A72,3)="000",SUMIF(BC[],MID($A72,1,1)&amp;"*",bc_2017),IF(RIGHT($A72,2)="00",SUMIF(BC[],MID($A72,1,2)&amp;"*",bc_2017),IF(RIGHT($A72,1)="0",SUMIF(BC[],MID($A72,1,3)&amp;"*",bc_2017),SUMIF(BC[],$A72,bc_2017))))</f>
        <v>12948932.159999998</v>
      </c>
      <c r="G72" s="376">
        <f t="shared" ca="1" si="2"/>
        <v>125415.29999999888</v>
      </c>
    </row>
    <row r="73" spans="1:7">
      <c r="A73" s="182">
        <v>1251</v>
      </c>
      <c r="B73" s="159" t="s">
        <v>449</v>
      </c>
      <c r="C73" s="377">
        <f ca="1">IF(RIGHT($A73,3)="000",SUMIF(BC[],MID($A73,1,1)&amp;"*",bc_2016),IF(RIGHT($A73,2)="00",SUMIF(BC[],MID($A73,1,2)&amp;"*",bc_2016),IF(RIGHT($A73,1)="0",SUMIF(BC[],MID($A73,1,3)&amp;"*",bc_2016),SUMIF(BC[],$A73,bc_2016))))</f>
        <v>12295170.92</v>
      </c>
      <c r="D73" s="377">
        <f ca="1">IF(RIGHT($A73,3)="000",SUMIF(BC[],MID($A73,1,1)&amp;"*",bc_2017c),IF(RIGHT($A73,2)="00",SUMIF(BC[],MID($A73,1,2)&amp;"*",bc_2017c),IF(RIGHT($A73,1)="0",SUMIF(BC[],MID($A73,1,3)&amp;"*",bc_2017c),SUMIF(BC[],$A73,bc_2017c))))</f>
        <v>0</v>
      </c>
      <c r="E73" s="377">
        <f ca="1">-IF(RIGHT($A73,3)="000",SUMIF(BC[],MID($A73,1,1)&amp;"*",bc_2017a),IF(RIGHT($A73,2)="00",SUMIF(BC[],MID($A73,1,2)&amp;"*",bc_2017a),IF(RIGHT($A73,1)="0",SUMIF(BC[],MID($A73,1,3)&amp;"*",bc_2017a),SUMIF(BC[],$A73,bc_2017a))))</f>
        <v>0</v>
      </c>
      <c r="F73" s="377">
        <f ca="1">IF(RIGHT($A73,3)="000",SUMIF(BC[],MID($A73,1,1)&amp;"*",bc_2017),IF(RIGHT($A73,2)="00",SUMIF(BC[],MID($A73,1,2)&amp;"*",bc_2017),IF(RIGHT($A73,1)="0",SUMIF(BC[],MID($A73,1,3)&amp;"*",bc_2017),SUMIF(BC[],$A73,bc_2017))))</f>
        <v>12295170.92</v>
      </c>
      <c r="G73" s="376">
        <f t="shared" ca="1" si="2"/>
        <v>0</v>
      </c>
    </row>
    <row r="74" spans="1:7">
      <c r="A74" s="182">
        <v>1252</v>
      </c>
      <c r="B74" s="159" t="s">
        <v>450</v>
      </c>
      <c r="C74" s="378">
        <f ca="1">IF(RIGHT($A74,3)="000",SUMIF(BC[],MID($A74,1,1)&amp;"*",bc_2016),IF(RIGHT($A74,2)="00",SUMIF(BC[],MID($A74,1,2)&amp;"*",bc_2016),IF(RIGHT($A74,1)="0",SUMIF(BC[],MID($A74,1,3)&amp;"*",bc_2016),SUMIF(BC[],$A74,bc_2016))))</f>
        <v>528345.94000000006</v>
      </c>
      <c r="D74" s="378">
        <f ca="1">IF(RIGHT($A74,3)="000",SUMIF(BC[],MID($A74,1,1)&amp;"*",bc_2017c),IF(RIGHT($A74,2)="00",SUMIF(BC[],MID($A74,1,2)&amp;"*",bc_2017c),IF(RIGHT($A74,1)="0",SUMIF(BC[],MID($A74,1,3)&amp;"*",bc_2017c),SUMIF(BC[],$A74,bc_2017c))))</f>
        <v>125415.3</v>
      </c>
      <c r="E74" s="378">
        <f ca="1">-IF(RIGHT($A74,3)="000",SUMIF(BC[],MID($A74,1,1)&amp;"*",bc_2017a),IF(RIGHT($A74,2)="00",SUMIF(BC[],MID($A74,1,2)&amp;"*",bc_2017a),IF(RIGHT($A74,1)="0",SUMIF(BC[],MID($A74,1,3)&amp;"*",bc_2017a),SUMIF(BC[],$A74,bc_2017a))))</f>
        <v>0</v>
      </c>
      <c r="F74" s="378">
        <f ca="1">IF(RIGHT($A74,3)="000",SUMIF(BC[],MID($A74,1,1)&amp;"*",bc_2017),IF(RIGHT($A74,2)="00",SUMIF(BC[],MID($A74,1,2)&amp;"*",bc_2017),IF(RIGHT($A74,1)="0",SUMIF(BC[],MID($A74,1,3)&amp;"*",bc_2017),SUMIF(BC[],$A74,bc_2017))))</f>
        <v>653761.24</v>
      </c>
      <c r="G74" s="376">
        <f t="shared" ca="1" si="2"/>
        <v>125415.29999999993</v>
      </c>
    </row>
    <row r="75" spans="1:7">
      <c r="A75" s="182">
        <v>1253</v>
      </c>
      <c r="B75" s="159" t="s">
        <v>451</v>
      </c>
      <c r="C75" s="378">
        <f ca="1">IF(RIGHT($A75,3)="000",SUMIF(BC[],MID($A75,1,1)&amp;"*",bc_2016),IF(RIGHT($A75,2)="00",SUMIF(BC[],MID($A75,1,2)&amp;"*",bc_2016),IF(RIGHT($A75,1)="0",SUMIF(BC[],MID($A75,1,3)&amp;"*",bc_2016),SUMIF(BC[],$A75,bc_2016))))</f>
        <v>0</v>
      </c>
      <c r="D75" s="378">
        <f ca="1">IF(RIGHT($A75,3)="000",SUMIF(BC[],MID($A75,1,1)&amp;"*",bc_2017c),IF(RIGHT($A75,2)="00",SUMIF(BC[],MID($A75,1,2)&amp;"*",bc_2017c),IF(RIGHT($A75,1)="0",SUMIF(BC[],MID($A75,1,3)&amp;"*",bc_2017c),SUMIF(BC[],$A75,bc_2017c))))</f>
        <v>0</v>
      </c>
      <c r="E75" s="378">
        <f ca="1">-IF(RIGHT($A75,3)="000",SUMIF(BC[],MID($A75,1,1)&amp;"*",bc_2017a),IF(RIGHT($A75,2)="00",SUMIF(BC[],MID($A75,1,2)&amp;"*",bc_2017a),IF(RIGHT($A75,1)="0",SUMIF(BC[],MID($A75,1,3)&amp;"*",bc_2017a),SUMIF(BC[],$A75,bc_2017a))))</f>
        <v>0</v>
      </c>
      <c r="F75" s="378">
        <f ca="1">IF(RIGHT($A75,3)="000",SUMIF(BC[],MID($A75,1,1)&amp;"*",bc_2017),IF(RIGHT($A75,2)="00",SUMIF(BC[],MID($A75,1,2)&amp;"*",bc_2017),IF(RIGHT($A75,1)="0",SUMIF(BC[],MID($A75,1,3)&amp;"*",bc_2017),SUMIF(BC[],$A75,bc_2017))))</f>
        <v>0</v>
      </c>
      <c r="G75" s="376">
        <f t="shared" ca="1" si="2"/>
        <v>0</v>
      </c>
    </row>
    <row r="76" spans="1:7">
      <c r="A76" s="182">
        <v>1254</v>
      </c>
      <c r="B76" s="159" t="s">
        <v>452</v>
      </c>
      <c r="C76" s="378">
        <f ca="1">IF(RIGHT($A76,3)="000",SUMIF(BC[],MID($A76,1,1)&amp;"*",bc_2016),IF(RIGHT($A76,2)="00",SUMIF(BC[],MID($A76,1,2)&amp;"*",bc_2016),IF(RIGHT($A76,1)="0",SUMIF(BC[],MID($A76,1,3)&amp;"*",bc_2016),SUMIF(BC[],$A76,bc_2016))))</f>
        <v>0</v>
      </c>
      <c r="D76" s="378">
        <f ca="1">IF(RIGHT($A76,3)="000",SUMIF(BC[],MID($A76,1,1)&amp;"*",bc_2017c),IF(RIGHT($A76,2)="00",SUMIF(BC[],MID($A76,1,2)&amp;"*",bc_2017c),IF(RIGHT($A76,1)="0",SUMIF(BC[],MID($A76,1,3)&amp;"*",bc_2017c),SUMIF(BC[],$A76,bc_2017c))))</f>
        <v>0</v>
      </c>
      <c r="E76" s="378">
        <f ca="1">-IF(RIGHT($A76,3)="000",SUMIF(BC[],MID($A76,1,1)&amp;"*",bc_2017a),IF(RIGHT($A76,2)="00",SUMIF(BC[],MID($A76,1,2)&amp;"*",bc_2017a),IF(RIGHT($A76,1)="0",SUMIF(BC[],MID($A76,1,3)&amp;"*",bc_2017a),SUMIF(BC[],$A76,bc_2017a))))</f>
        <v>0</v>
      </c>
      <c r="F76" s="378">
        <f ca="1">IF(RIGHT($A76,3)="000",SUMIF(BC[],MID($A76,1,1)&amp;"*",bc_2017),IF(RIGHT($A76,2)="00",SUMIF(BC[],MID($A76,1,2)&amp;"*",bc_2017),IF(RIGHT($A76,1)="0",SUMIF(BC[],MID($A76,1,3)&amp;"*",bc_2017),SUMIF(BC[],$A76,bc_2017))))</f>
        <v>0</v>
      </c>
      <c r="G76" s="376">
        <f t="shared" ca="1" si="2"/>
        <v>0</v>
      </c>
    </row>
    <row r="77" spans="1:7">
      <c r="A77" s="182">
        <v>1259</v>
      </c>
      <c r="B77" s="159" t="s">
        <v>453</v>
      </c>
      <c r="C77" s="378">
        <f ca="1">IF(RIGHT($A77,3)="000",SUMIF(BC[],MID($A77,1,1)&amp;"*",bc_2016),IF(RIGHT($A77,2)="00",SUMIF(BC[],MID($A77,1,2)&amp;"*",bc_2016),IF(RIGHT($A77,1)="0",SUMIF(BC[],MID($A77,1,3)&amp;"*",bc_2016),SUMIF(BC[],$A77,bc_2016))))</f>
        <v>0</v>
      </c>
      <c r="D77" s="378">
        <f ca="1">IF(RIGHT($A77,3)="000",SUMIF(BC[],MID($A77,1,1)&amp;"*",bc_2017c),IF(RIGHT($A77,2)="00",SUMIF(BC[],MID($A77,1,2)&amp;"*",bc_2017c),IF(RIGHT($A77,1)="0",SUMIF(BC[],MID($A77,1,3)&amp;"*",bc_2017c),SUMIF(BC[],$A77,bc_2017c))))</f>
        <v>0</v>
      </c>
      <c r="E77" s="378">
        <f ca="1">-IF(RIGHT($A77,3)="000",SUMIF(BC[],MID($A77,1,1)&amp;"*",bc_2017a),IF(RIGHT($A77,2)="00",SUMIF(BC[],MID($A77,1,2)&amp;"*",bc_2017a),IF(RIGHT($A77,1)="0",SUMIF(BC[],MID($A77,1,3)&amp;"*",bc_2017a),SUMIF(BC[],$A77,bc_2017a))))</f>
        <v>0</v>
      </c>
      <c r="F77" s="378">
        <f ca="1">IF(RIGHT($A77,3)="000",SUMIF(BC[],MID($A77,1,1)&amp;"*",bc_2017),IF(RIGHT($A77,2)="00",SUMIF(BC[],MID($A77,1,2)&amp;"*",bc_2017),IF(RIGHT($A77,1)="0",SUMIF(BC[],MID($A77,1,3)&amp;"*",bc_2017),SUMIF(BC[],$A77,bc_2017))))</f>
        <v>0</v>
      </c>
      <c r="G77" s="376">
        <f t="shared" ca="1" si="2"/>
        <v>0</v>
      </c>
    </row>
    <row r="78" spans="1:7">
      <c r="A78" s="180">
        <v>1260</v>
      </c>
      <c r="B78" s="156" t="s">
        <v>30</v>
      </c>
      <c r="C78" s="376">
        <f ca="1">IF(RIGHT($A78,3)="000",SUMIF(BC[],MID($A78,1,1)&amp;"*",bc_2016),IF(RIGHT($A78,2)="00",SUMIF(BC[],MID($A78,1,2)&amp;"*",bc_2016),IF(RIGHT($A78,1)="0",SUMIF(BC[],MID($A78,1,3)&amp;"*",bc_2016),SUMIF(BC[],$A78,bc_2016))))</f>
        <v>-8858009.2199999988</v>
      </c>
      <c r="D78" s="376">
        <f ca="1">IF(RIGHT($A78,3)="000",SUMIF(BC[],MID($A78,1,1)&amp;"*",bc_2017c),IF(RIGHT($A78,2)="00",SUMIF(BC[],MID($A78,1,2)&amp;"*",bc_2017c),IF(RIGHT($A78,1)="0",SUMIF(BC[],MID($A78,1,3)&amp;"*",bc_2017c),SUMIF(BC[],$A78,bc_2017c))))</f>
        <v>518018.76</v>
      </c>
      <c r="E78" s="376">
        <f ca="1">-IF(RIGHT($A78,3)="000",SUMIF(BC[],MID($A78,1,1)&amp;"*",bc_2017a),IF(RIGHT($A78,2)="00",SUMIF(BC[],MID($A78,1,2)&amp;"*",bc_2017a),IF(RIGHT($A78,1)="0",SUMIF(BC[],MID($A78,1,3)&amp;"*",bc_2017a),SUMIF(BC[],$A78,bc_2017a))))</f>
        <v>2359186.1</v>
      </c>
      <c r="F78" s="376">
        <f ca="1">IF(RIGHT($A78,3)="000",SUMIF(BC[],MID($A78,1,1)&amp;"*",bc_2017),IF(RIGHT($A78,2)="00",SUMIF(BC[],MID($A78,1,2)&amp;"*",bc_2017),IF(RIGHT($A78,1)="0",SUMIF(BC[],MID($A78,1,3)&amp;"*",bc_2017),SUMIF(BC[],$A78,bc_2017))))</f>
        <v>-10699176.560000001</v>
      </c>
      <c r="G78" s="376">
        <f t="shared" ca="1" si="2"/>
        <v>-1841167.3400000017</v>
      </c>
    </row>
    <row r="79" spans="1:7">
      <c r="A79" s="182">
        <v>1261</v>
      </c>
      <c r="B79" s="159" t="s">
        <v>454</v>
      </c>
      <c r="C79" s="378">
        <f ca="1">IF(RIGHT($A79,3)="000",SUMIF(BC[],MID($A79,1,1)&amp;"*",bc_2016),IF(RIGHT($A79,2)="00",SUMIF(BC[],MID($A79,1,2)&amp;"*",bc_2016),IF(RIGHT($A79,1)="0",SUMIF(BC[],MID($A79,1,3)&amp;"*",bc_2016),SUMIF(BC[],$A79,bc_2016))))</f>
        <v>0</v>
      </c>
      <c r="D79" s="378">
        <f ca="1">IF(RIGHT($A79,3)="000",SUMIF(BC[],MID($A79,1,1)&amp;"*",bc_2017c),IF(RIGHT($A79,2)="00",SUMIF(BC[],MID($A79,1,2)&amp;"*",bc_2017c),IF(RIGHT($A79,1)="0",SUMIF(BC[],MID($A79,1,3)&amp;"*",bc_2017c),SUMIF(BC[],$A79,bc_2017c))))</f>
        <v>0</v>
      </c>
      <c r="E79" s="378">
        <f ca="1">-IF(RIGHT($A79,3)="000",SUMIF(BC[],MID($A79,1,1)&amp;"*",bc_2017a),IF(RIGHT($A79,2)="00",SUMIF(BC[],MID($A79,1,2)&amp;"*",bc_2017a),IF(RIGHT($A79,1)="0",SUMIF(BC[],MID($A79,1,3)&amp;"*",bc_2017a),SUMIF(BC[],$A79,bc_2017a))))</f>
        <v>0</v>
      </c>
      <c r="F79" s="378">
        <f ca="1">IF(RIGHT($A79,3)="000",SUMIF(BC[],MID($A79,1,1)&amp;"*",bc_2017),IF(RIGHT($A79,2)="00",SUMIF(BC[],MID($A79,1,2)&amp;"*",bc_2017),IF(RIGHT($A79,1)="0",SUMIF(BC[],MID($A79,1,3)&amp;"*",bc_2017),SUMIF(BC[],$A79,bc_2017))))</f>
        <v>0</v>
      </c>
      <c r="G79" s="376">
        <f t="shared" ca="1" si="2"/>
        <v>0</v>
      </c>
    </row>
    <row r="80" spans="1:7">
      <c r="A80" s="182">
        <v>1262</v>
      </c>
      <c r="B80" s="159" t="s">
        <v>455</v>
      </c>
      <c r="C80" s="378">
        <f ca="1">IF(RIGHT($A80,3)="000",SUMIF(BC[],MID($A80,1,1)&amp;"*",bc_2016),IF(RIGHT($A80,2)="00",SUMIF(BC[],MID($A80,1,2)&amp;"*",bc_2016),IF(RIGHT($A80,1)="0",SUMIF(BC[],MID($A80,1,3)&amp;"*",bc_2016),SUMIF(BC[],$A80,bc_2016))))</f>
        <v>0</v>
      </c>
      <c r="D80" s="378">
        <f ca="1">IF(RIGHT($A80,3)="000",SUMIF(BC[],MID($A80,1,1)&amp;"*",bc_2017c),IF(RIGHT($A80,2)="00",SUMIF(BC[],MID($A80,1,2)&amp;"*",bc_2017c),IF(RIGHT($A80,1)="0",SUMIF(BC[],MID($A80,1,3)&amp;"*",bc_2017c),SUMIF(BC[],$A80,bc_2017c))))</f>
        <v>0</v>
      </c>
      <c r="E80" s="378">
        <f ca="1">-IF(RIGHT($A80,3)="000",SUMIF(BC[],MID($A80,1,1)&amp;"*",bc_2017a),IF(RIGHT($A80,2)="00",SUMIF(BC[],MID($A80,1,2)&amp;"*",bc_2017a),IF(RIGHT($A80,1)="0",SUMIF(BC[],MID($A80,1,3)&amp;"*",bc_2017a),SUMIF(BC[],$A80,bc_2017a))))</f>
        <v>0</v>
      </c>
      <c r="F80" s="378">
        <f ca="1">IF(RIGHT($A80,3)="000",SUMIF(BC[],MID($A80,1,1)&amp;"*",bc_2017),IF(RIGHT($A80,2)="00",SUMIF(BC[],MID($A80,1,2)&amp;"*",bc_2017),IF(RIGHT($A80,1)="0",SUMIF(BC[],MID($A80,1,3)&amp;"*",bc_2017),SUMIF(BC[],$A80,bc_2017))))</f>
        <v>0</v>
      </c>
      <c r="G80" s="376">
        <f t="shared" ca="1" si="2"/>
        <v>0</v>
      </c>
    </row>
    <row r="81" spans="1:7">
      <c r="A81" s="182">
        <v>1263</v>
      </c>
      <c r="B81" s="159" t="s">
        <v>456</v>
      </c>
      <c r="C81" s="378">
        <f ca="1">IF(RIGHT($A81,3)="000",SUMIF(BC[],MID($A81,1,1)&amp;"*",bc_2016),IF(RIGHT($A81,2)="00",SUMIF(BC[],MID($A81,1,2)&amp;"*",bc_2016),IF(RIGHT($A81,1)="0",SUMIF(BC[],MID($A81,1,3)&amp;"*",bc_2016),SUMIF(BC[],$A81,bc_2016))))</f>
        <v>-8858009.2199999988</v>
      </c>
      <c r="D81" s="378">
        <f ca="1">IF(RIGHT($A81,3)="000",SUMIF(BC[],MID($A81,1,1)&amp;"*",bc_2017c),IF(RIGHT($A81,2)="00",SUMIF(BC[],MID($A81,1,2)&amp;"*",bc_2017c),IF(RIGHT($A81,1)="0",SUMIF(BC[],MID($A81,1,3)&amp;"*",bc_2017c),SUMIF(BC[],$A81,bc_2017c))))</f>
        <v>518018.76</v>
      </c>
      <c r="E81" s="378">
        <f ca="1">-IF(RIGHT($A81,3)="000",SUMIF(BC[],MID($A81,1,1)&amp;"*",bc_2017a),IF(RIGHT($A81,2)="00",SUMIF(BC[],MID($A81,1,2)&amp;"*",bc_2017a),IF(RIGHT($A81,1)="0",SUMIF(BC[],MID($A81,1,3)&amp;"*",bc_2017a),SUMIF(BC[],$A81,bc_2017a))))</f>
        <v>2359186.1</v>
      </c>
      <c r="F81" s="378">
        <f ca="1">IF(RIGHT($A81,3)="000",SUMIF(BC[],MID($A81,1,1)&amp;"*",bc_2017),IF(RIGHT($A81,2)="00",SUMIF(BC[],MID($A81,1,2)&amp;"*",bc_2017),IF(RIGHT($A81,1)="0",SUMIF(BC[],MID($A81,1,3)&amp;"*",bc_2017),SUMIF(BC[],$A81,bc_2017))))</f>
        <v>-10699176.560000001</v>
      </c>
      <c r="G81" s="376">
        <f t="shared" ca="1" si="2"/>
        <v>-1841167.3400000017</v>
      </c>
    </row>
    <row r="82" spans="1:7">
      <c r="A82" s="182">
        <v>1264</v>
      </c>
      <c r="B82" s="159" t="s">
        <v>457</v>
      </c>
      <c r="C82" s="378">
        <f ca="1">IF(RIGHT($A82,3)="000",SUMIF(BC[],MID($A82,1,1)&amp;"*",bc_2016),IF(RIGHT($A82,2)="00",SUMIF(BC[],MID($A82,1,2)&amp;"*",bc_2016),IF(RIGHT($A82,1)="0",SUMIF(BC[],MID($A82,1,3)&amp;"*",bc_2016),SUMIF(BC[],$A82,bc_2016))))</f>
        <v>0</v>
      </c>
      <c r="D82" s="378">
        <f ca="1">IF(RIGHT($A82,3)="000",SUMIF(BC[],MID($A82,1,1)&amp;"*",bc_2017c),IF(RIGHT($A82,2)="00",SUMIF(BC[],MID($A82,1,2)&amp;"*",bc_2017c),IF(RIGHT($A82,1)="0",SUMIF(BC[],MID($A82,1,3)&amp;"*",bc_2017c),SUMIF(BC[],$A82,bc_2017c))))</f>
        <v>0</v>
      </c>
      <c r="E82" s="378">
        <f ca="1">-IF(RIGHT($A82,3)="000",SUMIF(BC[],MID($A82,1,1)&amp;"*",bc_2017a),IF(RIGHT($A82,2)="00",SUMIF(BC[],MID($A82,1,2)&amp;"*",bc_2017a),IF(RIGHT($A82,1)="0",SUMIF(BC[],MID($A82,1,3)&amp;"*",bc_2017a),SUMIF(BC[],$A82,bc_2017a))))</f>
        <v>0</v>
      </c>
      <c r="F82" s="378">
        <f ca="1">IF(RIGHT($A82,3)="000",SUMIF(BC[],MID($A82,1,1)&amp;"*",bc_2017),IF(RIGHT($A82,2)="00",SUMIF(BC[],MID($A82,1,2)&amp;"*",bc_2017),IF(RIGHT($A82,1)="0",SUMIF(BC[],MID($A82,1,3)&amp;"*",bc_2017),SUMIF(BC[],$A82,bc_2017))))</f>
        <v>0</v>
      </c>
      <c r="G82" s="376">
        <f t="shared" ca="1" si="2"/>
        <v>0</v>
      </c>
    </row>
    <row r="83" spans="1:7">
      <c r="A83" s="182">
        <v>1265</v>
      </c>
      <c r="B83" s="159" t="s">
        <v>458</v>
      </c>
      <c r="C83" s="378">
        <f ca="1">IF(RIGHT($A83,3)="000",SUMIF(BC[],MID($A83,1,1)&amp;"*",bc_2016),IF(RIGHT($A83,2)="00",SUMIF(BC[],MID($A83,1,2)&amp;"*",bc_2016),IF(RIGHT($A83,1)="0",SUMIF(BC[],MID($A83,1,3)&amp;"*",bc_2016),SUMIF(BC[],$A83,bc_2016))))</f>
        <v>0</v>
      </c>
      <c r="D83" s="378">
        <f ca="1">IF(RIGHT($A83,3)="000",SUMIF(BC[],MID($A83,1,1)&amp;"*",bc_2017c),IF(RIGHT($A83,2)="00",SUMIF(BC[],MID($A83,1,2)&amp;"*",bc_2017c),IF(RIGHT($A83,1)="0",SUMIF(BC[],MID($A83,1,3)&amp;"*",bc_2017c),SUMIF(BC[],$A83,bc_2017c))))</f>
        <v>0</v>
      </c>
      <c r="E83" s="378">
        <f ca="1">-IF(RIGHT($A83,3)="000",SUMIF(BC[],MID($A83,1,1)&amp;"*",bc_2017a),IF(RIGHT($A83,2)="00",SUMIF(BC[],MID($A83,1,2)&amp;"*",bc_2017a),IF(RIGHT($A83,1)="0",SUMIF(BC[],MID($A83,1,3)&amp;"*",bc_2017a),SUMIF(BC[],$A83,bc_2017a))))</f>
        <v>0</v>
      </c>
      <c r="F83" s="378">
        <f ca="1">IF(RIGHT($A83,3)="000",SUMIF(BC[],MID($A83,1,1)&amp;"*",bc_2017),IF(RIGHT($A83,2)="00",SUMIF(BC[],MID($A83,1,2)&amp;"*",bc_2017),IF(RIGHT($A83,1)="0",SUMIF(BC[],MID($A83,1,3)&amp;"*",bc_2017),SUMIF(BC[],$A83,bc_2017))))</f>
        <v>0</v>
      </c>
      <c r="G83" s="376">
        <f t="shared" ca="1" si="2"/>
        <v>0</v>
      </c>
    </row>
    <row r="84" spans="1:7">
      <c r="A84" s="180">
        <v>1270</v>
      </c>
      <c r="B84" s="156" t="s">
        <v>31</v>
      </c>
      <c r="C84" s="376">
        <f ca="1">IF(RIGHT($A84,3)="000",SUMIF(BC[],MID($A84,1,1)&amp;"*",bc_2016),IF(RIGHT($A84,2)="00",SUMIF(BC[],MID($A84,1,2)&amp;"*",bc_2016),IF(RIGHT($A84,1)="0",SUMIF(BC[],MID($A84,1,3)&amp;"*",bc_2016),SUMIF(BC[],$A84,bc_2016))))</f>
        <v>45485.72</v>
      </c>
      <c r="D84" s="376">
        <f ca="1">IF(RIGHT($A84,3)="000",SUMIF(BC[],MID($A84,1,1)&amp;"*",bc_2017c),IF(RIGHT($A84,2)="00",SUMIF(BC[],MID($A84,1,2)&amp;"*",bc_2017c),IF(RIGHT($A84,1)="0",SUMIF(BC[],MID($A84,1,3)&amp;"*",bc_2017c),SUMIF(BC[],$A84,bc_2017c))))</f>
        <v>0</v>
      </c>
      <c r="E84" s="376">
        <f ca="1">-IF(RIGHT($A84,3)="000",SUMIF(BC[],MID($A84,1,1)&amp;"*",bc_2017a),IF(RIGHT($A84,2)="00",SUMIF(BC[],MID($A84,1,2)&amp;"*",bc_2017a),IF(RIGHT($A84,1)="0",SUMIF(BC[],MID($A84,1,3)&amp;"*",bc_2017a),SUMIF(BC[],$A84,bc_2017a))))</f>
        <v>10285.719999999999</v>
      </c>
      <c r="F84" s="376">
        <f ca="1">IF(RIGHT($A84,3)="000",SUMIF(BC[],MID($A84,1,1)&amp;"*",bc_2017),IF(RIGHT($A84,2)="00",SUMIF(BC[],MID($A84,1,2)&amp;"*",bc_2017),IF(RIGHT($A84,1)="0",SUMIF(BC[],MID($A84,1,3)&amp;"*",bc_2017),SUMIF(BC[],$A84,bc_2017))))</f>
        <v>35200</v>
      </c>
      <c r="G84" s="376">
        <f t="shared" ca="1" si="2"/>
        <v>-10285.720000000001</v>
      </c>
    </row>
    <row r="85" spans="1:7">
      <c r="A85" s="182">
        <v>1271</v>
      </c>
      <c r="B85" s="159" t="s">
        <v>459</v>
      </c>
      <c r="C85" s="378">
        <f ca="1">IF(RIGHT($A85,3)="000",SUMIF(BC[],MID($A85,1,1)&amp;"*",bc_2016),IF(RIGHT($A85,2)="00",SUMIF(BC[],MID($A85,1,2)&amp;"*",bc_2016),IF(RIGHT($A85,1)="0",SUMIF(BC[],MID($A85,1,3)&amp;"*",bc_2016),SUMIF(BC[],$A85,bc_2016))))</f>
        <v>0</v>
      </c>
      <c r="D85" s="378">
        <f ca="1">IF(RIGHT($A85,3)="000",SUMIF(BC[],MID($A85,1,1)&amp;"*",bc_2017c),IF(RIGHT($A85,2)="00",SUMIF(BC[],MID($A85,1,2)&amp;"*",bc_2017c),IF(RIGHT($A85,1)="0",SUMIF(BC[],MID($A85,1,3)&amp;"*",bc_2017c),SUMIF(BC[],$A85,bc_2017c))))</f>
        <v>0</v>
      </c>
      <c r="E85" s="378">
        <f ca="1">-IF(RIGHT($A85,3)="000",SUMIF(BC[],MID($A85,1,1)&amp;"*",bc_2017a),IF(RIGHT($A85,2)="00",SUMIF(BC[],MID($A85,1,2)&amp;"*",bc_2017a),IF(RIGHT($A85,1)="0",SUMIF(BC[],MID($A85,1,3)&amp;"*",bc_2017a),SUMIF(BC[],$A85,bc_2017a))))</f>
        <v>0</v>
      </c>
      <c r="F85" s="378">
        <f ca="1">IF(RIGHT($A85,3)="000",SUMIF(BC[],MID($A85,1,1)&amp;"*",bc_2017),IF(RIGHT($A85,2)="00",SUMIF(BC[],MID($A85,1,2)&amp;"*",bc_2017),IF(RIGHT($A85,1)="0",SUMIF(BC[],MID($A85,1,3)&amp;"*",bc_2017),SUMIF(BC[],$A85,bc_2017))))</f>
        <v>0</v>
      </c>
      <c r="G85" s="376">
        <f t="shared" ca="1" si="2"/>
        <v>0</v>
      </c>
    </row>
    <row r="86" spans="1:7">
      <c r="A86" s="182">
        <v>1272</v>
      </c>
      <c r="B86" s="159" t="s">
        <v>460</v>
      </c>
      <c r="C86" s="378">
        <f ca="1">IF(RIGHT($A86,3)="000",SUMIF(BC[],MID($A86,1,1)&amp;"*",bc_2016),IF(RIGHT($A86,2)="00",SUMIF(BC[],MID($A86,1,2)&amp;"*",bc_2016),IF(RIGHT($A86,1)="0",SUMIF(BC[],MID($A86,1,3)&amp;"*",bc_2016),SUMIF(BC[],$A86,bc_2016))))</f>
        <v>0</v>
      </c>
      <c r="D86" s="378">
        <f ca="1">IF(RIGHT($A86,3)="000",SUMIF(BC[],MID($A86,1,1)&amp;"*",bc_2017c),IF(RIGHT($A86,2)="00",SUMIF(BC[],MID($A86,1,2)&amp;"*",bc_2017c),IF(RIGHT($A86,1)="0",SUMIF(BC[],MID($A86,1,3)&amp;"*",bc_2017c),SUMIF(BC[],$A86,bc_2017c))))</f>
        <v>0</v>
      </c>
      <c r="E86" s="378">
        <f ca="1">-IF(RIGHT($A86,3)="000",SUMIF(BC[],MID($A86,1,1)&amp;"*",bc_2017a),IF(RIGHT($A86,2)="00",SUMIF(BC[],MID($A86,1,2)&amp;"*",bc_2017a),IF(RIGHT($A86,1)="0",SUMIF(BC[],MID($A86,1,3)&amp;"*",bc_2017a),SUMIF(BC[],$A86,bc_2017a))))</f>
        <v>0</v>
      </c>
      <c r="F86" s="378">
        <f ca="1">IF(RIGHT($A86,3)="000",SUMIF(BC[],MID($A86,1,1)&amp;"*",bc_2017),IF(RIGHT($A86,2)="00",SUMIF(BC[],MID($A86,1,2)&amp;"*",bc_2017),IF(RIGHT($A86,1)="0",SUMIF(BC[],MID($A86,1,3)&amp;"*",bc_2017),SUMIF(BC[],$A86,bc_2017))))</f>
        <v>0</v>
      </c>
      <c r="G86" s="376">
        <f t="shared" ca="1" si="2"/>
        <v>0</v>
      </c>
    </row>
    <row r="87" spans="1:7">
      <c r="A87" s="182">
        <v>1273</v>
      </c>
      <c r="B87" s="159" t="s">
        <v>461</v>
      </c>
      <c r="C87" s="378">
        <f ca="1">IF(RIGHT($A87,3)="000",SUMIF(BC[],MID($A87,1,1)&amp;"*",bc_2016),IF(RIGHT($A87,2)="00",SUMIF(BC[],MID($A87,1,2)&amp;"*",bc_2016),IF(RIGHT($A87,1)="0",SUMIF(BC[],MID($A87,1,3)&amp;"*",bc_2016),SUMIF(BC[],$A87,bc_2016))))</f>
        <v>45485.72</v>
      </c>
      <c r="D87" s="378">
        <f ca="1">IF(RIGHT($A87,3)="000",SUMIF(BC[],MID($A87,1,1)&amp;"*",bc_2017c),IF(RIGHT($A87,2)="00",SUMIF(BC[],MID($A87,1,2)&amp;"*",bc_2017c),IF(RIGHT($A87,1)="0",SUMIF(BC[],MID($A87,1,3)&amp;"*",bc_2017c),SUMIF(BC[],$A87,bc_2017c))))</f>
        <v>0</v>
      </c>
      <c r="E87" s="378">
        <f ca="1">-IF(RIGHT($A87,3)="000",SUMIF(BC[],MID($A87,1,1)&amp;"*",bc_2017a),IF(RIGHT($A87,2)="00",SUMIF(BC[],MID($A87,1,2)&amp;"*",bc_2017a),IF(RIGHT($A87,1)="0",SUMIF(BC[],MID($A87,1,3)&amp;"*",bc_2017a),SUMIF(BC[],$A87,bc_2017a))))</f>
        <v>10285.719999999999</v>
      </c>
      <c r="F87" s="378">
        <f ca="1">IF(RIGHT($A87,3)="000",SUMIF(BC[],MID($A87,1,1)&amp;"*",bc_2017),IF(RIGHT($A87,2)="00",SUMIF(BC[],MID($A87,1,2)&amp;"*",bc_2017),IF(RIGHT($A87,1)="0",SUMIF(BC[],MID($A87,1,3)&amp;"*",bc_2017),SUMIF(BC[],$A87,bc_2017))))</f>
        <v>35200</v>
      </c>
      <c r="G87" s="376">
        <f t="shared" ca="1" si="2"/>
        <v>-10285.720000000001</v>
      </c>
    </row>
    <row r="88" spans="1:7">
      <c r="A88" s="182">
        <v>1274</v>
      </c>
      <c r="B88" s="159" t="s">
        <v>462</v>
      </c>
      <c r="C88" s="378">
        <f ca="1">IF(RIGHT($A88,3)="000",SUMIF(BC[],MID($A88,1,1)&amp;"*",bc_2016),IF(RIGHT($A88,2)="00",SUMIF(BC[],MID($A88,1,2)&amp;"*",bc_2016),IF(RIGHT($A88,1)="0",SUMIF(BC[],MID($A88,1,3)&amp;"*",bc_2016),SUMIF(BC[],$A88,bc_2016))))</f>
        <v>0</v>
      </c>
      <c r="D88" s="378">
        <f ca="1">IF(RIGHT($A88,3)="000",SUMIF(BC[],MID($A88,1,1)&amp;"*",bc_2017c),IF(RIGHT($A88,2)="00",SUMIF(BC[],MID($A88,1,2)&amp;"*",bc_2017c),IF(RIGHT($A88,1)="0",SUMIF(BC[],MID($A88,1,3)&amp;"*",bc_2017c),SUMIF(BC[],$A88,bc_2017c))))</f>
        <v>0</v>
      </c>
      <c r="E88" s="378">
        <f ca="1">-IF(RIGHT($A88,3)="000",SUMIF(BC[],MID($A88,1,1)&amp;"*",bc_2017a),IF(RIGHT($A88,2)="00",SUMIF(BC[],MID($A88,1,2)&amp;"*",bc_2017a),IF(RIGHT($A88,1)="0",SUMIF(BC[],MID($A88,1,3)&amp;"*",bc_2017a),SUMIF(BC[],$A88,bc_2017a))))</f>
        <v>0</v>
      </c>
      <c r="F88" s="378">
        <f ca="1">IF(RIGHT($A88,3)="000",SUMIF(BC[],MID($A88,1,1)&amp;"*",bc_2017),IF(RIGHT($A88,2)="00",SUMIF(BC[],MID($A88,1,2)&amp;"*",bc_2017),IF(RIGHT($A88,1)="0",SUMIF(BC[],MID($A88,1,3)&amp;"*",bc_2017),SUMIF(BC[],$A88,bc_2017))))</f>
        <v>0</v>
      </c>
      <c r="G88" s="376">
        <f t="shared" ca="1" si="2"/>
        <v>0</v>
      </c>
    </row>
    <row r="89" spans="1:7">
      <c r="A89" s="182">
        <v>1275</v>
      </c>
      <c r="B89" s="159" t="s">
        <v>463</v>
      </c>
      <c r="C89" s="378">
        <f ca="1">IF(RIGHT($A89,3)="000",SUMIF(BC[],MID($A89,1,1)&amp;"*",bc_2016),IF(RIGHT($A89,2)="00",SUMIF(BC[],MID($A89,1,2)&amp;"*",bc_2016),IF(RIGHT($A89,1)="0",SUMIF(BC[],MID($A89,1,3)&amp;"*",bc_2016),SUMIF(BC[],$A89,bc_2016))))</f>
        <v>0</v>
      </c>
      <c r="D89" s="378">
        <f ca="1">IF(RIGHT($A89,3)="000",SUMIF(BC[],MID($A89,1,1)&amp;"*",bc_2017c),IF(RIGHT($A89,2)="00",SUMIF(BC[],MID($A89,1,2)&amp;"*",bc_2017c),IF(RIGHT($A89,1)="0",SUMIF(BC[],MID($A89,1,3)&amp;"*",bc_2017c),SUMIF(BC[],$A89,bc_2017c))))</f>
        <v>0</v>
      </c>
      <c r="E89" s="378">
        <f ca="1">-IF(RIGHT($A89,3)="000",SUMIF(BC[],MID($A89,1,1)&amp;"*",bc_2017a),IF(RIGHT($A89,2)="00",SUMIF(BC[],MID($A89,1,2)&amp;"*",bc_2017a),IF(RIGHT($A89,1)="0",SUMIF(BC[],MID($A89,1,3)&amp;"*",bc_2017a),SUMIF(BC[],$A89,bc_2017a))))</f>
        <v>0</v>
      </c>
      <c r="F89" s="378">
        <f ca="1">IF(RIGHT($A89,3)="000",SUMIF(BC[],MID($A89,1,1)&amp;"*",bc_2017),IF(RIGHT($A89,2)="00",SUMIF(BC[],MID($A89,1,2)&amp;"*",bc_2017),IF(RIGHT($A89,1)="0",SUMIF(BC[],MID($A89,1,3)&amp;"*",bc_2017),SUMIF(BC[],$A89,bc_2017))))</f>
        <v>0</v>
      </c>
      <c r="G89" s="376">
        <f t="shared" ca="1" si="2"/>
        <v>0</v>
      </c>
    </row>
    <row r="90" spans="1:7">
      <c r="A90" s="182">
        <v>1279</v>
      </c>
      <c r="B90" s="159" t="s">
        <v>464</v>
      </c>
      <c r="C90" s="377">
        <f ca="1">IF(RIGHT($A90,3)="000",SUMIF(BC[],MID($A90,1,1)&amp;"*",bc_2016),IF(RIGHT($A90,2)="00",SUMIF(BC[],MID($A90,1,2)&amp;"*",bc_2016),IF(RIGHT($A90,1)="0",SUMIF(BC[],MID($A90,1,3)&amp;"*",bc_2016),SUMIF(BC[],$A90,bc_2016))))</f>
        <v>0</v>
      </c>
      <c r="D90" s="377">
        <f ca="1">IF(RIGHT($A90,3)="000",SUMIF(BC[],MID($A90,1,1)&amp;"*",bc_2017c),IF(RIGHT($A90,2)="00",SUMIF(BC[],MID($A90,1,2)&amp;"*",bc_2017c),IF(RIGHT($A90,1)="0",SUMIF(BC[],MID($A90,1,3)&amp;"*",bc_2017c),SUMIF(BC[],$A90,bc_2017c))))</f>
        <v>0</v>
      </c>
      <c r="E90" s="377">
        <f ca="1">-IF(RIGHT($A90,3)="000",SUMIF(BC[],MID($A90,1,1)&amp;"*",bc_2017a),IF(RIGHT($A90,2)="00",SUMIF(BC[],MID($A90,1,2)&amp;"*",bc_2017a),IF(RIGHT($A90,1)="0",SUMIF(BC[],MID($A90,1,3)&amp;"*",bc_2017a),SUMIF(BC[],$A90,bc_2017a))))</f>
        <v>0</v>
      </c>
      <c r="F90" s="377">
        <f ca="1">IF(RIGHT($A90,3)="000",SUMIF(BC[],MID($A90,1,1)&amp;"*",bc_2017),IF(RIGHT($A90,2)="00",SUMIF(BC[],MID($A90,1,2)&amp;"*",bc_2017),IF(RIGHT($A90,1)="0",SUMIF(BC[],MID($A90,1,3)&amp;"*",bc_2017),SUMIF(BC[],$A90,bc_2017))))</f>
        <v>0</v>
      </c>
      <c r="G90" s="376">
        <f t="shared" ca="1" si="2"/>
        <v>0</v>
      </c>
    </row>
    <row r="91" spans="1:7">
      <c r="A91" s="180">
        <v>1280</v>
      </c>
      <c r="B91" s="156" t="s">
        <v>32</v>
      </c>
      <c r="C91" s="376">
        <f ca="1">IF(RIGHT($A91,3)="000",SUMIF(BC[],MID($A91,1,1)&amp;"*",bc_2016),IF(RIGHT($A91,2)="00",SUMIF(BC[],MID($A91,1,2)&amp;"*",bc_2016),IF(RIGHT($A91,1)="0",SUMIF(BC[],MID($A91,1,3)&amp;"*",bc_2016),SUMIF(BC[],$A91,bc_2016))))</f>
        <v>0</v>
      </c>
      <c r="D91" s="376">
        <f ca="1">IF(RIGHT($A91,3)="000",SUMIF(BC[],MID($A91,1,1)&amp;"*",bc_2017c),IF(RIGHT($A91,2)="00",SUMIF(BC[],MID($A91,1,2)&amp;"*",bc_2017c),IF(RIGHT($A91,1)="0",SUMIF(BC[],MID($A91,1,3)&amp;"*",bc_2017c),SUMIF(BC[],$A91,bc_2017c))))</f>
        <v>0</v>
      </c>
      <c r="E91" s="376">
        <f ca="1">-IF(RIGHT($A91,3)="000",SUMIF(BC[],MID($A91,1,1)&amp;"*",bc_2017a),IF(RIGHT($A91,2)="00",SUMIF(BC[],MID($A91,1,2)&amp;"*",bc_2017a),IF(RIGHT($A91,1)="0",SUMIF(BC[],MID($A91,1,3)&amp;"*",bc_2017a),SUMIF(BC[],$A91,bc_2017a))))</f>
        <v>0</v>
      </c>
      <c r="F91" s="376">
        <f ca="1">IF(RIGHT($A91,3)="000",SUMIF(BC[],MID($A91,1,1)&amp;"*",bc_2017),IF(RIGHT($A91,2)="00",SUMIF(BC[],MID($A91,1,2)&amp;"*",bc_2017),IF(RIGHT($A91,1)="0",SUMIF(BC[],MID($A91,1,3)&amp;"*",bc_2017),SUMIF(BC[],$A91,bc_2017))))</f>
        <v>0</v>
      </c>
      <c r="G91" s="376">
        <f t="shared" ca="1" si="2"/>
        <v>0</v>
      </c>
    </row>
    <row r="92" spans="1:7" ht="22.5">
      <c r="A92" s="182">
        <v>1281</v>
      </c>
      <c r="B92" s="159" t="s">
        <v>465</v>
      </c>
      <c r="C92" s="378">
        <f ca="1">IF(RIGHT($A92,3)="000",SUMIF(BC[],MID($A92,1,1)&amp;"*",bc_2016),IF(RIGHT($A92,2)="00",SUMIF(BC[],MID($A92,1,2)&amp;"*",bc_2016),IF(RIGHT($A92,1)="0",SUMIF(BC[],MID($A92,1,3)&amp;"*",bc_2016),SUMIF(BC[],$A92,bc_2016))))</f>
        <v>0</v>
      </c>
      <c r="D92" s="378">
        <f ca="1">IF(RIGHT($A92,3)="000",SUMIF(BC[],MID($A92,1,1)&amp;"*",bc_2017c),IF(RIGHT($A92,2)="00",SUMIF(BC[],MID($A92,1,2)&amp;"*",bc_2017c),IF(RIGHT($A92,1)="0",SUMIF(BC[],MID($A92,1,3)&amp;"*",bc_2017c),SUMIF(BC[],$A92,bc_2017c))))</f>
        <v>0</v>
      </c>
      <c r="E92" s="378">
        <f ca="1">-IF(RIGHT($A92,3)="000",SUMIF(BC[],MID($A92,1,1)&amp;"*",bc_2017a),IF(RIGHT($A92,2)="00",SUMIF(BC[],MID($A92,1,2)&amp;"*",bc_2017a),IF(RIGHT($A92,1)="0",SUMIF(BC[],MID($A92,1,3)&amp;"*",bc_2017a),SUMIF(BC[],$A92,bc_2017a))))</f>
        <v>0</v>
      </c>
      <c r="F92" s="378">
        <f ca="1">IF(RIGHT($A92,3)="000",SUMIF(BC[],MID($A92,1,1)&amp;"*",bc_2017),IF(RIGHT($A92,2)="00",SUMIF(BC[],MID($A92,1,2)&amp;"*",bc_2017),IF(RIGHT($A92,1)="0",SUMIF(BC[],MID($A92,1,3)&amp;"*",bc_2017),SUMIF(BC[],$A92,bc_2017))))</f>
        <v>0</v>
      </c>
      <c r="G92" s="376">
        <f t="shared" ca="1" si="2"/>
        <v>0</v>
      </c>
    </row>
    <row r="93" spans="1:7">
      <c r="A93" s="182">
        <v>1282</v>
      </c>
      <c r="B93" s="191" t="s">
        <v>466</v>
      </c>
      <c r="C93" s="378">
        <f ca="1">IF(RIGHT($A93,3)="000",SUMIF(BC[],MID($A93,1,1)&amp;"*",bc_2016),IF(RIGHT($A93,2)="00",SUMIF(BC[],MID($A93,1,2)&amp;"*",bc_2016),IF(RIGHT($A93,1)="0",SUMIF(BC[],MID($A93,1,3)&amp;"*",bc_2016),SUMIF(BC[],$A93,bc_2016))))</f>
        <v>0</v>
      </c>
      <c r="D93" s="378">
        <f ca="1">IF(RIGHT($A93,3)="000",SUMIF(BC[],MID($A93,1,1)&amp;"*",bc_2017c),IF(RIGHT($A93,2)="00",SUMIF(BC[],MID($A93,1,2)&amp;"*",bc_2017c),IF(RIGHT($A93,1)="0",SUMIF(BC[],MID($A93,1,3)&amp;"*",bc_2017c),SUMIF(BC[],$A93,bc_2017c))))</f>
        <v>0</v>
      </c>
      <c r="E93" s="378">
        <f ca="1">-IF(RIGHT($A93,3)="000",SUMIF(BC[],MID($A93,1,1)&amp;"*",bc_2017a),IF(RIGHT($A93,2)="00",SUMIF(BC[],MID($A93,1,2)&amp;"*",bc_2017a),IF(RIGHT($A93,1)="0",SUMIF(BC[],MID($A93,1,3)&amp;"*",bc_2017a),SUMIF(BC[],$A93,bc_2017a))))</f>
        <v>0</v>
      </c>
      <c r="F93" s="378">
        <f ca="1">IF(RIGHT($A93,3)="000",SUMIF(BC[],MID($A93,1,1)&amp;"*",bc_2017),IF(RIGHT($A93,2)="00",SUMIF(BC[],MID($A93,1,2)&amp;"*",bc_2017),IF(RIGHT($A93,1)="0",SUMIF(BC[],MID($A93,1,3)&amp;"*",bc_2017),SUMIF(BC[],$A93,bc_2017))))</f>
        <v>0</v>
      </c>
      <c r="G93" s="376">
        <f t="shared" ca="1" si="2"/>
        <v>0</v>
      </c>
    </row>
    <row r="94" spans="1:7">
      <c r="A94" s="182">
        <v>1283</v>
      </c>
      <c r="B94" s="159" t="s">
        <v>467</v>
      </c>
      <c r="C94" s="378">
        <f ca="1">IF(RIGHT($A94,3)="000",SUMIF(BC[],MID($A94,1,1)&amp;"*",bc_2016),IF(RIGHT($A94,2)="00",SUMIF(BC[],MID($A94,1,2)&amp;"*",bc_2016),IF(RIGHT($A94,1)="0",SUMIF(BC[],MID($A94,1,3)&amp;"*",bc_2016),SUMIF(BC[],$A94,bc_2016))))</f>
        <v>0</v>
      </c>
      <c r="D94" s="378">
        <f ca="1">IF(RIGHT($A94,3)="000",SUMIF(BC[],MID($A94,1,1)&amp;"*",bc_2017c),IF(RIGHT($A94,2)="00",SUMIF(BC[],MID($A94,1,2)&amp;"*",bc_2017c),IF(RIGHT($A94,1)="0",SUMIF(BC[],MID($A94,1,3)&amp;"*",bc_2017c),SUMIF(BC[],$A94,bc_2017c))))</f>
        <v>0</v>
      </c>
      <c r="E94" s="378">
        <f ca="1">-IF(RIGHT($A94,3)="000",SUMIF(BC[],MID($A94,1,1)&amp;"*",bc_2017a),IF(RIGHT($A94,2)="00",SUMIF(BC[],MID($A94,1,2)&amp;"*",bc_2017a),IF(RIGHT($A94,1)="0",SUMIF(BC[],MID($A94,1,3)&amp;"*",bc_2017a),SUMIF(BC[],$A94,bc_2017a))))</f>
        <v>0</v>
      </c>
      <c r="F94" s="378">
        <f ca="1">IF(RIGHT($A94,3)="000",SUMIF(BC[],MID($A94,1,1)&amp;"*",bc_2017),IF(RIGHT($A94,2)="00",SUMIF(BC[],MID($A94,1,2)&amp;"*",bc_2017),IF(RIGHT($A94,1)="0",SUMIF(BC[],MID($A94,1,3)&amp;"*",bc_2017),SUMIF(BC[],$A94,bc_2017))))</f>
        <v>0</v>
      </c>
      <c r="G94" s="376">
        <f t="shared" ca="1" si="2"/>
        <v>0</v>
      </c>
    </row>
    <row r="95" spans="1:7">
      <c r="A95" s="182">
        <v>1284</v>
      </c>
      <c r="B95" s="159" t="s">
        <v>468</v>
      </c>
      <c r="C95" s="378">
        <f ca="1">IF(RIGHT($A95,3)="000",SUMIF(BC[],MID($A95,1,1)&amp;"*",bc_2016),IF(RIGHT($A95,2)="00",SUMIF(BC[],MID($A95,1,2)&amp;"*",bc_2016),IF(RIGHT($A95,1)="0",SUMIF(BC[],MID($A95,1,3)&amp;"*",bc_2016),SUMIF(BC[],$A95,bc_2016))))</f>
        <v>0</v>
      </c>
      <c r="D95" s="378">
        <f ca="1">IF(RIGHT($A95,3)="000",SUMIF(BC[],MID($A95,1,1)&amp;"*",bc_2017c),IF(RIGHT($A95,2)="00",SUMIF(BC[],MID($A95,1,2)&amp;"*",bc_2017c),IF(RIGHT($A95,1)="0",SUMIF(BC[],MID($A95,1,3)&amp;"*",bc_2017c),SUMIF(BC[],$A95,bc_2017c))))</f>
        <v>0</v>
      </c>
      <c r="E95" s="378">
        <f ca="1">-IF(RIGHT($A95,3)="000",SUMIF(BC[],MID($A95,1,1)&amp;"*",bc_2017a),IF(RIGHT($A95,2)="00",SUMIF(BC[],MID($A95,1,2)&amp;"*",bc_2017a),IF(RIGHT($A95,1)="0",SUMIF(BC[],MID($A95,1,3)&amp;"*",bc_2017a),SUMIF(BC[],$A95,bc_2017a))))</f>
        <v>0</v>
      </c>
      <c r="F95" s="378">
        <f ca="1">IF(RIGHT($A95,3)="000",SUMIF(BC[],MID($A95,1,1)&amp;"*",bc_2017),IF(RIGHT($A95,2)="00",SUMIF(BC[],MID($A95,1,2)&amp;"*",bc_2017),IF(RIGHT($A95,1)="0",SUMIF(BC[],MID($A95,1,3)&amp;"*",bc_2017),SUMIF(BC[],$A95,bc_2017))))</f>
        <v>0</v>
      </c>
      <c r="G95" s="376">
        <f t="shared" ca="1" si="2"/>
        <v>0</v>
      </c>
    </row>
    <row r="96" spans="1:7">
      <c r="A96" s="182">
        <v>1289</v>
      </c>
      <c r="B96" s="159" t="s">
        <v>469</v>
      </c>
      <c r="C96" s="378">
        <f ca="1">IF(RIGHT($A96,3)="000",SUMIF(BC[],MID($A96,1,1)&amp;"*",bc_2016),IF(RIGHT($A96,2)="00",SUMIF(BC[],MID($A96,1,2)&amp;"*",bc_2016),IF(RIGHT($A96,1)="0",SUMIF(BC[],MID($A96,1,3)&amp;"*",bc_2016),SUMIF(BC[],$A96,bc_2016))))</f>
        <v>0</v>
      </c>
      <c r="D96" s="378">
        <f ca="1">IF(RIGHT($A96,3)="000",SUMIF(BC[],MID($A96,1,1)&amp;"*",bc_2017c),IF(RIGHT($A96,2)="00",SUMIF(BC[],MID($A96,1,2)&amp;"*",bc_2017c),IF(RIGHT($A96,1)="0",SUMIF(BC[],MID($A96,1,3)&amp;"*",bc_2017c),SUMIF(BC[],$A96,bc_2017c))))</f>
        <v>0</v>
      </c>
      <c r="E96" s="378">
        <f ca="1">-IF(RIGHT($A96,3)="000",SUMIF(BC[],MID($A96,1,1)&amp;"*",bc_2017a),IF(RIGHT($A96,2)="00",SUMIF(BC[],MID($A96,1,2)&amp;"*",bc_2017a),IF(RIGHT($A96,1)="0",SUMIF(BC[],MID($A96,1,3)&amp;"*",bc_2017a),SUMIF(BC[],$A96,bc_2017a))))</f>
        <v>0</v>
      </c>
      <c r="F96" s="378">
        <f ca="1">IF(RIGHT($A96,3)="000",SUMIF(BC[],MID($A96,1,1)&amp;"*",bc_2017),IF(RIGHT($A96,2)="00",SUMIF(BC[],MID($A96,1,2)&amp;"*",bc_2017),IF(RIGHT($A96,1)="0",SUMIF(BC[],MID($A96,1,3)&amp;"*",bc_2017),SUMIF(BC[],$A96,bc_2017))))</f>
        <v>0</v>
      </c>
      <c r="G96" s="376">
        <f t="shared" ca="1" si="2"/>
        <v>0</v>
      </c>
    </row>
    <row r="97" spans="1:7">
      <c r="A97" s="180">
        <v>1290</v>
      </c>
      <c r="B97" s="156" t="s">
        <v>34</v>
      </c>
      <c r="C97" s="376">
        <f ca="1">IF(RIGHT($A97,3)="000",SUMIF(BC[],MID($A97,1,1)&amp;"*",bc_2016),IF(RIGHT($A97,2)="00",SUMIF(BC[],MID($A97,1,2)&amp;"*",bc_2016),IF(RIGHT($A97,1)="0",SUMIF(BC[],MID($A97,1,3)&amp;"*",bc_2016),SUMIF(BC[],$A97,bc_2016))))</f>
        <v>0</v>
      </c>
      <c r="D97" s="376">
        <f ca="1">IF(RIGHT($A97,3)="000",SUMIF(BC[],MID($A97,1,1)&amp;"*",bc_2017c),IF(RIGHT($A97,2)="00",SUMIF(BC[],MID($A97,1,2)&amp;"*",bc_2017c),IF(RIGHT($A97,1)="0",SUMIF(BC[],MID($A97,1,3)&amp;"*",bc_2017c),SUMIF(BC[],$A97,bc_2017c))))</f>
        <v>0</v>
      </c>
      <c r="E97" s="376">
        <f ca="1">-IF(RIGHT($A97,3)="000",SUMIF(BC[],MID($A97,1,1)&amp;"*",bc_2017a),IF(RIGHT($A97,2)="00",SUMIF(BC[],MID($A97,1,2)&amp;"*",bc_2017a),IF(RIGHT($A97,1)="0",SUMIF(BC[],MID($A97,1,3)&amp;"*",bc_2017a),SUMIF(BC[],$A97,bc_2017a))))</f>
        <v>0</v>
      </c>
      <c r="F97" s="376">
        <f ca="1">IF(RIGHT($A97,3)="000",SUMIF(BC[],MID($A97,1,1)&amp;"*",bc_2017),IF(RIGHT($A97,2)="00",SUMIF(BC[],MID($A97,1,2)&amp;"*",bc_2017),IF(RIGHT($A97,1)="0",SUMIF(BC[],MID($A97,1,3)&amp;"*",bc_2017),SUMIF(BC[],$A97,bc_2017))))</f>
        <v>0</v>
      </c>
      <c r="G97" s="376">
        <f t="shared" ca="1" si="2"/>
        <v>0</v>
      </c>
    </row>
    <row r="98" spans="1:7">
      <c r="A98" s="182">
        <v>1291</v>
      </c>
      <c r="B98" s="159" t="s">
        <v>470</v>
      </c>
      <c r="C98" s="378">
        <f ca="1">IF(RIGHT($A98,3)="000",SUMIF(BC[],MID($A98,1,1)&amp;"*",bc_2016),IF(RIGHT($A98,2)="00",SUMIF(BC[],MID($A98,1,2)&amp;"*",bc_2016),IF(RIGHT($A98,1)="0",SUMIF(BC[],MID($A98,1,3)&amp;"*",bc_2016),SUMIF(BC[],$A98,bc_2016))))</f>
        <v>0</v>
      </c>
      <c r="D98" s="378">
        <f ca="1">IF(RIGHT($A98,3)="000",SUMIF(BC[],MID($A98,1,1)&amp;"*",bc_2017c),IF(RIGHT($A98,2)="00",SUMIF(BC[],MID($A98,1,2)&amp;"*",bc_2017c),IF(RIGHT($A98,1)="0",SUMIF(BC[],MID($A98,1,3)&amp;"*",bc_2017c),SUMIF(BC[],$A98,bc_2017c))))</f>
        <v>0</v>
      </c>
      <c r="E98" s="378">
        <f ca="1">-IF(RIGHT($A98,3)="000",SUMIF(BC[],MID($A98,1,1)&amp;"*",bc_2017a),IF(RIGHT($A98,2)="00",SUMIF(BC[],MID($A98,1,2)&amp;"*",bc_2017a),IF(RIGHT($A98,1)="0",SUMIF(BC[],MID($A98,1,3)&amp;"*",bc_2017a),SUMIF(BC[],$A98,bc_2017a))))</f>
        <v>0</v>
      </c>
      <c r="F98" s="378">
        <f ca="1">IF(RIGHT($A98,3)="000",SUMIF(BC[],MID($A98,1,1)&amp;"*",bc_2017),IF(RIGHT($A98,2)="00",SUMIF(BC[],MID($A98,1,2)&amp;"*",bc_2017),IF(RIGHT($A98,1)="0",SUMIF(BC[],MID($A98,1,3)&amp;"*",bc_2017),SUMIF(BC[],$A98,bc_2017))))</f>
        <v>0</v>
      </c>
      <c r="G98" s="376">
        <f t="shared" ca="1" si="2"/>
        <v>0</v>
      </c>
    </row>
    <row r="99" spans="1:7">
      <c r="A99" s="182">
        <v>1292</v>
      </c>
      <c r="B99" s="159" t="s">
        <v>471</v>
      </c>
      <c r="C99" s="378">
        <f ca="1">IF(RIGHT($A99,3)="000",SUMIF(BC[],MID($A99,1,1)&amp;"*",bc_2016),IF(RIGHT($A99,2)="00",SUMIF(BC[],MID($A99,1,2)&amp;"*",bc_2016),IF(RIGHT($A99,1)="0",SUMIF(BC[],MID($A99,1,3)&amp;"*",bc_2016),SUMIF(BC[],$A99,bc_2016))))</f>
        <v>0</v>
      </c>
      <c r="D99" s="378">
        <f ca="1">IF(RIGHT($A99,3)="000",SUMIF(BC[],MID($A99,1,1)&amp;"*",bc_2017c),IF(RIGHT($A99,2)="00",SUMIF(BC[],MID($A99,1,2)&amp;"*",bc_2017c),IF(RIGHT($A99,1)="0",SUMIF(BC[],MID($A99,1,3)&amp;"*",bc_2017c),SUMIF(BC[],$A99,bc_2017c))))</f>
        <v>0</v>
      </c>
      <c r="E99" s="378">
        <f ca="1">-IF(RIGHT($A99,3)="000",SUMIF(BC[],MID($A99,1,1)&amp;"*",bc_2017a),IF(RIGHT($A99,2)="00",SUMIF(BC[],MID($A99,1,2)&amp;"*",bc_2017a),IF(RIGHT($A99,1)="0",SUMIF(BC[],MID($A99,1,3)&amp;"*",bc_2017a),SUMIF(BC[],$A99,bc_2017a))))</f>
        <v>0</v>
      </c>
      <c r="F99" s="378">
        <f ca="1">IF(RIGHT($A99,3)="000",SUMIF(BC[],MID($A99,1,1)&amp;"*",bc_2017),IF(RIGHT($A99,2)="00",SUMIF(BC[],MID($A99,1,2)&amp;"*",bc_2017),IF(RIGHT($A99,1)="0",SUMIF(BC[],MID($A99,1,3)&amp;"*",bc_2017),SUMIF(BC[],$A99,bc_2017))))</f>
        <v>0</v>
      </c>
      <c r="G99" s="376">
        <f t="shared" ca="1" si="2"/>
        <v>0</v>
      </c>
    </row>
    <row r="100" spans="1:7">
      <c r="A100" s="192">
        <v>1293</v>
      </c>
      <c r="B100" s="162" t="s">
        <v>472</v>
      </c>
      <c r="C100" s="380">
        <f ca="1">IF(RIGHT($A100,3)="000",SUMIF(BC[],MID($A100,1,1)&amp;"*",bc_2016),IF(RIGHT($A100,2)="00",SUMIF(BC[],MID($A100,1,2)&amp;"*",bc_2016),IF(RIGHT($A100,1)="0",SUMIF(BC[],MID($A100,1,3)&amp;"*",bc_2016),SUMIF(BC[],$A100,bc_2016))))</f>
        <v>0</v>
      </c>
      <c r="D100" s="380">
        <f ca="1">IF(RIGHT($A100,3)="000",SUMIF(BC[],MID($A100,1,1)&amp;"*",bc_2017c),IF(RIGHT($A100,2)="00",SUMIF(BC[],MID($A100,1,2)&amp;"*",bc_2017c),IF(RIGHT($A100,1)="0",SUMIF(BC[],MID($A100,1,3)&amp;"*",bc_2017c),SUMIF(BC[],$A100,bc_2017c))))</f>
        <v>0</v>
      </c>
      <c r="E100" s="380">
        <f ca="1">-IF(RIGHT($A100,3)="000",SUMIF(BC[],MID($A100,1,1)&amp;"*",bc_2017a),IF(RIGHT($A100,2)="00",SUMIF(BC[],MID($A100,1,2)&amp;"*",bc_2017a),IF(RIGHT($A100,1)="0",SUMIF(BC[],MID($A100,1,3)&amp;"*",bc_2017a),SUMIF(BC[],$A100,bc_2017a))))</f>
        <v>0</v>
      </c>
      <c r="F100" s="380">
        <f ca="1">IF(RIGHT($A100,3)="000",SUMIF(BC[],MID($A100,1,1)&amp;"*",bc_2017),IF(RIGHT($A100,2)="00",SUMIF(BC[],MID($A100,1,2)&amp;"*",bc_2017),IF(RIGHT($A100,1)="0",SUMIF(BC[],MID($A100,1,3)&amp;"*",bc_2017),SUMIF(BC[],$A100,bc_2017))))</f>
        <v>0</v>
      </c>
      <c r="G100" s="381">
        <f t="shared" ca="1" si="2"/>
        <v>0</v>
      </c>
    </row>
  </sheetData>
  <sheetProtection autoFilter="0"/>
  <mergeCells count="1">
    <mergeCell ref="A1:G1"/>
  </mergeCells>
  <dataValidations count="7">
    <dataValidation allowBlank="1" showInputMessage="1" showErrorMessage="1" prompt="Corresponde a los abonos acumulados al periodo que corresponde la información financiera trimestral."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dataValidation allowBlank="1" showInputMessage="1" showErrorMessage="1" prompt="Corresponde a los cargos acumulados al periodo que corresponde la información financiera trimestral."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dataValidation allowBlank="1" showInputMessage="1" showErrorMessage="1" prompt="Corresponde al número de cuenta al 4° nivel del Plan de Cuentas emitido por el CONAC (DOF 23/12/2015)."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9 IW65539 SS65539 ACO65539 AMK65539 AWG65539 BGC65539 BPY65539 BZU65539 CJQ65539 CTM65539 DDI65539 DNE65539 DXA65539 EGW65539 EQS65539 FAO65539 FKK65539 FUG65539 GEC65539 GNY65539 GXU65539 HHQ65539 HRM65539 IBI65539 ILE65539 IVA65539 JEW65539 JOS65539 JYO65539 KIK65539 KSG65539 LCC65539 LLY65539 LVU65539 MFQ65539 MPM65539 MZI65539 NJE65539 NTA65539 OCW65539 OMS65539 OWO65539 PGK65539 PQG65539 QAC65539 QJY65539 QTU65539 RDQ65539 RNM65539 RXI65539 SHE65539 SRA65539 TAW65539 TKS65539 TUO65539 UEK65539 UOG65539 UYC65539 VHY65539 VRU65539 WBQ65539 WLM65539 WVI65539 A131075 IW131075 SS131075 ACO131075 AMK131075 AWG131075 BGC131075 BPY131075 BZU131075 CJQ131075 CTM131075 DDI131075 DNE131075 DXA131075 EGW131075 EQS131075 FAO131075 FKK131075 FUG131075 GEC131075 GNY131075 GXU131075 HHQ131075 HRM131075 IBI131075 ILE131075 IVA131075 JEW131075 JOS131075 JYO131075 KIK131075 KSG131075 LCC131075 LLY131075 LVU131075 MFQ131075 MPM131075 MZI131075 NJE131075 NTA131075 OCW131075 OMS131075 OWO131075 PGK131075 PQG131075 QAC131075 QJY131075 QTU131075 RDQ131075 RNM131075 RXI131075 SHE131075 SRA131075 TAW131075 TKS131075 TUO131075 UEK131075 UOG131075 UYC131075 VHY131075 VRU131075 WBQ131075 WLM131075 WVI131075 A196611 IW196611 SS196611 ACO196611 AMK196611 AWG196611 BGC196611 BPY196611 BZU196611 CJQ196611 CTM196611 DDI196611 DNE196611 DXA196611 EGW196611 EQS196611 FAO196611 FKK196611 FUG196611 GEC196611 GNY196611 GXU196611 HHQ196611 HRM196611 IBI196611 ILE196611 IVA196611 JEW196611 JOS196611 JYO196611 KIK196611 KSG196611 LCC196611 LLY196611 LVU196611 MFQ196611 MPM196611 MZI196611 NJE196611 NTA196611 OCW196611 OMS196611 OWO196611 PGK196611 PQG196611 QAC196611 QJY196611 QTU196611 RDQ196611 RNM196611 RXI196611 SHE196611 SRA196611 TAW196611 TKS196611 TUO196611 UEK196611 UOG196611 UYC196611 VHY196611 VRU196611 WBQ196611 WLM196611 WVI196611 A262147 IW262147 SS262147 ACO262147 AMK262147 AWG262147 BGC262147 BPY262147 BZU262147 CJQ262147 CTM262147 DDI262147 DNE262147 DXA262147 EGW262147 EQS262147 FAO262147 FKK262147 FUG262147 GEC262147 GNY262147 GXU262147 HHQ262147 HRM262147 IBI262147 ILE262147 IVA262147 JEW262147 JOS262147 JYO262147 KIK262147 KSG262147 LCC262147 LLY262147 LVU262147 MFQ262147 MPM262147 MZI262147 NJE262147 NTA262147 OCW262147 OMS262147 OWO262147 PGK262147 PQG262147 QAC262147 QJY262147 QTU262147 RDQ262147 RNM262147 RXI262147 SHE262147 SRA262147 TAW262147 TKS262147 TUO262147 UEK262147 UOG262147 UYC262147 VHY262147 VRU262147 WBQ262147 WLM262147 WVI262147 A327683 IW327683 SS327683 ACO327683 AMK327683 AWG327683 BGC327683 BPY327683 BZU327683 CJQ327683 CTM327683 DDI327683 DNE327683 DXA327683 EGW327683 EQS327683 FAO327683 FKK327683 FUG327683 GEC327683 GNY327683 GXU327683 HHQ327683 HRM327683 IBI327683 ILE327683 IVA327683 JEW327683 JOS327683 JYO327683 KIK327683 KSG327683 LCC327683 LLY327683 LVU327683 MFQ327683 MPM327683 MZI327683 NJE327683 NTA327683 OCW327683 OMS327683 OWO327683 PGK327683 PQG327683 QAC327683 QJY327683 QTU327683 RDQ327683 RNM327683 RXI327683 SHE327683 SRA327683 TAW327683 TKS327683 TUO327683 UEK327683 UOG327683 UYC327683 VHY327683 VRU327683 WBQ327683 WLM327683 WVI327683 A393219 IW393219 SS393219 ACO393219 AMK393219 AWG393219 BGC393219 BPY393219 BZU393219 CJQ393219 CTM393219 DDI393219 DNE393219 DXA393219 EGW393219 EQS393219 FAO393219 FKK393219 FUG393219 GEC393219 GNY393219 GXU393219 HHQ393219 HRM393219 IBI393219 ILE393219 IVA393219 JEW393219 JOS393219 JYO393219 KIK393219 KSG393219 LCC393219 LLY393219 LVU393219 MFQ393219 MPM393219 MZI393219 NJE393219 NTA393219 OCW393219 OMS393219 OWO393219 PGK393219 PQG393219 QAC393219 QJY393219 QTU393219 RDQ393219 RNM393219 RXI393219 SHE393219 SRA393219 TAW393219 TKS393219 TUO393219 UEK393219 UOG393219 UYC393219 VHY393219 VRU393219 WBQ393219 WLM393219 WVI393219 A458755 IW458755 SS458755 ACO458755 AMK458755 AWG458755 BGC458755 BPY458755 BZU458755 CJQ458755 CTM458755 DDI458755 DNE458755 DXA458755 EGW458755 EQS458755 FAO458755 FKK458755 FUG458755 GEC458755 GNY458755 GXU458755 HHQ458755 HRM458755 IBI458755 ILE458755 IVA458755 JEW458755 JOS458755 JYO458755 KIK458755 KSG458755 LCC458755 LLY458755 LVU458755 MFQ458755 MPM458755 MZI458755 NJE458755 NTA458755 OCW458755 OMS458755 OWO458755 PGK458755 PQG458755 QAC458755 QJY458755 QTU458755 RDQ458755 RNM458755 RXI458755 SHE458755 SRA458755 TAW458755 TKS458755 TUO458755 UEK458755 UOG458755 UYC458755 VHY458755 VRU458755 WBQ458755 WLM458755 WVI458755 A524291 IW524291 SS524291 ACO524291 AMK524291 AWG524291 BGC524291 BPY524291 BZU524291 CJQ524291 CTM524291 DDI524291 DNE524291 DXA524291 EGW524291 EQS524291 FAO524291 FKK524291 FUG524291 GEC524291 GNY524291 GXU524291 HHQ524291 HRM524291 IBI524291 ILE524291 IVA524291 JEW524291 JOS524291 JYO524291 KIK524291 KSG524291 LCC524291 LLY524291 LVU524291 MFQ524291 MPM524291 MZI524291 NJE524291 NTA524291 OCW524291 OMS524291 OWO524291 PGK524291 PQG524291 QAC524291 QJY524291 QTU524291 RDQ524291 RNM524291 RXI524291 SHE524291 SRA524291 TAW524291 TKS524291 TUO524291 UEK524291 UOG524291 UYC524291 VHY524291 VRU524291 WBQ524291 WLM524291 WVI524291 A589827 IW589827 SS589827 ACO589827 AMK589827 AWG589827 BGC589827 BPY589827 BZU589827 CJQ589827 CTM589827 DDI589827 DNE589827 DXA589827 EGW589827 EQS589827 FAO589827 FKK589827 FUG589827 GEC589827 GNY589827 GXU589827 HHQ589827 HRM589827 IBI589827 ILE589827 IVA589827 JEW589827 JOS589827 JYO589827 KIK589827 KSG589827 LCC589827 LLY589827 LVU589827 MFQ589827 MPM589827 MZI589827 NJE589827 NTA589827 OCW589827 OMS589827 OWO589827 PGK589827 PQG589827 QAC589827 QJY589827 QTU589827 RDQ589827 RNM589827 RXI589827 SHE589827 SRA589827 TAW589827 TKS589827 TUO589827 UEK589827 UOG589827 UYC589827 VHY589827 VRU589827 WBQ589827 WLM589827 WVI589827 A655363 IW655363 SS655363 ACO655363 AMK655363 AWG655363 BGC655363 BPY655363 BZU655363 CJQ655363 CTM655363 DDI655363 DNE655363 DXA655363 EGW655363 EQS655363 FAO655363 FKK655363 FUG655363 GEC655363 GNY655363 GXU655363 HHQ655363 HRM655363 IBI655363 ILE655363 IVA655363 JEW655363 JOS655363 JYO655363 KIK655363 KSG655363 LCC655363 LLY655363 LVU655363 MFQ655363 MPM655363 MZI655363 NJE655363 NTA655363 OCW655363 OMS655363 OWO655363 PGK655363 PQG655363 QAC655363 QJY655363 QTU655363 RDQ655363 RNM655363 RXI655363 SHE655363 SRA655363 TAW655363 TKS655363 TUO655363 UEK655363 UOG655363 UYC655363 VHY655363 VRU655363 WBQ655363 WLM655363 WVI655363 A720899 IW720899 SS720899 ACO720899 AMK720899 AWG720899 BGC720899 BPY720899 BZU720899 CJQ720899 CTM720899 DDI720899 DNE720899 DXA720899 EGW720899 EQS720899 FAO720899 FKK720899 FUG720899 GEC720899 GNY720899 GXU720899 HHQ720899 HRM720899 IBI720899 ILE720899 IVA720899 JEW720899 JOS720899 JYO720899 KIK720899 KSG720899 LCC720899 LLY720899 LVU720899 MFQ720899 MPM720899 MZI720899 NJE720899 NTA720899 OCW720899 OMS720899 OWO720899 PGK720899 PQG720899 QAC720899 QJY720899 QTU720899 RDQ720899 RNM720899 RXI720899 SHE720899 SRA720899 TAW720899 TKS720899 TUO720899 UEK720899 UOG720899 UYC720899 VHY720899 VRU720899 WBQ720899 WLM720899 WVI720899 A786435 IW786435 SS786435 ACO786435 AMK786435 AWG786435 BGC786435 BPY786435 BZU786435 CJQ786435 CTM786435 DDI786435 DNE786435 DXA786435 EGW786435 EQS786435 FAO786435 FKK786435 FUG786435 GEC786435 GNY786435 GXU786435 HHQ786435 HRM786435 IBI786435 ILE786435 IVA786435 JEW786435 JOS786435 JYO786435 KIK786435 KSG786435 LCC786435 LLY786435 LVU786435 MFQ786435 MPM786435 MZI786435 NJE786435 NTA786435 OCW786435 OMS786435 OWO786435 PGK786435 PQG786435 QAC786435 QJY786435 QTU786435 RDQ786435 RNM786435 RXI786435 SHE786435 SRA786435 TAW786435 TKS786435 TUO786435 UEK786435 UOG786435 UYC786435 VHY786435 VRU786435 WBQ786435 WLM786435 WVI786435 A851971 IW851971 SS851971 ACO851971 AMK851971 AWG851971 BGC851971 BPY851971 BZU851971 CJQ851971 CTM851971 DDI851971 DNE851971 DXA851971 EGW851971 EQS851971 FAO851971 FKK851971 FUG851971 GEC851971 GNY851971 GXU851971 HHQ851971 HRM851971 IBI851971 ILE851971 IVA851971 JEW851971 JOS851971 JYO851971 KIK851971 KSG851971 LCC851971 LLY851971 LVU851971 MFQ851971 MPM851971 MZI851971 NJE851971 NTA851971 OCW851971 OMS851971 OWO851971 PGK851971 PQG851971 QAC851971 QJY851971 QTU851971 RDQ851971 RNM851971 RXI851971 SHE851971 SRA851971 TAW851971 TKS851971 TUO851971 UEK851971 UOG851971 UYC851971 VHY851971 VRU851971 WBQ851971 WLM851971 WVI851971 A917507 IW917507 SS917507 ACO917507 AMK917507 AWG917507 BGC917507 BPY917507 BZU917507 CJQ917507 CTM917507 DDI917507 DNE917507 DXA917507 EGW917507 EQS917507 FAO917507 FKK917507 FUG917507 GEC917507 GNY917507 GXU917507 HHQ917507 HRM917507 IBI917507 ILE917507 IVA917507 JEW917507 JOS917507 JYO917507 KIK917507 KSG917507 LCC917507 LLY917507 LVU917507 MFQ917507 MPM917507 MZI917507 NJE917507 NTA917507 OCW917507 OMS917507 OWO917507 PGK917507 PQG917507 QAC917507 QJY917507 QTU917507 RDQ917507 RNM917507 RXI917507 SHE917507 SRA917507 TAW917507 TKS917507 TUO917507 UEK917507 UOG917507 UYC917507 VHY917507 VRU917507 WBQ917507 WLM917507 WVI917507 A983043 IW983043 SS983043 ACO983043 AMK983043 AWG983043 BGC983043 BPY983043 BZU983043 CJQ983043 CTM983043 DDI983043 DNE983043 DXA983043 EGW983043 EQS983043 FAO983043 FKK983043 FUG983043 GEC983043 GNY983043 GXU983043 HHQ983043 HRM983043 IBI983043 ILE983043 IVA983043 JEW983043 JOS983043 JYO983043 KIK983043 KSG983043 LCC983043 LLY983043 LVU983043 MFQ983043 MPM983043 MZI983043 NJE983043 NTA983043 OCW983043 OMS983043 OWO983043 PGK983043 PQG983043 QAC983043 QJY983043 QTU983043 RDQ983043 RNM983043 RXI983043 SHE983043 SRA983043 TAW983043 TKS983043 TUO983043 UEK983043 UOG983043 UYC983043 VHY983043 VRU983043 WBQ983043 WLM983043 WVI983043"/>
    <dataValidation allowBlank="1" showInputMessage="1" showErrorMessage="1" prompt="Diferencia del saldo final menos saldo inicial."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G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G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G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G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G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G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G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G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G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G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G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G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G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G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dataValidation allowBlank="1" showInputMessage="1" showErrorMessage="1" prompt="Corresponde al nombre o descripción de la cuenta de acuerdo al Plan de Cuentas emitido por el CONAC."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dataValidation allowBlank="1" showInputMessage="1" showErrorMessage="1" prompt="Saldo al 31 de diciembre del año anterior."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dataValidation allowBlank="1" showInputMessage="1" showErrorMessage="1" prompt="Corresponde al saldo final de las cuentas, atendiendo la siguiente operación aritmética: saldo inicial más cargos, menos los abonos."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dataValidations>
  <pageMargins left="0.7" right="0.7" top="0.75" bottom="0.75" header="0.3" footer="0.3"/>
  <ignoredErrors>
    <ignoredError sqref="C43:G100 C3:G39 C40:G42"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7"/>
  <sheetViews>
    <sheetView showGridLines="0" workbookViewId="0">
      <pane ySplit="2" topLeftCell="A3" activePane="bottomLeft" state="frozen"/>
      <selection pane="bottomLeft" activeCell="C3" sqref="C3:F27"/>
    </sheetView>
  </sheetViews>
  <sheetFormatPr baseColWidth="10" defaultColWidth="9.28515625" defaultRowHeight="11.25"/>
  <cols>
    <col min="1" max="1" width="7.7109375" style="166" customWidth="1"/>
    <col min="2" max="2" width="27.85546875" style="170" customWidth="1"/>
    <col min="3" max="3" width="17.42578125" style="174" bestFit="1" customWidth="1"/>
    <col min="4" max="4" width="14" style="174" customWidth="1"/>
    <col min="5" max="6" width="14.7109375" style="174" customWidth="1"/>
    <col min="7" max="256" width="9.28515625" style="179"/>
    <col min="257" max="257" width="7.7109375" style="179" customWidth="1"/>
    <col min="258" max="258" width="27.85546875" style="179" customWidth="1"/>
    <col min="259" max="259" width="17.42578125" style="179" bestFit="1" customWidth="1"/>
    <col min="260" max="260" width="14" style="179" customWidth="1"/>
    <col min="261" max="262" width="14.7109375" style="179" customWidth="1"/>
    <col min="263" max="512" width="9.28515625" style="179"/>
    <col min="513" max="513" width="7.7109375" style="179" customWidth="1"/>
    <col min="514" max="514" width="27.85546875" style="179" customWidth="1"/>
    <col min="515" max="515" width="17.42578125" style="179" bestFit="1" customWidth="1"/>
    <col min="516" max="516" width="14" style="179" customWidth="1"/>
    <col min="517" max="518" width="14.7109375" style="179" customWidth="1"/>
    <col min="519" max="768" width="9.28515625" style="179"/>
    <col min="769" max="769" width="7.7109375" style="179" customWidth="1"/>
    <col min="770" max="770" width="27.85546875" style="179" customWidth="1"/>
    <col min="771" max="771" width="17.42578125" style="179" bestFit="1" customWidth="1"/>
    <col min="772" max="772" width="14" style="179" customWidth="1"/>
    <col min="773" max="774" width="14.7109375" style="179" customWidth="1"/>
    <col min="775" max="1024" width="9.28515625" style="179"/>
    <col min="1025" max="1025" width="7.7109375" style="179" customWidth="1"/>
    <col min="1026" max="1026" width="27.85546875" style="179" customWidth="1"/>
    <col min="1027" max="1027" width="17.42578125" style="179" bestFit="1" customWidth="1"/>
    <col min="1028" max="1028" width="14" style="179" customWidth="1"/>
    <col min="1029" max="1030" width="14.7109375" style="179" customWidth="1"/>
    <col min="1031" max="1280" width="9.28515625" style="179"/>
    <col min="1281" max="1281" width="7.7109375" style="179" customWidth="1"/>
    <col min="1282" max="1282" width="27.85546875" style="179" customWidth="1"/>
    <col min="1283" max="1283" width="17.42578125" style="179" bestFit="1" customWidth="1"/>
    <col min="1284" max="1284" width="14" style="179" customWidth="1"/>
    <col min="1285" max="1286" width="14.7109375" style="179" customWidth="1"/>
    <col min="1287" max="1536" width="9.28515625" style="179"/>
    <col min="1537" max="1537" width="7.7109375" style="179" customWidth="1"/>
    <col min="1538" max="1538" width="27.85546875" style="179" customWidth="1"/>
    <col min="1539" max="1539" width="17.42578125" style="179" bestFit="1" customWidth="1"/>
    <col min="1540" max="1540" width="14" style="179" customWidth="1"/>
    <col min="1541" max="1542" width="14.7109375" style="179" customWidth="1"/>
    <col min="1543" max="1792" width="9.28515625" style="179"/>
    <col min="1793" max="1793" width="7.7109375" style="179" customWidth="1"/>
    <col min="1794" max="1794" width="27.85546875" style="179" customWidth="1"/>
    <col min="1795" max="1795" width="17.42578125" style="179" bestFit="1" customWidth="1"/>
    <col min="1796" max="1796" width="14" style="179" customWidth="1"/>
    <col min="1797" max="1798" width="14.7109375" style="179" customWidth="1"/>
    <col min="1799" max="2048" width="9.28515625" style="179"/>
    <col min="2049" max="2049" width="7.7109375" style="179" customWidth="1"/>
    <col min="2050" max="2050" width="27.85546875" style="179" customWidth="1"/>
    <col min="2051" max="2051" width="17.42578125" style="179" bestFit="1" customWidth="1"/>
    <col min="2052" max="2052" width="14" style="179" customWidth="1"/>
    <col min="2053" max="2054" width="14.7109375" style="179" customWidth="1"/>
    <col min="2055" max="2304" width="9.28515625" style="179"/>
    <col min="2305" max="2305" width="7.7109375" style="179" customWidth="1"/>
    <col min="2306" max="2306" width="27.85546875" style="179" customWidth="1"/>
    <col min="2307" max="2307" width="17.42578125" style="179" bestFit="1" customWidth="1"/>
    <col min="2308" max="2308" width="14" style="179" customWidth="1"/>
    <col min="2309" max="2310" width="14.7109375" style="179" customWidth="1"/>
    <col min="2311" max="2560" width="9.28515625" style="179"/>
    <col min="2561" max="2561" width="7.7109375" style="179" customWidth="1"/>
    <col min="2562" max="2562" width="27.85546875" style="179" customWidth="1"/>
    <col min="2563" max="2563" width="17.42578125" style="179" bestFit="1" customWidth="1"/>
    <col min="2564" max="2564" width="14" style="179" customWidth="1"/>
    <col min="2565" max="2566" width="14.7109375" style="179" customWidth="1"/>
    <col min="2567" max="2816" width="9.28515625" style="179"/>
    <col min="2817" max="2817" width="7.7109375" style="179" customWidth="1"/>
    <col min="2818" max="2818" width="27.85546875" style="179" customWidth="1"/>
    <col min="2819" max="2819" width="17.42578125" style="179" bestFit="1" customWidth="1"/>
    <col min="2820" max="2820" width="14" style="179" customWidth="1"/>
    <col min="2821" max="2822" width="14.7109375" style="179" customWidth="1"/>
    <col min="2823" max="3072" width="9.28515625" style="179"/>
    <col min="3073" max="3073" width="7.7109375" style="179" customWidth="1"/>
    <col min="3074" max="3074" width="27.85546875" style="179" customWidth="1"/>
    <col min="3075" max="3075" width="17.42578125" style="179" bestFit="1" customWidth="1"/>
    <col min="3076" max="3076" width="14" style="179" customWidth="1"/>
    <col min="3077" max="3078" width="14.7109375" style="179" customWidth="1"/>
    <col min="3079" max="3328" width="9.28515625" style="179"/>
    <col min="3329" max="3329" width="7.7109375" style="179" customWidth="1"/>
    <col min="3330" max="3330" width="27.85546875" style="179" customWidth="1"/>
    <col min="3331" max="3331" width="17.42578125" style="179" bestFit="1" customWidth="1"/>
    <col min="3332" max="3332" width="14" style="179" customWidth="1"/>
    <col min="3333" max="3334" width="14.7109375" style="179" customWidth="1"/>
    <col min="3335" max="3584" width="9.28515625" style="179"/>
    <col min="3585" max="3585" width="7.7109375" style="179" customWidth="1"/>
    <col min="3586" max="3586" width="27.85546875" style="179" customWidth="1"/>
    <col min="3587" max="3587" width="17.42578125" style="179" bestFit="1" customWidth="1"/>
    <col min="3588" max="3588" width="14" style="179" customWidth="1"/>
    <col min="3589" max="3590" width="14.7109375" style="179" customWidth="1"/>
    <col min="3591" max="3840" width="9.28515625" style="179"/>
    <col min="3841" max="3841" width="7.7109375" style="179" customWidth="1"/>
    <col min="3842" max="3842" width="27.85546875" style="179" customWidth="1"/>
    <col min="3843" max="3843" width="17.42578125" style="179" bestFit="1" customWidth="1"/>
    <col min="3844" max="3844" width="14" style="179" customWidth="1"/>
    <col min="3845" max="3846" width="14.7109375" style="179" customWidth="1"/>
    <col min="3847" max="4096" width="9.28515625" style="179"/>
    <col min="4097" max="4097" width="7.7109375" style="179" customWidth="1"/>
    <col min="4098" max="4098" width="27.85546875" style="179" customWidth="1"/>
    <col min="4099" max="4099" width="17.42578125" style="179" bestFit="1" customWidth="1"/>
    <col min="4100" max="4100" width="14" style="179" customWidth="1"/>
    <col min="4101" max="4102" width="14.7109375" style="179" customWidth="1"/>
    <col min="4103" max="4352" width="9.28515625" style="179"/>
    <col min="4353" max="4353" width="7.7109375" style="179" customWidth="1"/>
    <col min="4354" max="4354" width="27.85546875" style="179" customWidth="1"/>
    <col min="4355" max="4355" width="17.42578125" style="179" bestFit="1" customWidth="1"/>
    <col min="4356" max="4356" width="14" style="179" customWidth="1"/>
    <col min="4357" max="4358" width="14.7109375" style="179" customWidth="1"/>
    <col min="4359" max="4608" width="9.28515625" style="179"/>
    <col min="4609" max="4609" width="7.7109375" style="179" customWidth="1"/>
    <col min="4610" max="4610" width="27.85546875" style="179" customWidth="1"/>
    <col min="4611" max="4611" width="17.42578125" style="179" bestFit="1" customWidth="1"/>
    <col min="4612" max="4612" width="14" style="179" customWidth="1"/>
    <col min="4613" max="4614" width="14.7109375" style="179" customWidth="1"/>
    <col min="4615" max="4864" width="9.28515625" style="179"/>
    <col min="4865" max="4865" width="7.7109375" style="179" customWidth="1"/>
    <col min="4866" max="4866" width="27.85546875" style="179" customWidth="1"/>
    <col min="4867" max="4867" width="17.42578125" style="179" bestFit="1" customWidth="1"/>
    <col min="4868" max="4868" width="14" style="179" customWidth="1"/>
    <col min="4869" max="4870" width="14.7109375" style="179" customWidth="1"/>
    <col min="4871" max="5120" width="9.28515625" style="179"/>
    <col min="5121" max="5121" width="7.7109375" style="179" customWidth="1"/>
    <col min="5122" max="5122" width="27.85546875" style="179" customWidth="1"/>
    <col min="5123" max="5123" width="17.42578125" style="179" bestFit="1" customWidth="1"/>
    <col min="5124" max="5124" width="14" style="179" customWidth="1"/>
    <col min="5125" max="5126" width="14.7109375" style="179" customWidth="1"/>
    <col min="5127" max="5376" width="9.28515625" style="179"/>
    <col min="5377" max="5377" width="7.7109375" style="179" customWidth="1"/>
    <col min="5378" max="5378" width="27.85546875" style="179" customWidth="1"/>
    <col min="5379" max="5379" width="17.42578125" style="179" bestFit="1" customWidth="1"/>
    <col min="5380" max="5380" width="14" style="179" customWidth="1"/>
    <col min="5381" max="5382" width="14.7109375" style="179" customWidth="1"/>
    <col min="5383" max="5632" width="9.28515625" style="179"/>
    <col min="5633" max="5633" width="7.7109375" style="179" customWidth="1"/>
    <col min="5634" max="5634" width="27.85546875" style="179" customWidth="1"/>
    <col min="5635" max="5635" width="17.42578125" style="179" bestFit="1" customWidth="1"/>
    <col min="5636" max="5636" width="14" style="179" customWidth="1"/>
    <col min="5637" max="5638" width="14.7109375" style="179" customWidth="1"/>
    <col min="5639" max="5888" width="9.28515625" style="179"/>
    <col min="5889" max="5889" width="7.7109375" style="179" customWidth="1"/>
    <col min="5890" max="5890" width="27.85546875" style="179" customWidth="1"/>
    <col min="5891" max="5891" width="17.42578125" style="179" bestFit="1" customWidth="1"/>
    <col min="5892" max="5892" width="14" style="179" customWidth="1"/>
    <col min="5893" max="5894" width="14.7109375" style="179" customWidth="1"/>
    <col min="5895" max="6144" width="9.28515625" style="179"/>
    <col min="6145" max="6145" width="7.7109375" style="179" customWidth="1"/>
    <col min="6146" max="6146" width="27.85546875" style="179" customWidth="1"/>
    <col min="6147" max="6147" width="17.42578125" style="179" bestFit="1" customWidth="1"/>
    <col min="6148" max="6148" width="14" style="179" customWidth="1"/>
    <col min="6149" max="6150" width="14.7109375" style="179" customWidth="1"/>
    <col min="6151" max="6400" width="9.28515625" style="179"/>
    <col min="6401" max="6401" width="7.7109375" style="179" customWidth="1"/>
    <col min="6402" max="6402" width="27.85546875" style="179" customWidth="1"/>
    <col min="6403" max="6403" width="17.42578125" style="179" bestFit="1" customWidth="1"/>
    <col min="6404" max="6404" width="14" style="179" customWidth="1"/>
    <col min="6405" max="6406" width="14.7109375" style="179" customWidth="1"/>
    <col min="6407" max="6656" width="9.28515625" style="179"/>
    <col min="6657" max="6657" width="7.7109375" style="179" customWidth="1"/>
    <col min="6658" max="6658" width="27.85546875" style="179" customWidth="1"/>
    <col min="6659" max="6659" width="17.42578125" style="179" bestFit="1" customWidth="1"/>
    <col min="6660" max="6660" width="14" style="179" customWidth="1"/>
    <col min="6661" max="6662" width="14.7109375" style="179" customWidth="1"/>
    <col min="6663" max="6912" width="9.28515625" style="179"/>
    <col min="6913" max="6913" width="7.7109375" style="179" customWidth="1"/>
    <col min="6914" max="6914" width="27.85546875" style="179" customWidth="1"/>
    <col min="6915" max="6915" width="17.42578125" style="179" bestFit="1" customWidth="1"/>
    <col min="6916" max="6916" width="14" style="179" customWidth="1"/>
    <col min="6917" max="6918" width="14.7109375" style="179" customWidth="1"/>
    <col min="6919" max="7168" width="9.28515625" style="179"/>
    <col min="7169" max="7169" width="7.7109375" style="179" customWidth="1"/>
    <col min="7170" max="7170" width="27.85546875" style="179" customWidth="1"/>
    <col min="7171" max="7171" width="17.42578125" style="179" bestFit="1" customWidth="1"/>
    <col min="7172" max="7172" width="14" style="179" customWidth="1"/>
    <col min="7173" max="7174" width="14.7109375" style="179" customWidth="1"/>
    <col min="7175" max="7424" width="9.28515625" style="179"/>
    <col min="7425" max="7425" width="7.7109375" style="179" customWidth="1"/>
    <col min="7426" max="7426" width="27.85546875" style="179" customWidth="1"/>
    <col min="7427" max="7427" width="17.42578125" style="179" bestFit="1" customWidth="1"/>
    <col min="7428" max="7428" width="14" style="179" customWidth="1"/>
    <col min="7429" max="7430" width="14.7109375" style="179" customWidth="1"/>
    <col min="7431" max="7680" width="9.28515625" style="179"/>
    <col min="7681" max="7681" width="7.7109375" style="179" customWidth="1"/>
    <col min="7682" max="7682" width="27.85546875" style="179" customWidth="1"/>
    <col min="7683" max="7683" width="17.42578125" style="179" bestFit="1" customWidth="1"/>
    <col min="7684" max="7684" width="14" style="179" customWidth="1"/>
    <col min="7685" max="7686" width="14.7109375" style="179" customWidth="1"/>
    <col min="7687" max="7936" width="9.28515625" style="179"/>
    <col min="7937" max="7937" width="7.7109375" style="179" customWidth="1"/>
    <col min="7938" max="7938" width="27.85546875" style="179" customWidth="1"/>
    <col min="7939" max="7939" width="17.42578125" style="179" bestFit="1" customWidth="1"/>
    <col min="7940" max="7940" width="14" style="179" customWidth="1"/>
    <col min="7941" max="7942" width="14.7109375" style="179" customWidth="1"/>
    <col min="7943" max="8192" width="9.28515625" style="179"/>
    <col min="8193" max="8193" width="7.7109375" style="179" customWidth="1"/>
    <col min="8194" max="8194" width="27.85546875" style="179" customWidth="1"/>
    <col min="8195" max="8195" width="17.42578125" style="179" bestFit="1" customWidth="1"/>
    <col min="8196" max="8196" width="14" style="179" customWidth="1"/>
    <col min="8197" max="8198" width="14.7109375" style="179" customWidth="1"/>
    <col min="8199" max="8448" width="9.28515625" style="179"/>
    <col min="8449" max="8449" width="7.7109375" style="179" customWidth="1"/>
    <col min="8450" max="8450" width="27.85546875" style="179" customWidth="1"/>
    <col min="8451" max="8451" width="17.42578125" style="179" bestFit="1" customWidth="1"/>
    <col min="8452" max="8452" width="14" style="179" customWidth="1"/>
    <col min="8453" max="8454" width="14.7109375" style="179" customWidth="1"/>
    <col min="8455" max="8704" width="9.28515625" style="179"/>
    <col min="8705" max="8705" width="7.7109375" style="179" customWidth="1"/>
    <col min="8706" max="8706" width="27.85546875" style="179" customWidth="1"/>
    <col min="8707" max="8707" width="17.42578125" style="179" bestFit="1" customWidth="1"/>
    <col min="8708" max="8708" width="14" style="179" customWidth="1"/>
    <col min="8709" max="8710" width="14.7109375" style="179" customWidth="1"/>
    <col min="8711" max="8960" width="9.28515625" style="179"/>
    <col min="8961" max="8961" width="7.7109375" style="179" customWidth="1"/>
    <col min="8962" max="8962" width="27.85546875" style="179" customWidth="1"/>
    <col min="8963" max="8963" width="17.42578125" style="179" bestFit="1" customWidth="1"/>
    <col min="8964" max="8964" width="14" style="179" customWidth="1"/>
    <col min="8965" max="8966" width="14.7109375" style="179" customWidth="1"/>
    <col min="8967" max="9216" width="9.28515625" style="179"/>
    <col min="9217" max="9217" width="7.7109375" style="179" customWidth="1"/>
    <col min="9218" max="9218" width="27.85546875" style="179" customWidth="1"/>
    <col min="9219" max="9219" width="17.42578125" style="179" bestFit="1" customWidth="1"/>
    <col min="9220" max="9220" width="14" style="179" customWidth="1"/>
    <col min="9221" max="9222" width="14.7109375" style="179" customWidth="1"/>
    <col min="9223" max="9472" width="9.28515625" style="179"/>
    <col min="9473" max="9473" width="7.7109375" style="179" customWidth="1"/>
    <col min="9474" max="9474" width="27.85546875" style="179" customWidth="1"/>
    <col min="9475" max="9475" width="17.42578125" style="179" bestFit="1" customWidth="1"/>
    <col min="9476" max="9476" width="14" style="179" customWidth="1"/>
    <col min="9477" max="9478" width="14.7109375" style="179" customWidth="1"/>
    <col min="9479" max="9728" width="9.28515625" style="179"/>
    <col min="9729" max="9729" width="7.7109375" style="179" customWidth="1"/>
    <col min="9730" max="9730" width="27.85546875" style="179" customWidth="1"/>
    <col min="9731" max="9731" width="17.42578125" style="179" bestFit="1" customWidth="1"/>
    <col min="9732" max="9732" width="14" style="179" customWidth="1"/>
    <col min="9733" max="9734" width="14.7109375" style="179" customWidth="1"/>
    <col min="9735" max="9984" width="9.28515625" style="179"/>
    <col min="9985" max="9985" width="7.7109375" style="179" customWidth="1"/>
    <col min="9986" max="9986" width="27.85546875" style="179" customWidth="1"/>
    <col min="9987" max="9987" width="17.42578125" style="179" bestFit="1" customWidth="1"/>
    <col min="9988" max="9988" width="14" style="179" customWidth="1"/>
    <col min="9989" max="9990" width="14.7109375" style="179" customWidth="1"/>
    <col min="9991" max="10240" width="9.28515625" style="179"/>
    <col min="10241" max="10241" width="7.7109375" style="179" customWidth="1"/>
    <col min="10242" max="10242" width="27.85546875" style="179" customWidth="1"/>
    <col min="10243" max="10243" width="17.42578125" style="179" bestFit="1" customWidth="1"/>
    <col min="10244" max="10244" width="14" style="179" customWidth="1"/>
    <col min="10245" max="10246" width="14.7109375" style="179" customWidth="1"/>
    <col min="10247" max="10496" width="9.28515625" style="179"/>
    <col min="10497" max="10497" width="7.7109375" style="179" customWidth="1"/>
    <col min="10498" max="10498" width="27.85546875" style="179" customWidth="1"/>
    <col min="10499" max="10499" width="17.42578125" style="179" bestFit="1" customWidth="1"/>
    <col min="10500" max="10500" width="14" style="179" customWidth="1"/>
    <col min="10501" max="10502" width="14.7109375" style="179" customWidth="1"/>
    <col min="10503" max="10752" width="9.28515625" style="179"/>
    <col min="10753" max="10753" width="7.7109375" style="179" customWidth="1"/>
    <col min="10754" max="10754" width="27.85546875" style="179" customWidth="1"/>
    <col min="10755" max="10755" width="17.42578125" style="179" bestFit="1" customWidth="1"/>
    <col min="10756" max="10756" width="14" style="179" customWidth="1"/>
    <col min="10757" max="10758" width="14.7109375" style="179" customWidth="1"/>
    <col min="10759" max="11008" width="9.28515625" style="179"/>
    <col min="11009" max="11009" width="7.7109375" style="179" customWidth="1"/>
    <col min="11010" max="11010" width="27.85546875" style="179" customWidth="1"/>
    <col min="11011" max="11011" width="17.42578125" style="179" bestFit="1" customWidth="1"/>
    <col min="11012" max="11012" width="14" style="179" customWidth="1"/>
    <col min="11013" max="11014" width="14.7109375" style="179" customWidth="1"/>
    <col min="11015" max="11264" width="9.28515625" style="179"/>
    <col min="11265" max="11265" width="7.7109375" style="179" customWidth="1"/>
    <col min="11266" max="11266" width="27.85546875" style="179" customWidth="1"/>
    <col min="11267" max="11267" width="17.42578125" style="179" bestFit="1" customWidth="1"/>
    <col min="11268" max="11268" width="14" style="179" customWidth="1"/>
    <col min="11269" max="11270" width="14.7109375" style="179" customWidth="1"/>
    <col min="11271" max="11520" width="9.28515625" style="179"/>
    <col min="11521" max="11521" width="7.7109375" style="179" customWidth="1"/>
    <col min="11522" max="11522" width="27.85546875" style="179" customWidth="1"/>
    <col min="11523" max="11523" width="17.42578125" style="179" bestFit="1" customWidth="1"/>
    <col min="11524" max="11524" width="14" style="179" customWidth="1"/>
    <col min="11525" max="11526" width="14.7109375" style="179" customWidth="1"/>
    <col min="11527" max="11776" width="9.28515625" style="179"/>
    <col min="11777" max="11777" width="7.7109375" style="179" customWidth="1"/>
    <col min="11778" max="11778" width="27.85546875" style="179" customWidth="1"/>
    <col min="11779" max="11779" width="17.42578125" style="179" bestFit="1" customWidth="1"/>
    <col min="11780" max="11780" width="14" style="179" customWidth="1"/>
    <col min="11781" max="11782" width="14.7109375" style="179" customWidth="1"/>
    <col min="11783" max="12032" width="9.28515625" style="179"/>
    <col min="12033" max="12033" width="7.7109375" style="179" customWidth="1"/>
    <col min="12034" max="12034" width="27.85546875" style="179" customWidth="1"/>
    <col min="12035" max="12035" width="17.42578125" style="179" bestFit="1" customWidth="1"/>
    <col min="12036" max="12036" width="14" style="179" customWidth="1"/>
    <col min="12037" max="12038" width="14.7109375" style="179" customWidth="1"/>
    <col min="12039" max="12288" width="9.28515625" style="179"/>
    <col min="12289" max="12289" width="7.7109375" style="179" customWidth="1"/>
    <col min="12290" max="12290" width="27.85546875" style="179" customWidth="1"/>
    <col min="12291" max="12291" width="17.42578125" style="179" bestFit="1" customWidth="1"/>
    <col min="12292" max="12292" width="14" style="179" customWidth="1"/>
    <col min="12293" max="12294" width="14.7109375" style="179" customWidth="1"/>
    <col min="12295" max="12544" width="9.28515625" style="179"/>
    <col min="12545" max="12545" width="7.7109375" style="179" customWidth="1"/>
    <col min="12546" max="12546" width="27.85546875" style="179" customWidth="1"/>
    <col min="12547" max="12547" width="17.42578125" style="179" bestFit="1" customWidth="1"/>
    <col min="12548" max="12548" width="14" style="179" customWidth="1"/>
    <col min="12549" max="12550" width="14.7109375" style="179" customWidth="1"/>
    <col min="12551" max="12800" width="9.28515625" style="179"/>
    <col min="12801" max="12801" width="7.7109375" style="179" customWidth="1"/>
    <col min="12802" max="12802" width="27.85546875" style="179" customWidth="1"/>
    <col min="12803" max="12803" width="17.42578125" style="179" bestFit="1" customWidth="1"/>
    <col min="12804" max="12804" width="14" style="179" customWidth="1"/>
    <col min="12805" max="12806" width="14.7109375" style="179" customWidth="1"/>
    <col min="12807" max="13056" width="9.28515625" style="179"/>
    <col min="13057" max="13057" width="7.7109375" style="179" customWidth="1"/>
    <col min="13058" max="13058" width="27.85546875" style="179" customWidth="1"/>
    <col min="13059" max="13059" width="17.42578125" style="179" bestFit="1" customWidth="1"/>
    <col min="13060" max="13060" width="14" style="179" customWidth="1"/>
    <col min="13061" max="13062" width="14.7109375" style="179" customWidth="1"/>
    <col min="13063" max="13312" width="9.28515625" style="179"/>
    <col min="13313" max="13313" width="7.7109375" style="179" customWidth="1"/>
    <col min="13314" max="13314" width="27.85546875" style="179" customWidth="1"/>
    <col min="13315" max="13315" width="17.42578125" style="179" bestFit="1" customWidth="1"/>
    <col min="13316" max="13316" width="14" style="179" customWidth="1"/>
    <col min="13317" max="13318" width="14.7109375" style="179" customWidth="1"/>
    <col min="13319" max="13568" width="9.28515625" style="179"/>
    <col min="13569" max="13569" width="7.7109375" style="179" customWidth="1"/>
    <col min="13570" max="13570" width="27.85546875" style="179" customWidth="1"/>
    <col min="13571" max="13571" width="17.42578125" style="179" bestFit="1" customWidth="1"/>
    <col min="13572" max="13572" width="14" style="179" customWidth="1"/>
    <col min="13573" max="13574" width="14.7109375" style="179" customWidth="1"/>
    <col min="13575" max="13824" width="9.28515625" style="179"/>
    <col min="13825" max="13825" width="7.7109375" style="179" customWidth="1"/>
    <col min="13826" max="13826" width="27.85546875" style="179" customWidth="1"/>
    <col min="13827" max="13827" width="17.42578125" style="179" bestFit="1" customWidth="1"/>
    <col min="13828" max="13828" width="14" style="179" customWidth="1"/>
    <col min="13829" max="13830" width="14.7109375" style="179" customWidth="1"/>
    <col min="13831" max="14080" width="9.28515625" style="179"/>
    <col min="14081" max="14081" width="7.7109375" style="179" customWidth="1"/>
    <col min="14082" max="14082" width="27.85546875" style="179" customWidth="1"/>
    <col min="14083" max="14083" width="17.42578125" style="179" bestFit="1" customWidth="1"/>
    <col min="14084" max="14084" width="14" style="179" customWidth="1"/>
    <col min="14085" max="14086" width="14.7109375" style="179" customWidth="1"/>
    <col min="14087" max="14336" width="9.28515625" style="179"/>
    <col min="14337" max="14337" width="7.7109375" style="179" customWidth="1"/>
    <col min="14338" max="14338" width="27.85546875" style="179" customWidth="1"/>
    <col min="14339" max="14339" width="17.42578125" style="179" bestFit="1" customWidth="1"/>
    <col min="14340" max="14340" width="14" style="179" customWidth="1"/>
    <col min="14341" max="14342" width="14.7109375" style="179" customWidth="1"/>
    <col min="14343" max="14592" width="9.28515625" style="179"/>
    <col min="14593" max="14593" width="7.7109375" style="179" customWidth="1"/>
    <col min="14594" max="14594" width="27.85546875" style="179" customWidth="1"/>
    <col min="14595" max="14595" width="17.42578125" style="179" bestFit="1" customWidth="1"/>
    <col min="14596" max="14596" width="14" style="179" customWidth="1"/>
    <col min="14597" max="14598" width="14.7109375" style="179" customWidth="1"/>
    <col min="14599" max="14848" width="9.28515625" style="179"/>
    <col min="14849" max="14849" width="7.7109375" style="179" customWidth="1"/>
    <col min="14850" max="14850" width="27.85546875" style="179" customWidth="1"/>
    <col min="14851" max="14851" width="17.42578125" style="179" bestFit="1" customWidth="1"/>
    <col min="14852" max="14852" width="14" style="179" customWidth="1"/>
    <col min="14853" max="14854" width="14.7109375" style="179" customWidth="1"/>
    <col min="14855" max="15104" width="9.28515625" style="179"/>
    <col min="15105" max="15105" width="7.7109375" style="179" customWidth="1"/>
    <col min="15106" max="15106" width="27.85546875" style="179" customWidth="1"/>
    <col min="15107" max="15107" width="17.42578125" style="179" bestFit="1" customWidth="1"/>
    <col min="15108" max="15108" width="14" style="179" customWidth="1"/>
    <col min="15109" max="15110" width="14.7109375" style="179" customWidth="1"/>
    <col min="15111" max="15360" width="9.28515625" style="179"/>
    <col min="15361" max="15361" width="7.7109375" style="179" customWidth="1"/>
    <col min="15362" max="15362" width="27.85546875" style="179" customWidth="1"/>
    <col min="15363" max="15363" width="17.42578125" style="179" bestFit="1" customWidth="1"/>
    <col min="15364" max="15364" width="14" style="179" customWidth="1"/>
    <col min="15365" max="15366" width="14.7109375" style="179" customWidth="1"/>
    <col min="15367" max="15616" width="9.28515625" style="179"/>
    <col min="15617" max="15617" width="7.7109375" style="179" customWidth="1"/>
    <col min="15618" max="15618" width="27.85546875" style="179" customWidth="1"/>
    <col min="15619" max="15619" width="17.42578125" style="179" bestFit="1" customWidth="1"/>
    <col min="15620" max="15620" width="14" style="179" customWidth="1"/>
    <col min="15621" max="15622" width="14.7109375" style="179" customWidth="1"/>
    <col min="15623" max="15872" width="9.28515625" style="179"/>
    <col min="15873" max="15873" width="7.7109375" style="179" customWidth="1"/>
    <col min="15874" max="15874" width="27.85546875" style="179" customWidth="1"/>
    <col min="15875" max="15875" width="17.42578125" style="179" bestFit="1" customWidth="1"/>
    <col min="15876" max="15876" width="14" style="179" customWidth="1"/>
    <col min="15877" max="15878" width="14.7109375" style="179" customWidth="1"/>
    <col min="15879" max="16128" width="9.28515625" style="179"/>
    <col min="16129" max="16129" width="7.7109375" style="179" customWidth="1"/>
    <col min="16130" max="16130" width="27.85546875" style="179" customWidth="1"/>
    <col min="16131" max="16131" width="17.42578125" style="179" bestFit="1" customWidth="1"/>
    <col min="16132" max="16132" width="14" style="179" customWidth="1"/>
    <col min="16133" max="16134" width="14.7109375" style="179" customWidth="1"/>
    <col min="16135" max="16384" width="9.28515625" style="179"/>
  </cols>
  <sheetData>
    <row r="1" spans="1:6" ht="35.1" customHeight="1">
      <c r="A1" s="1001" t="str">
        <f>+Títulos!$B$2&amp;"
ESTADO ANALITICO DE LA DEUDA Y OTROS PASIVOS
DEL 01 DE ENERO AL "&amp;Títulos!$B$3</f>
        <v>TRIBUNAL DE JUSTICIA ADMINISTRATIVA
ESTADO ANALITICO DE LA DEUDA Y OTROS PASIVOS
DEL 01 DE ENERO AL 31 DE DICIEMBRE DE 2017</v>
      </c>
      <c r="B1" s="1002"/>
      <c r="C1" s="1002"/>
      <c r="D1" s="1002"/>
      <c r="E1" s="1002"/>
      <c r="F1" s="1002"/>
    </row>
    <row r="2" spans="1:6" ht="36.75" customHeight="1">
      <c r="A2" s="141" t="s">
        <v>0</v>
      </c>
      <c r="B2" s="142" t="s">
        <v>1</v>
      </c>
      <c r="C2" s="143" t="s">
        <v>76</v>
      </c>
      <c r="D2" s="143" t="s">
        <v>77</v>
      </c>
      <c r="E2" s="143" t="s">
        <v>78</v>
      </c>
      <c r="F2" s="143" t="s">
        <v>79</v>
      </c>
    </row>
    <row r="3" spans="1:6" s="195" customFormat="1" ht="11.25" customHeight="1">
      <c r="A3" s="193">
        <v>900001</v>
      </c>
      <c r="B3" s="194" t="s">
        <v>80</v>
      </c>
      <c r="C3" s="135"/>
      <c r="D3" s="135"/>
      <c r="E3" s="114">
        <f ca="1">+E14+E25</f>
        <v>0</v>
      </c>
      <c r="F3" s="114">
        <f ca="1">+F14+F25</f>
        <v>0</v>
      </c>
    </row>
    <row r="4" spans="1:6" ht="11.25" customHeight="1">
      <c r="A4" s="196"/>
      <c r="B4" s="197" t="s">
        <v>81</v>
      </c>
      <c r="C4" s="136"/>
      <c r="D4" s="136"/>
      <c r="E4" s="133"/>
      <c r="F4" s="133"/>
    </row>
    <row r="5" spans="1:6" ht="11.25" customHeight="1">
      <c r="A5" s="193">
        <v>900002</v>
      </c>
      <c r="B5" s="198" t="s">
        <v>82</v>
      </c>
      <c r="C5" s="137"/>
      <c r="D5" s="137"/>
      <c r="E5" s="115">
        <f ca="1">SUM(E6:E8)</f>
        <v>0</v>
      </c>
      <c r="F5" s="115">
        <f ca="1">SUM(F6:F8)</f>
        <v>0</v>
      </c>
    </row>
    <row r="6" spans="1:6" ht="11.25" customHeight="1">
      <c r="A6" s="196">
        <v>2131</v>
      </c>
      <c r="B6" s="199" t="s">
        <v>83</v>
      </c>
      <c r="C6" s="136"/>
      <c r="D6" s="136"/>
      <c r="E6" s="112">
        <f ca="1">-SUMIF(BC[],MID(A6,1,4)&amp;"*",bc_2016)</f>
        <v>0</v>
      </c>
      <c r="F6" s="112">
        <f ca="1">-SUMIF(BC[],MID(A6,1,4)&amp;"*",bc_2017)</f>
        <v>0</v>
      </c>
    </row>
    <row r="7" spans="1:6" ht="11.25" customHeight="1">
      <c r="A7" s="196">
        <v>2141</v>
      </c>
      <c r="B7" s="199" t="s">
        <v>84</v>
      </c>
      <c r="C7" s="136"/>
      <c r="D7" s="136"/>
      <c r="E7" s="112">
        <f ca="1">-SUMIF(BC[],MID(A7,1,4)&amp;"*",bc_2016)</f>
        <v>0</v>
      </c>
      <c r="F7" s="112">
        <f ca="1">-SUMIF(BC[],MID(A7,1,4)&amp;"*",bc_2017)</f>
        <v>0</v>
      </c>
    </row>
    <row r="8" spans="1:6" ht="11.25" customHeight="1">
      <c r="A8" s="196">
        <v>2133</v>
      </c>
      <c r="B8" s="199" t="s">
        <v>85</v>
      </c>
      <c r="C8" s="136"/>
      <c r="D8" s="136"/>
      <c r="E8" s="112">
        <f ca="1">-SUMIF(BC[],MID(A8,1,4)&amp;"*",bc_2016)</f>
        <v>0</v>
      </c>
      <c r="F8" s="112">
        <f ca="1">-SUMIF(BC[],MID(A8,1,4)&amp;"*",bc_2017)</f>
        <v>0</v>
      </c>
    </row>
    <row r="9" spans="1:6" ht="11.25" customHeight="1">
      <c r="A9" s="193">
        <v>900003</v>
      </c>
      <c r="B9" s="198" t="s">
        <v>86</v>
      </c>
      <c r="C9" s="137"/>
      <c r="D9" s="137"/>
      <c r="E9" s="115">
        <f>SUM(E10:E13)</f>
        <v>0</v>
      </c>
      <c r="F9" s="115">
        <f>SUM(F10:F13)</f>
        <v>0</v>
      </c>
    </row>
    <row r="10" spans="1:6" ht="11.25" customHeight="1">
      <c r="A10" s="193">
        <v>8001</v>
      </c>
      <c r="B10" s="199" t="s">
        <v>87</v>
      </c>
      <c r="C10" s="136"/>
      <c r="D10" s="136"/>
      <c r="E10" s="133">
        <v>0</v>
      </c>
      <c r="F10" s="133">
        <v>0</v>
      </c>
    </row>
    <row r="11" spans="1:6" ht="11.25" customHeight="1">
      <c r="A11" s="193">
        <v>8002</v>
      </c>
      <c r="B11" s="199" t="s">
        <v>88</v>
      </c>
      <c r="C11" s="136"/>
      <c r="D11" s="136"/>
      <c r="E11" s="133">
        <v>0</v>
      </c>
      <c r="F11" s="133">
        <v>0</v>
      </c>
    </row>
    <row r="12" spans="1:6" ht="11.25" customHeight="1">
      <c r="A12" s="193">
        <v>8003</v>
      </c>
      <c r="B12" s="199" t="s">
        <v>84</v>
      </c>
      <c r="C12" s="136"/>
      <c r="D12" s="136"/>
      <c r="E12" s="133">
        <v>0</v>
      </c>
      <c r="F12" s="133">
        <v>0</v>
      </c>
    </row>
    <row r="13" spans="1:6" ht="11.25" customHeight="1">
      <c r="A13" s="193">
        <v>8004</v>
      </c>
      <c r="B13" s="199" t="s">
        <v>85</v>
      </c>
      <c r="C13" s="136"/>
      <c r="D13" s="136"/>
      <c r="E13" s="133">
        <v>0</v>
      </c>
      <c r="F13" s="133">
        <v>0</v>
      </c>
    </row>
    <row r="14" spans="1:6" ht="11.25" customHeight="1">
      <c r="A14" s="193">
        <v>900004</v>
      </c>
      <c r="B14" s="198" t="s">
        <v>89</v>
      </c>
      <c r="C14" s="137"/>
      <c r="D14" s="137"/>
      <c r="E14" s="115">
        <f ca="1">E5+E9</f>
        <v>0</v>
      </c>
      <c r="F14" s="115">
        <f ca="1">F5+F9</f>
        <v>0</v>
      </c>
    </row>
    <row r="15" spans="1:6" ht="11.25" customHeight="1">
      <c r="A15" s="196"/>
      <c r="B15" s="197" t="s">
        <v>90</v>
      </c>
      <c r="C15" s="136"/>
      <c r="D15" s="136"/>
      <c r="E15" s="133"/>
      <c r="F15" s="133"/>
    </row>
    <row r="16" spans="1:6" ht="11.25" customHeight="1">
      <c r="A16" s="193">
        <v>900005</v>
      </c>
      <c r="B16" s="198" t="s">
        <v>82</v>
      </c>
      <c r="C16" s="136"/>
      <c r="D16" s="136"/>
      <c r="E16" s="115">
        <f ca="1">SUM(E17:E19)</f>
        <v>0</v>
      </c>
      <c r="F16" s="115">
        <f ca="1">SUM(F17:F19)</f>
        <v>0</v>
      </c>
    </row>
    <row r="17" spans="1:6" ht="11.25" customHeight="1">
      <c r="A17" s="196">
        <v>2233</v>
      </c>
      <c r="B17" s="199" t="s">
        <v>83</v>
      </c>
      <c r="C17" s="136"/>
      <c r="D17" s="136"/>
      <c r="E17" s="112">
        <f ca="1">-SUMIF(BC[],MID(A17,1,4)&amp;"*",bc_2016)</f>
        <v>0</v>
      </c>
      <c r="F17" s="112">
        <f ca="1">-SUMIF(BC[],MID(A17,1,4)&amp;"*",bc_2017)</f>
        <v>0</v>
      </c>
    </row>
    <row r="18" spans="1:6" ht="11.25" customHeight="1">
      <c r="A18" s="196">
        <v>2231</v>
      </c>
      <c r="B18" s="199" t="s">
        <v>84</v>
      </c>
      <c r="C18" s="136"/>
      <c r="D18" s="136"/>
      <c r="E18" s="112">
        <f ca="1">-SUMIF(BC[],MID(A18,1,4)&amp;"*",bc_2016)</f>
        <v>0</v>
      </c>
      <c r="F18" s="112">
        <f ca="1">-SUMIF(BC[],MID(A18,1,4)&amp;"*",bc_2017)</f>
        <v>0</v>
      </c>
    </row>
    <row r="19" spans="1:6" ht="11.25" customHeight="1">
      <c r="A19" s="196">
        <v>2235</v>
      </c>
      <c r="B19" s="199" t="s">
        <v>85</v>
      </c>
      <c r="C19" s="136"/>
      <c r="D19" s="136"/>
      <c r="E19" s="112">
        <f ca="1">-SUMIF(BC[],MID(A19,1,4)&amp;"*",bc_2016)</f>
        <v>0</v>
      </c>
      <c r="F19" s="112">
        <f ca="1">-SUMIF(BC[],MID(A19,1,4)&amp;"*",bc_2017)</f>
        <v>0</v>
      </c>
    </row>
    <row r="20" spans="1:6" ht="11.25" customHeight="1">
      <c r="A20" s="193">
        <v>900006</v>
      </c>
      <c r="B20" s="198" t="s">
        <v>86</v>
      </c>
      <c r="C20" s="137"/>
      <c r="D20" s="137"/>
      <c r="E20" s="115">
        <f>SUM(E21:E24)</f>
        <v>0</v>
      </c>
      <c r="F20" s="115">
        <f>SUM(F21:F24)</f>
        <v>0</v>
      </c>
    </row>
    <row r="21" spans="1:6" ht="11.25" customHeight="1">
      <c r="A21" s="193">
        <v>8005</v>
      </c>
      <c r="B21" s="199" t="s">
        <v>87</v>
      </c>
      <c r="C21" s="136"/>
      <c r="D21" s="136"/>
      <c r="E21" s="133">
        <v>0</v>
      </c>
      <c r="F21" s="133">
        <v>0</v>
      </c>
    </row>
    <row r="22" spans="1:6" ht="11.25" customHeight="1">
      <c r="A22" s="193">
        <v>8006</v>
      </c>
      <c r="B22" s="199" t="s">
        <v>88</v>
      </c>
      <c r="C22" s="136"/>
      <c r="D22" s="136"/>
      <c r="E22" s="133">
        <v>0</v>
      </c>
      <c r="F22" s="133">
        <v>0</v>
      </c>
    </row>
    <row r="23" spans="1:6" ht="11.25" customHeight="1">
      <c r="A23" s="193">
        <v>8007</v>
      </c>
      <c r="B23" s="199" t="s">
        <v>84</v>
      </c>
      <c r="C23" s="136"/>
      <c r="D23" s="136"/>
      <c r="E23" s="133">
        <v>0</v>
      </c>
      <c r="F23" s="133">
        <v>0</v>
      </c>
    </row>
    <row r="24" spans="1:6" ht="11.25" customHeight="1">
      <c r="A24" s="193">
        <v>8008</v>
      </c>
      <c r="B24" s="199" t="s">
        <v>85</v>
      </c>
      <c r="C24" s="136"/>
      <c r="D24" s="136"/>
      <c r="E24" s="133">
        <v>0</v>
      </c>
      <c r="F24" s="133">
        <v>0</v>
      </c>
    </row>
    <row r="25" spans="1:6" ht="11.25" customHeight="1">
      <c r="A25" s="193">
        <v>900007</v>
      </c>
      <c r="B25" s="198" t="s">
        <v>91</v>
      </c>
      <c r="C25" s="137"/>
      <c r="D25" s="137"/>
      <c r="E25" s="115">
        <f ca="1">E16+E20</f>
        <v>0</v>
      </c>
      <c r="F25" s="115">
        <f ca="1">F16+F20</f>
        <v>0</v>
      </c>
    </row>
    <row r="26" spans="1:6" ht="11.25" customHeight="1">
      <c r="A26" s="193">
        <v>900008</v>
      </c>
      <c r="B26" s="200" t="s">
        <v>92</v>
      </c>
      <c r="C26" s="137"/>
      <c r="D26" s="137"/>
      <c r="E26" s="115">
        <f ca="1">+E27-E3</f>
        <v>5457146.0099999998</v>
      </c>
      <c r="F26" s="115">
        <f ca="1">+F27-F3</f>
        <v>7271230.9600000009</v>
      </c>
    </row>
    <row r="27" spans="1:6" ht="11.25" customHeight="1">
      <c r="A27" s="201">
        <v>2000</v>
      </c>
      <c r="B27" s="202" t="s">
        <v>93</v>
      </c>
      <c r="C27" s="138"/>
      <c r="D27" s="138"/>
      <c r="E27" s="113">
        <f ca="1">-SUMIF(BC[],"2*",bc_2016)</f>
        <v>5457146.0099999998</v>
      </c>
      <c r="F27" s="113">
        <f ca="1">-SUMIF(BC[],"2*",bc_2017)</f>
        <v>7271230.9600000009</v>
      </c>
    </row>
  </sheetData>
  <sheetProtection autoFilter="0"/>
  <mergeCells count="1">
    <mergeCell ref="A1:F1"/>
  </mergeCells>
  <dataValidations count="6">
    <dataValidation allowBlank="1" showInputMessage="1" showErrorMessage="1" prompt="Representa el saldo final del periodo inmediato anterior. (saldo del 31 de diciembre)."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prompt="Corresponde al número de cuenta al 4° nivel del Plan de Cuentas emitido por el CONAC (DOF 23/12/2015)."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allowBlank="1" showInputMessage="1" showErrorMessage="1" prompt="Representa el saldo final del periodo. (correspondiente a la información financiera trimestral que se presenta)."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dataValidation allowBlank="1" showInputMessage="1" showErrorMessage="1" prompt="Representa el nombre del país o institución con la cual se contrató el financiamiento."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 allowBlank="1" showInputMessage="1" showErrorMessage="1" prompt="Representa la divisa en la cual fue contratado el financiamiento."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Corresponde al nombre o descripción de la cuenta de acuerdo al plan de cuentas emitido por el CONAC."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s>
  <pageMargins left="0.7" right="0.7" top="0.75" bottom="0.75" header="0.3" footer="0.3"/>
  <pageSetup scale="58" fitToHeight="0" orientation="portrait" r:id="rId1"/>
  <ignoredErrors>
    <ignoredError sqref="E3:F27"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2"/>
  <sheetViews>
    <sheetView showGridLines="0" workbookViewId="0">
      <selection activeCell="B3" sqref="B3:B32"/>
    </sheetView>
  </sheetViews>
  <sheetFormatPr baseColWidth="10" defaultColWidth="9.28515625" defaultRowHeight="11.25"/>
  <cols>
    <col min="1" max="1" width="47.28515625" style="203" customWidth="1"/>
    <col min="2" max="2" width="39.5703125" style="203" customWidth="1"/>
    <col min="3" max="256" width="9.28515625" style="203"/>
    <col min="257" max="257" width="47.28515625" style="203" customWidth="1"/>
    <col min="258" max="258" width="39.5703125" style="203" customWidth="1"/>
    <col min="259" max="512" width="9.28515625" style="203"/>
    <col min="513" max="513" width="47.28515625" style="203" customWidth="1"/>
    <col min="514" max="514" width="39.5703125" style="203" customWidth="1"/>
    <col min="515" max="768" width="9.28515625" style="203"/>
    <col min="769" max="769" width="47.28515625" style="203" customWidth="1"/>
    <col min="770" max="770" width="39.5703125" style="203" customWidth="1"/>
    <col min="771" max="1024" width="9.28515625" style="203"/>
    <col min="1025" max="1025" width="47.28515625" style="203" customWidth="1"/>
    <col min="1026" max="1026" width="39.5703125" style="203" customWidth="1"/>
    <col min="1027" max="1280" width="9.28515625" style="203"/>
    <col min="1281" max="1281" width="47.28515625" style="203" customWidth="1"/>
    <col min="1282" max="1282" width="39.5703125" style="203" customWidth="1"/>
    <col min="1283" max="1536" width="9.28515625" style="203"/>
    <col min="1537" max="1537" width="47.28515625" style="203" customWidth="1"/>
    <col min="1538" max="1538" width="39.5703125" style="203" customWidth="1"/>
    <col min="1539" max="1792" width="9.28515625" style="203"/>
    <col min="1793" max="1793" width="47.28515625" style="203" customWidth="1"/>
    <col min="1794" max="1794" width="39.5703125" style="203" customWidth="1"/>
    <col min="1795" max="2048" width="9.28515625" style="203"/>
    <col min="2049" max="2049" width="47.28515625" style="203" customWidth="1"/>
    <col min="2050" max="2050" width="39.5703125" style="203" customWidth="1"/>
    <col min="2051" max="2304" width="9.28515625" style="203"/>
    <col min="2305" max="2305" width="47.28515625" style="203" customWidth="1"/>
    <col min="2306" max="2306" width="39.5703125" style="203" customWidth="1"/>
    <col min="2307" max="2560" width="9.28515625" style="203"/>
    <col min="2561" max="2561" width="47.28515625" style="203" customWidth="1"/>
    <col min="2562" max="2562" width="39.5703125" style="203" customWidth="1"/>
    <col min="2563" max="2816" width="9.28515625" style="203"/>
    <col min="2817" max="2817" width="47.28515625" style="203" customWidth="1"/>
    <col min="2818" max="2818" width="39.5703125" style="203" customWidth="1"/>
    <col min="2819" max="3072" width="9.28515625" style="203"/>
    <col min="3073" max="3073" width="47.28515625" style="203" customWidth="1"/>
    <col min="3074" max="3074" width="39.5703125" style="203" customWidth="1"/>
    <col min="3075" max="3328" width="9.28515625" style="203"/>
    <col min="3329" max="3329" width="47.28515625" style="203" customWidth="1"/>
    <col min="3330" max="3330" width="39.5703125" style="203" customWidth="1"/>
    <col min="3331" max="3584" width="9.28515625" style="203"/>
    <col min="3585" max="3585" width="47.28515625" style="203" customWidth="1"/>
    <col min="3586" max="3586" width="39.5703125" style="203" customWidth="1"/>
    <col min="3587" max="3840" width="9.28515625" style="203"/>
    <col min="3841" max="3841" width="47.28515625" style="203" customWidth="1"/>
    <col min="3842" max="3842" width="39.5703125" style="203" customWidth="1"/>
    <col min="3843" max="4096" width="9.28515625" style="203"/>
    <col min="4097" max="4097" width="47.28515625" style="203" customWidth="1"/>
    <col min="4098" max="4098" width="39.5703125" style="203" customWidth="1"/>
    <col min="4099" max="4352" width="9.28515625" style="203"/>
    <col min="4353" max="4353" width="47.28515625" style="203" customWidth="1"/>
    <col min="4354" max="4354" width="39.5703125" style="203" customWidth="1"/>
    <col min="4355" max="4608" width="9.28515625" style="203"/>
    <col min="4609" max="4609" width="47.28515625" style="203" customWidth="1"/>
    <col min="4610" max="4610" width="39.5703125" style="203" customWidth="1"/>
    <col min="4611" max="4864" width="9.28515625" style="203"/>
    <col min="4865" max="4865" width="47.28515625" style="203" customWidth="1"/>
    <col min="4866" max="4866" width="39.5703125" style="203" customWidth="1"/>
    <col min="4867" max="5120" width="9.28515625" style="203"/>
    <col min="5121" max="5121" width="47.28515625" style="203" customWidth="1"/>
    <col min="5122" max="5122" width="39.5703125" style="203" customWidth="1"/>
    <col min="5123" max="5376" width="9.28515625" style="203"/>
    <col min="5377" max="5377" width="47.28515625" style="203" customWidth="1"/>
    <col min="5378" max="5378" width="39.5703125" style="203" customWidth="1"/>
    <col min="5379" max="5632" width="9.28515625" style="203"/>
    <col min="5633" max="5633" width="47.28515625" style="203" customWidth="1"/>
    <col min="5634" max="5634" width="39.5703125" style="203" customWidth="1"/>
    <col min="5635" max="5888" width="9.28515625" style="203"/>
    <col min="5889" max="5889" width="47.28515625" style="203" customWidth="1"/>
    <col min="5890" max="5890" width="39.5703125" style="203" customWidth="1"/>
    <col min="5891" max="6144" width="9.28515625" style="203"/>
    <col min="6145" max="6145" width="47.28515625" style="203" customWidth="1"/>
    <col min="6146" max="6146" width="39.5703125" style="203" customWidth="1"/>
    <col min="6147" max="6400" width="9.28515625" style="203"/>
    <col min="6401" max="6401" width="47.28515625" style="203" customWidth="1"/>
    <col min="6402" max="6402" width="39.5703125" style="203" customWidth="1"/>
    <col min="6403" max="6656" width="9.28515625" style="203"/>
    <col min="6657" max="6657" width="47.28515625" style="203" customWidth="1"/>
    <col min="6658" max="6658" width="39.5703125" style="203" customWidth="1"/>
    <col min="6659" max="6912" width="9.28515625" style="203"/>
    <col min="6913" max="6913" width="47.28515625" style="203" customWidth="1"/>
    <col min="6914" max="6914" width="39.5703125" style="203" customWidth="1"/>
    <col min="6915" max="7168" width="9.28515625" style="203"/>
    <col min="7169" max="7169" width="47.28515625" style="203" customWidth="1"/>
    <col min="7170" max="7170" width="39.5703125" style="203" customWidth="1"/>
    <col min="7171" max="7424" width="9.28515625" style="203"/>
    <col min="7425" max="7425" width="47.28515625" style="203" customWidth="1"/>
    <col min="7426" max="7426" width="39.5703125" style="203" customWidth="1"/>
    <col min="7427" max="7680" width="9.28515625" style="203"/>
    <col min="7681" max="7681" width="47.28515625" style="203" customWidth="1"/>
    <col min="7682" max="7682" width="39.5703125" style="203" customWidth="1"/>
    <col min="7683" max="7936" width="9.28515625" style="203"/>
    <col min="7937" max="7937" width="47.28515625" style="203" customWidth="1"/>
    <col min="7938" max="7938" width="39.5703125" style="203" customWidth="1"/>
    <col min="7939" max="8192" width="9.28515625" style="203"/>
    <col min="8193" max="8193" width="47.28515625" style="203" customWidth="1"/>
    <col min="8194" max="8194" width="39.5703125" style="203" customWidth="1"/>
    <col min="8195" max="8448" width="9.28515625" style="203"/>
    <col min="8449" max="8449" width="47.28515625" style="203" customWidth="1"/>
    <col min="8450" max="8450" width="39.5703125" style="203" customWidth="1"/>
    <col min="8451" max="8704" width="9.28515625" style="203"/>
    <col min="8705" max="8705" width="47.28515625" style="203" customWidth="1"/>
    <col min="8706" max="8706" width="39.5703125" style="203" customWidth="1"/>
    <col min="8707" max="8960" width="9.28515625" style="203"/>
    <col min="8961" max="8961" width="47.28515625" style="203" customWidth="1"/>
    <col min="8962" max="8962" width="39.5703125" style="203" customWidth="1"/>
    <col min="8963" max="9216" width="9.28515625" style="203"/>
    <col min="9217" max="9217" width="47.28515625" style="203" customWidth="1"/>
    <col min="9218" max="9218" width="39.5703125" style="203" customWidth="1"/>
    <col min="9219" max="9472" width="9.28515625" style="203"/>
    <col min="9473" max="9473" width="47.28515625" style="203" customWidth="1"/>
    <col min="9474" max="9474" width="39.5703125" style="203" customWidth="1"/>
    <col min="9475" max="9728" width="9.28515625" style="203"/>
    <col min="9729" max="9729" width="47.28515625" style="203" customWidth="1"/>
    <col min="9730" max="9730" width="39.5703125" style="203" customWidth="1"/>
    <col min="9731" max="9984" width="9.28515625" style="203"/>
    <col min="9985" max="9985" width="47.28515625" style="203" customWidth="1"/>
    <col min="9986" max="9986" width="39.5703125" style="203" customWidth="1"/>
    <col min="9987" max="10240" width="9.28515625" style="203"/>
    <col min="10241" max="10241" width="47.28515625" style="203" customWidth="1"/>
    <col min="10242" max="10242" width="39.5703125" style="203" customWidth="1"/>
    <col min="10243" max="10496" width="9.28515625" style="203"/>
    <col min="10497" max="10497" width="47.28515625" style="203" customWidth="1"/>
    <col min="10498" max="10498" width="39.5703125" style="203" customWidth="1"/>
    <col min="10499" max="10752" width="9.28515625" style="203"/>
    <col min="10753" max="10753" width="47.28515625" style="203" customWidth="1"/>
    <col min="10754" max="10754" width="39.5703125" style="203" customWidth="1"/>
    <col min="10755" max="11008" width="9.28515625" style="203"/>
    <col min="11009" max="11009" width="47.28515625" style="203" customWidth="1"/>
    <col min="11010" max="11010" width="39.5703125" style="203" customWidth="1"/>
    <col min="11011" max="11264" width="9.28515625" style="203"/>
    <col min="11265" max="11265" width="47.28515625" style="203" customWidth="1"/>
    <col min="11266" max="11266" width="39.5703125" style="203" customWidth="1"/>
    <col min="11267" max="11520" width="9.28515625" style="203"/>
    <col min="11521" max="11521" width="47.28515625" style="203" customWidth="1"/>
    <col min="11522" max="11522" width="39.5703125" style="203" customWidth="1"/>
    <col min="11523" max="11776" width="9.28515625" style="203"/>
    <col min="11777" max="11777" width="47.28515625" style="203" customWidth="1"/>
    <col min="11778" max="11778" width="39.5703125" style="203" customWidth="1"/>
    <col min="11779" max="12032" width="9.28515625" style="203"/>
    <col min="12033" max="12033" width="47.28515625" style="203" customWidth="1"/>
    <col min="12034" max="12034" width="39.5703125" style="203" customWidth="1"/>
    <col min="12035" max="12288" width="9.28515625" style="203"/>
    <col min="12289" max="12289" width="47.28515625" style="203" customWidth="1"/>
    <col min="12290" max="12290" width="39.5703125" style="203" customWidth="1"/>
    <col min="12291" max="12544" width="9.28515625" style="203"/>
    <col min="12545" max="12545" width="47.28515625" style="203" customWidth="1"/>
    <col min="12546" max="12546" width="39.5703125" style="203" customWidth="1"/>
    <col min="12547" max="12800" width="9.28515625" style="203"/>
    <col min="12801" max="12801" width="47.28515625" style="203" customWidth="1"/>
    <col min="12802" max="12802" width="39.5703125" style="203" customWidth="1"/>
    <col min="12803" max="13056" width="9.28515625" style="203"/>
    <col min="13057" max="13057" width="47.28515625" style="203" customWidth="1"/>
    <col min="13058" max="13058" width="39.5703125" style="203" customWidth="1"/>
    <col min="13059" max="13312" width="9.28515625" style="203"/>
    <col min="13313" max="13313" width="47.28515625" style="203" customWidth="1"/>
    <col min="13314" max="13314" width="39.5703125" style="203" customWidth="1"/>
    <col min="13315" max="13568" width="9.28515625" style="203"/>
    <col min="13569" max="13569" width="47.28515625" style="203" customWidth="1"/>
    <col min="13570" max="13570" width="39.5703125" style="203" customWidth="1"/>
    <col min="13571" max="13824" width="9.28515625" style="203"/>
    <col min="13825" max="13825" width="47.28515625" style="203" customWidth="1"/>
    <col min="13826" max="13826" width="39.5703125" style="203" customWidth="1"/>
    <col min="13827" max="14080" width="9.28515625" style="203"/>
    <col min="14081" max="14081" width="47.28515625" style="203" customWidth="1"/>
    <col min="14082" max="14082" width="39.5703125" style="203" customWidth="1"/>
    <col min="14083" max="14336" width="9.28515625" style="203"/>
    <col min="14337" max="14337" width="47.28515625" style="203" customWidth="1"/>
    <col min="14338" max="14338" width="39.5703125" style="203" customWidth="1"/>
    <col min="14339" max="14592" width="9.28515625" style="203"/>
    <col min="14593" max="14593" width="47.28515625" style="203" customWidth="1"/>
    <col min="14594" max="14594" width="39.5703125" style="203" customWidth="1"/>
    <col min="14595" max="14848" width="9.28515625" style="203"/>
    <col min="14849" max="14849" width="47.28515625" style="203" customWidth="1"/>
    <col min="14850" max="14850" width="39.5703125" style="203" customWidth="1"/>
    <col min="14851" max="15104" width="9.28515625" style="203"/>
    <col min="15105" max="15105" width="47.28515625" style="203" customWidth="1"/>
    <col min="15106" max="15106" width="39.5703125" style="203" customWidth="1"/>
    <col min="15107" max="15360" width="9.28515625" style="203"/>
    <col min="15361" max="15361" width="47.28515625" style="203" customWidth="1"/>
    <col min="15362" max="15362" width="39.5703125" style="203" customWidth="1"/>
    <col min="15363" max="15616" width="9.28515625" style="203"/>
    <col min="15617" max="15617" width="47.28515625" style="203" customWidth="1"/>
    <col min="15618" max="15618" width="39.5703125" style="203" customWidth="1"/>
    <col min="15619" max="15872" width="9.28515625" style="203"/>
    <col min="15873" max="15873" width="47.28515625" style="203" customWidth="1"/>
    <col min="15874" max="15874" width="39.5703125" style="203" customWidth="1"/>
    <col min="15875" max="16128" width="9.28515625" style="203"/>
    <col min="16129" max="16129" width="47.28515625" style="203" customWidth="1"/>
    <col min="16130" max="16130" width="39.5703125" style="203" customWidth="1"/>
    <col min="16131" max="16384" width="9.28515625" style="203"/>
  </cols>
  <sheetData>
    <row r="1" spans="1:2" ht="35.1" customHeight="1">
      <c r="A1" s="1004" t="str">
        <f>+Títulos!$B$2&amp;"
INFORME SOBRE PASIVOS CONTINGENTES
AL "&amp;Títulos!$B$3</f>
        <v>TRIBUNAL DE JUSTICIA ADMINISTRATIVA
INFORME SOBRE PASIVOS CONTINGENTES
AL 31 DE DICIEMBRE DE 2017</v>
      </c>
      <c r="B1" s="1005"/>
    </row>
    <row r="2" spans="1:2" ht="15" customHeight="1">
      <c r="A2" s="324" t="s">
        <v>1</v>
      </c>
      <c r="B2" s="324" t="s">
        <v>71</v>
      </c>
    </row>
    <row r="3" spans="1:2">
      <c r="A3" s="65" t="s">
        <v>72</v>
      </c>
      <c r="B3" s="382" t="s">
        <v>381</v>
      </c>
    </row>
    <row r="4" spans="1:2">
      <c r="A4" s="71"/>
      <c r="B4" s="383"/>
    </row>
    <row r="5" spans="1:2">
      <c r="A5" s="79"/>
      <c r="B5" s="383"/>
    </row>
    <row r="6" spans="1:2">
      <c r="A6" s="79"/>
      <c r="B6" s="383"/>
    </row>
    <row r="7" spans="1:2">
      <c r="A7" s="79"/>
      <c r="B7" s="383"/>
    </row>
    <row r="8" spans="1:2">
      <c r="A8" s="79"/>
      <c r="B8" s="383"/>
    </row>
    <row r="9" spans="1:2">
      <c r="A9" s="65" t="s">
        <v>73</v>
      </c>
      <c r="B9" s="383" t="s">
        <v>381</v>
      </c>
    </row>
    <row r="10" spans="1:2">
      <c r="A10" s="79"/>
      <c r="B10" s="383"/>
    </row>
    <row r="11" spans="1:2">
      <c r="A11" s="79"/>
      <c r="B11" s="383"/>
    </row>
    <row r="12" spans="1:2">
      <c r="A12" s="79"/>
      <c r="B12" s="383"/>
    </row>
    <row r="13" spans="1:2">
      <c r="A13" s="79"/>
      <c r="B13" s="383"/>
    </row>
    <row r="14" spans="1:2">
      <c r="A14" s="79"/>
      <c r="B14" s="383"/>
    </row>
    <row r="15" spans="1:2">
      <c r="A15" s="65" t="s">
        <v>74</v>
      </c>
      <c r="B15" s="383" t="s">
        <v>381</v>
      </c>
    </row>
    <row r="16" spans="1:2">
      <c r="A16" s="79"/>
      <c r="B16" s="383"/>
    </row>
    <row r="17" spans="1:2">
      <c r="A17" s="85"/>
      <c r="B17" s="383"/>
    </row>
    <row r="18" spans="1:2">
      <c r="A18" s="79"/>
      <c r="B18" s="383"/>
    </row>
    <row r="19" spans="1:2">
      <c r="A19" s="71"/>
      <c r="B19" s="383"/>
    </row>
    <row r="20" spans="1:2">
      <c r="A20" s="71"/>
      <c r="B20" s="383"/>
    </row>
    <row r="21" spans="1:2">
      <c r="A21" s="65" t="s">
        <v>75</v>
      </c>
      <c r="B21" s="383" t="s">
        <v>381</v>
      </c>
    </row>
    <row r="22" spans="1:2">
      <c r="A22" s="71"/>
      <c r="B22" s="383"/>
    </row>
    <row r="23" spans="1:2">
      <c r="A23" s="71"/>
      <c r="B23" s="383"/>
    </row>
    <row r="24" spans="1:2">
      <c r="A24" s="71"/>
      <c r="B24" s="383"/>
    </row>
    <row r="25" spans="1:2">
      <c r="A25" s="71"/>
      <c r="B25" s="383"/>
    </row>
    <row r="26" spans="1:2">
      <c r="A26" s="71"/>
      <c r="B26" s="383"/>
    </row>
    <row r="27" spans="1:2">
      <c r="A27" s="65" t="s">
        <v>1540</v>
      </c>
      <c r="B27" s="383" t="s">
        <v>381</v>
      </c>
    </row>
    <row r="28" spans="1:2">
      <c r="A28" s="71"/>
      <c r="B28" s="383"/>
    </row>
    <row r="29" spans="1:2">
      <c r="A29" s="71"/>
      <c r="B29" s="383"/>
    </row>
    <row r="30" spans="1:2">
      <c r="A30" s="71"/>
      <c r="B30" s="383"/>
    </row>
    <row r="31" spans="1:2">
      <c r="A31" s="71"/>
      <c r="B31" s="383"/>
    </row>
    <row r="32" spans="1:2">
      <c r="A32" s="88"/>
      <c r="B32" s="384"/>
    </row>
  </sheetData>
  <sheetProtection formatCells="0" formatColumns="0" formatRows="0" insertRows="0" deleteRows="0" autoFilter="0"/>
  <mergeCells count="1">
    <mergeCell ref="A1:B1"/>
  </mergeCells>
  <dataValidations count="5">
    <dataValidation allowBlank="1" showInputMessage="1" showErrorMessage="1" prompt="El tipo de pasivo contingente." sqref="WVI983048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A2"/>
    <dataValidation allowBlank="1" showInputMessage="1" showErrorMessage="1" prompt="Descripción del pasivo contingente." sqref="WVJ983048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B2"/>
    <dataValidation allowBlank="1" showInputMessage="1" showErrorMessage="1" prompt="Asignaciones para el pago de pensionistas y jubilados o a sus familiares, así como los pagos adicionales derivados de compromisos contractuales a personal retirado. (DOF 2-dic-09)" sqref="WVI983068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dataValidation allowBlank="1" showInputMessage="1" showErrorMessage="1" prompt="Corresponde a la responsabilidad subsidiaria o solidadaria que adquiere un ente público ante un acreedor por el otorgamiento de céditos a un tercero (DOF 9-dic-09)" sqref="WLM98305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WVI983055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dataValidation allowBlank="1" showInputMessage="1" showErrorMessage="1" prompt="Representa las demandas  interpuestas por el ente público contra terceros o viceversa (DOF 9-dic-09)" sqref="WVI983049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dataValidations>
  <pageMargins left="0.7" right="0.7" top="0.75" bottom="0.75" header="0.3" footer="0.3"/>
  <pageSetup scale="92"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2"/>
  <sheetViews>
    <sheetView topLeftCell="F1" workbookViewId="0">
      <selection activeCell="L1" sqref="L1"/>
    </sheetView>
  </sheetViews>
  <sheetFormatPr baseColWidth="10" defaultColWidth="11.5703125" defaultRowHeight="15"/>
  <cols>
    <col min="1" max="1" width="5.7109375" style="139" customWidth="1"/>
    <col min="2" max="2" width="6.28515625" style="139" bestFit="1" customWidth="1"/>
    <col min="3" max="3" width="7" style="139" bestFit="1" customWidth="1"/>
    <col min="4" max="4" width="32.85546875" style="139" bestFit="1" customWidth="1"/>
    <col min="5" max="5" width="11.7109375" style="139" bestFit="1" customWidth="1"/>
    <col min="6" max="6" width="15.140625" style="145" bestFit="1" customWidth="1"/>
    <col min="7" max="7" width="14" style="145" bestFit="1" customWidth="1"/>
    <col min="8" max="10" width="15.140625" style="145" bestFit="1" customWidth="1"/>
    <col min="11" max="16384" width="11.5703125" style="139"/>
  </cols>
  <sheetData>
    <row r="1" spans="1:12">
      <c r="E1" s="131">
        <f>SUM(PI[Concepto])</f>
        <v>0</v>
      </c>
      <c r="F1" s="328">
        <f>SUM(PI[Estimado])</f>
        <v>80405840.510000005</v>
      </c>
      <c r="G1" s="328">
        <f>SUM(PI[Amp/Red])</f>
        <v>8457903.8100000005</v>
      </c>
      <c r="H1" s="328">
        <f>SUM(PI[Modificado])</f>
        <v>88863744.319999993</v>
      </c>
      <c r="I1" s="328">
        <f>SUM(PI[Devengado])</f>
        <v>88863739.419999987</v>
      </c>
      <c r="J1" s="328">
        <f>SUM(PI[Recaudado])</f>
        <v>88863739.419999987</v>
      </c>
      <c r="K1" s="894">
        <f>+I1-J1</f>
        <v>0</v>
      </c>
      <c r="L1" s="894">
        <f>+H1-I1</f>
        <v>4.9000000059604645</v>
      </c>
    </row>
    <row r="2" spans="1:12">
      <c r="A2" s="331" t="s">
        <v>225</v>
      </c>
      <c r="B2" s="331" t="s">
        <v>226</v>
      </c>
      <c r="C2" s="331" t="s">
        <v>227</v>
      </c>
      <c r="D2" s="331" t="s">
        <v>827</v>
      </c>
      <c r="E2" s="326" t="s">
        <v>384</v>
      </c>
      <c r="F2" s="327" t="s">
        <v>385</v>
      </c>
      <c r="G2" s="327" t="s">
        <v>386</v>
      </c>
      <c r="H2" s="327" t="s">
        <v>358</v>
      </c>
      <c r="I2" s="327" t="s">
        <v>359</v>
      </c>
      <c r="J2" s="330" t="s">
        <v>387</v>
      </c>
    </row>
    <row r="3" spans="1:12">
      <c r="A3" s="458" t="s">
        <v>739</v>
      </c>
      <c r="B3" s="458" t="s">
        <v>750</v>
      </c>
      <c r="C3" s="458" t="s">
        <v>2076</v>
      </c>
      <c r="D3" s="459" t="s">
        <v>2077</v>
      </c>
      <c r="E3" s="448" t="s">
        <v>2071</v>
      </c>
      <c r="F3" s="449">
        <v>800000</v>
      </c>
      <c r="G3" s="449">
        <v>1096500</v>
      </c>
      <c r="H3" s="449">
        <v>1896500</v>
      </c>
      <c r="I3" s="449">
        <v>1896500</v>
      </c>
      <c r="J3" s="449">
        <v>1896500</v>
      </c>
    </row>
    <row r="4" spans="1:12">
      <c r="A4" s="458" t="s">
        <v>739</v>
      </c>
      <c r="B4" s="458" t="s">
        <v>750</v>
      </c>
      <c r="C4" s="458" t="s">
        <v>2078</v>
      </c>
      <c r="D4" s="459" t="s">
        <v>2079</v>
      </c>
      <c r="E4" s="448" t="s">
        <v>2072</v>
      </c>
      <c r="F4" s="449">
        <v>2000</v>
      </c>
      <c r="G4" s="449">
        <v>-1120</v>
      </c>
      <c r="H4" s="449">
        <v>880</v>
      </c>
      <c r="I4" s="449">
        <v>880</v>
      </c>
      <c r="J4" s="449">
        <v>880</v>
      </c>
    </row>
    <row r="5" spans="1:12">
      <c r="A5" s="458" t="s">
        <v>739</v>
      </c>
      <c r="B5" s="458" t="s">
        <v>750</v>
      </c>
      <c r="C5" s="458" t="s">
        <v>2080</v>
      </c>
      <c r="D5" s="459" t="s">
        <v>2081</v>
      </c>
      <c r="E5" s="448" t="s">
        <v>2073</v>
      </c>
      <c r="F5" s="449">
        <v>510000</v>
      </c>
      <c r="G5" s="449">
        <v>518154.31</v>
      </c>
      <c r="H5" s="449">
        <v>1028154.31</v>
      </c>
      <c r="I5" s="449">
        <v>1028154.31</v>
      </c>
      <c r="J5" s="449">
        <v>1028154.31</v>
      </c>
    </row>
    <row r="6" spans="1:12">
      <c r="A6" s="458" t="s">
        <v>739</v>
      </c>
      <c r="B6" s="458" t="s">
        <v>740</v>
      </c>
      <c r="C6" s="458" t="s">
        <v>741</v>
      </c>
      <c r="D6" s="459" t="s">
        <v>742</v>
      </c>
      <c r="E6" s="448" t="s">
        <v>390</v>
      </c>
      <c r="F6" s="449">
        <v>59875476.899999999</v>
      </c>
      <c r="G6" s="449">
        <v>6048652.1900000004</v>
      </c>
      <c r="H6" s="449">
        <v>65924129.090000004</v>
      </c>
      <c r="I6" s="449">
        <v>65924124.189999998</v>
      </c>
      <c r="J6" s="449">
        <v>65924124.189999998</v>
      </c>
    </row>
    <row r="7" spans="1:12">
      <c r="A7" s="458" t="s">
        <v>739</v>
      </c>
      <c r="B7" s="458" t="s">
        <v>740</v>
      </c>
      <c r="C7" s="458" t="s">
        <v>743</v>
      </c>
      <c r="D7" s="459" t="s">
        <v>744</v>
      </c>
      <c r="E7" s="448" t="s">
        <v>391</v>
      </c>
      <c r="F7" s="449">
        <v>2249254.52</v>
      </c>
      <c r="G7" s="449">
        <v>-349815.95</v>
      </c>
      <c r="H7" s="449">
        <v>1899438.57</v>
      </c>
      <c r="I7" s="449">
        <v>1899438.57</v>
      </c>
      <c r="J7" s="449">
        <v>1899438.57</v>
      </c>
    </row>
    <row r="8" spans="1:12">
      <c r="A8" s="458" t="s">
        <v>739</v>
      </c>
      <c r="B8" s="458" t="s">
        <v>740</v>
      </c>
      <c r="C8" s="458" t="s">
        <v>745</v>
      </c>
      <c r="D8" s="459" t="s">
        <v>746</v>
      </c>
      <c r="E8" s="448" t="s">
        <v>392</v>
      </c>
      <c r="F8" s="449">
        <v>15301571</v>
      </c>
      <c r="G8" s="449">
        <v>350566.11</v>
      </c>
      <c r="H8" s="449">
        <v>15652137.109999999</v>
      </c>
      <c r="I8" s="449">
        <v>15652137.109999999</v>
      </c>
      <c r="J8" s="449">
        <v>15652137.109999999</v>
      </c>
    </row>
    <row r="9" spans="1:12">
      <c r="A9" s="458" t="s">
        <v>739</v>
      </c>
      <c r="B9" s="458" t="s">
        <v>740</v>
      </c>
      <c r="C9" s="458" t="s">
        <v>1705</v>
      </c>
      <c r="D9" s="459" t="s">
        <v>1706</v>
      </c>
      <c r="E9" s="448" t="s">
        <v>826</v>
      </c>
      <c r="F9" s="449">
        <v>625510.53</v>
      </c>
      <c r="G9" s="449">
        <v>-625510.53</v>
      </c>
      <c r="H9" s="449">
        <v>0</v>
      </c>
      <c r="I9" s="449">
        <v>0</v>
      </c>
      <c r="J9" s="449">
        <v>0</v>
      </c>
    </row>
    <row r="10" spans="1:12">
      <c r="A10" s="458" t="s">
        <v>739</v>
      </c>
      <c r="B10" s="458" t="s">
        <v>748</v>
      </c>
      <c r="C10" s="458" t="s">
        <v>749</v>
      </c>
      <c r="D10" s="459" t="s">
        <v>2082</v>
      </c>
      <c r="E10" s="448" t="s">
        <v>394</v>
      </c>
      <c r="F10" s="449">
        <v>1042027.56</v>
      </c>
      <c r="G10" s="449">
        <v>1420477.68</v>
      </c>
      <c r="H10" s="449">
        <v>2462505.2400000002</v>
      </c>
      <c r="I10" s="449">
        <v>2462505.2400000002</v>
      </c>
      <c r="J10" s="449">
        <v>2462505.2400000002</v>
      </c>
    </row>
    <row r="11" spans="1:12">
      <c r="A11" s="953" t="s">
        <v>2579</v>
      </c>
      <c r="B11" s="953" t="s">
        <v>750</v>
      </c>
      <c r="C11" s="953" t="s">
        <v>2076</v>
      </c>
      <c r="D11" s="954" t="s">
        <v>2580</v>
      </c>
      <c r="E11" s="955" t="s">
        <v>2071</v>
      </c>
      <c r="F11" s="956">
        <v>0</v>
      </c>
      <c r="G11" s="956">
        <v>0</v>
      </c>
      <c r="H11" s="956">
        <v>0</v>
      </c>
      <c r="I11" s="956">
        <v>0</v>
      </c>
      <c r="J11" s="957">
        <v>0</v>
      </c>
    </row>
    <row r="12" spans="1:12">
      <c r="A12" s="953" t="s">
        <v>2579</v>
      </c>
      <c r="B12" s="953" t="s">
        <v>750</v>
      </c>
      <c r="C12" s="953" t="s">
        <v>2080</v>
      </c>
      <c r="D12" s="954" t="s">
        <v>2581</v>
      </c>
      <c r="E12" s="955" t="s">
        <v>2073</v>
      </c>
      <c r="F12" s="956">
        <v>0</v>
      </c>
      <c r="G12" s="956">
        <v>0</v>
      </c>
      <c r="H12" s="956">
        <v>0</v>
      </c>
      <c r="I12" s="956">
        <v>0</v>
      </c>
      <c r="J12" s="957">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D1:P18"/>
  <sheetViews>
    <sheetView zoomScale="80" zoomScaleNormal="80" workbookViewId="0">
      <pane xSplit="9" ySplit="1" topLeftCell="N5" activePane="bottomRight" state="frozen"/>
      <selection pane="topRight" activeCell="J1" sqref="J1"/>
      <selection pane="bottomLeft" activeCell="A2" sqref="A2"/>
      <selection pane="bottomRight" activeCell="E5" sqref="E5:N18"/>
    </sheetView>
  </sheetViews>
  <sheetFormatPr baseColWidth="10" defaultColWidth="11.5703125" defaultRowHeight="11.25"/>
  <cols>
    <col min="1" max="4" width="1.7109375" style="131" customWidth="1"/>
    <col min="5" max="5" width="5.7109375" style="131" bestFit="1" customWidth="1"/>
    <col min="6" max="6" width="5" style="131" bestFit="1" customWidth="1"/>
    <col min="7" max="7" width="5.42578125" style="131" bestFit="1" customWidth="1"/>
    <col min="8" max="8" width="23.7109375" style="131" customWidth="1"/>
    <col min="9" max="9" width="21.7109375" style="328" customWidth="1"/>
    <col min="10" max="10" width="15.140625" style="328" bestFit="1" customWidth="1"/>
    <col min="11" max="11" width="14" style="328" bestFit="1" customWidth="1"/>
    <col min="12" max="15" width="15.140625" style="328" bestFit="1" customWidth="1"/>
    <col min="16" max="16" width="12.85546875" style="328" bestFit="1" customWidth="1"/>
    <col min="17" max="16384" width="11.5703125" style="131"/>
  </cols>
  <sheetData>
    <row r="1" spans="4:16" ht="15">
      <c r="E1" s="325" t="s">
        <v>225</v>
      </c>
      <c r="F1" s="325" t="s">
        <v>226</v>
      </c>
      <c r="G1" s="325" t="s">
        <v>227</v>
      </c>
      <c r="H1" s="325" t="s">
        <v>827</v>
      </c>
      <c r="I1" s="451" t="s">
        <v>384</v>
      </c>
      <c r="J1" s="452" t="s">
        <v>385</v>
      </c>
      <c r="K1" s="452" t="s">
        <v>386</v>
      </c>
      <c r="L1" s="452" t="s">
        <v>358</v>
      </c>
      <c r="M1" s="452" t="s">
        <v>359</v>
      </c>
      <c r="N1" s="452" t="s">
        <v>387</v>
      </c>
      <c r="O1" s="452" t="s">
        <v>824</v>
      </c>
      <c r="P1" s="452" t="s">
        <v>825</v>
      </c>
    </row>
    <row r="2" spans="4:16" ht="15" hidden="1">
      <c r="E2" s="457"/>
      <c r="F2" s="457"/>
      <c r="G2" s="457"/>
      <c r="H2" s="457"/>
      <c r="I2" s="453" t="s">
        <v>388</v>
      </c>
      <c r="J2" s="454">
        <v>80405840.510000005</v>
      </c>
      <c r="K2" s="454">
        <v>8457903.8100000005</v>
      </c>
      <c r="L2" s="454">
        <v>88863744.319999993</v>
      </c>
      <c r="M2" s="454">
        <v>88863739.420000002</v>
      </c>
      <c r="N2" s="454">
        <v>88863739.420000002</v>
      </c>
      <c r="O2" s="454">
        <v>8457898.9100000001</v>
      </c>
      <c r="P2" s="454">
        <v>8457898.9100000001</v>
      </c>
    </row>
    <row r="3" spans="4:16" ht="12.75" hidden="1">
      <c r="D3" s="329"/>
      <c r="E3" s="458" t="str">
        <f>IF((LEFT($I3,3))="** ",MID($I3,5,1),+E2)</f>
        <v>1</v>
      </c>
      <c r="F3" s="458">
        <f>IF((LEFT($I3,2))="* ",MID($I3,5,5),+F2)</f>
        <v>0</v>
      </c>
      <c r="G3" s="458" t="str">
        <f>IF((LEFT($I3,1))=" ",MID($I3,5,6),"")</f>
        <v/>
      </c>
      <c r="H3" s="459" t="str">
        <f>IF((LEFT($I3,1))=" ",+E3&amp;"/"&amp;F3&amp;"/"&amp;MID($I3,5,50),"")</f>
        <v/>
      </c>
      <c r="I3" s="918" t="s">
        <v>389</v>
      </c>
      <c r="J3" s="919">
        <v>80405840.510000005</v>
      </c>
      <c r="K3" s="919">
        <v>8457903.8100000005</v>
      </c>
      <c r="L3" s="919">
        <v>88863744.319999993</v>
      </c>
      <c r="M3" s="919">
        <v>88863739.420000002</v>
      </c>
      <c r="N3" s="919">
        <v>88863739.420000002</v>
      </c>
      <c r="O3" s="919">
        <v>8457898.9100000001</v>
      </c>
      <c r="P3" s="919">
        <v>8457898.9100000001</v>
      </c>
    </row>
    <row r="4" spans="4:16" ht="15" hidden="1">
      <c r="D4" s="329"/>
      <c r="E4" s="458" t="str">
        <f t="shared" ref="E4:E18" si="0">IF((LEFT($I4,3))="** ",MID($I4,5,1),+E3)</f>
        <v>1</v>
      </c>
      <c r="F4" s="458" t="str">
        <f t="shared" ref="F4:F18" si="1">IF((LEFT($I4,2))="* ",MID($I4,5,5),+F3)</f>
        <v>1.1.6</v>
      </c>
      <c r="G4" s="458" t="str">
        <f>IF((LEFT($I4,1))=" ",MID($I4,5,6),"")</f>
        <v/>
      </c>
      <c r="H4" s="459" t="str">
        <f>IF((LEFT($I4,1))=" ",+E4&amp;"/"&amp;F4&amp;"/"&amp;MID($I4,5,50),"")</f>
        <v/>
      </c>
      <c r="I4" s="455" t="s">
        <v>1520</v>
      </c>
      <c r="J4" s="456">
        <v>1312000</v>
      </c>
      <c r="K4" s="456">
        <v>1613534.31</v>
      </c>
      <c r="L4" s="456">
        <v>2925534.31</v>
      </c>
      <c r="M4" s="456">
        <v>2925534.31</v>
      </c>
      <c r="N4" s="456">
        <v>2925534.31</v>
      </c>
      <c r="O4" s="456">
        <v>1613534.31</v>
      </c>
      <c r="P4" s="456">
        <v>1613534.31</v>
      </c>
    </row>
    <row r="5" spans="4:16" ht="22.5">
      <c r="D5" s="329"/>
      <c r="E5" s="458" t="str">
        <f t="shared" si="0"/>
        <v>1</v>
      </c>
      <c r="F5" s="458" t="str">
        <f t="shared" si="1"/>
        <v>1.1.6</v>
      </c>
      <c r="G5" s="458" t="str">
        <f>IF((LEFT($I5,1))=" ",MID($I5,5,6),"")</f>
        <v>710001</v>
      </c>
      <c r="H5" s="459" t="str">
        <f>IF((LEFT($I5,1))=" ",+E5&amp;"/"&amp;F5&amp;"/"&amp;MID($I5,5,50),"")</f>
        <v>1/1.1.6/710001  CURSOS</v>
      </c>
      <c r="I5" s="448" t="s">
        <v>2071</v>
      </c>
      <c r="J5" s="449">
        <v>800000</v>
      </c>
      <c r="K5" s="449">
        <v>1096500</v>
      </c>
      <c r="L5" s="449">
        <v>1896500</v>
      </c>
      <c r="M5" s="449">
        <v>1896500</v>
      </c>
      <c r="N5" s="449">
        <v>1896500</v>
      </c>
      <c r="O5" s="449">
        <v>1096500</v>
      </c>
      <c r="P5" s="449">
        <v>1096500</v>
      </c>
    </row>
    <row r="6" spans="4:16" ht="22.5">
      <c r="D6" s="329"/>
      <c r="E6" s="458" t="str">
        <f t="shared" si="0"/>
        <v>1</v>
      </c>
      <c r="F6" s="458" t="str">
        <f t="shared" si="1"/>
        <v>1.1.6</v>
      </c>
      <c r="G6" s="458" t="str">
        <f t="shared" ref="G6:G18" si="2">IF((LEFT($I6,1))=" ",MID($I6,5,6),"")</f>
        <v>710002</v>
      </c>
      <c r="H6" s="459" t="str">
        <f t="shared" ref="H6:H10" si="3">IF((LEFT($I6,1))=" ",+E6&amp;"/"&amp;F6&amp;"/"&amp;MID($I6,5,50),"")</f>
        <v>1/1.1.6/710002  MATERIAL DIDÁCTICO</v>
      </c>
      <c r="I6" s="448" t="s">
        <v>2072</v>
      </c>
      <c r="J6" s="449">
        <v>2000</v>
      </c>
      <c r="K6" s="449">
        <v>-1120</v>
      </c>
      <c r="L6" s="449">
        <v>880</v>
      </c>
      <c r="M6" s="449">
        <v>880</v>
      </c>
      <c r="N6" s="449">
        <v>880</v>
      </c>
      <c r="O6" s="449">
        <v>-1120</v>
      </c>
      <c r="P6" s="449">
        <v>0</v>
      </c>
    </row>
    <row r="7" spans="4:16" ht="22.5">
      <c r="D7" s="329"/>
      <c r="E7" s="458" t="str">
        <f t="shared" si="0"/>
        <v>1</v>
      </c>
      <c r="F7" s="458" t="str">
        <f t="shared" si="1"/>
        <v>1.1.6</v>
      </c>
      <c r="G7" s="458" t="str">
        <f t="shared" si="2"/>
        <v>710014</v>
      </c>
      <c r="H7" s="459" t="str">
        <f t="shared" si="3"/>
        <v>1/1.1.6/710014  OTROS INGRESOS</v>
      </c>
      <c r="I7" s="448" t="s">
        <v>2073</v>
      </c>
      <c r="J7" s="449">
        <v>510000</v>
      </c>
      <c r="K7" s="449">
        <v>518154.31</v>
      </c>
      <c r="L7" s="449">
        <v>1028154.31</v>
      </c>
      <c r="M7" s="449">
        <v>1028154.31</v>
      </c>
      <c r="N7" s="449">
        <v>1028154.31</v>
      </c>
      <c r="O7" s="449">
        <v>518154.31</v>
      </c>
      <c r="P7" s="449">
        <v>518154.31</v>
      </c>
    </row>
    <row r="8" spans="4:16" ht="15" hidden="1">
      <c r="D8" s="329"/>
      <c r="E8" s="458" t="str">
        <f t="shared" si="0"/>
        <v>1</v>
      </c>
      <c r="F8" s="458" t="str">
        <f t="shared" si="1"/>
        <v>1.1.8</v>
      </c>
      <c r="G8" s="458" t="str">
        <f t="shared" si="2"/>
        <v/>
      </c>
      <c r="H8" s="459" t="str">
        <f t="shared" si="3"/>
        <v/>
      </c>
      <c r="I8" s="455" t="s">
        <v>738</v>
      </c>
      <c r="J8" s="456">
        <v>78051812.950000003</v>
      </c>
      <c r="K8" s="456">
        <v>5423891.8200000003</v>
      </c>
      <c r="L8" s="456">
        <v>83475704.769999996</v>
      </c>
      <c r="M8" s="456">
        <v>83475699.870000005</v>
      </c>
      <c r="N8" s="456">
        <v>83475699.870000005</v>
      </c>
      <c r="O8" s="456">
        <v>5423886.9199999999</v>
      </c>
      <c r="P8" s="456">
        <v>5423886.9199999999</v>
      </c>
    </row>
    <row r="9" spans="4:16" ht="22.5">
      <c r="D9" s="329"/>
      <c r="E9" s="458" t="str">
        <f t="shared" si="0"/>
        <v>1</v>
      </c>
      <c r="F9" s="458" t="str">
        <f t="shared" si="1"/>
        <v>1.1.8</v>
      </c>
      <c r="G9" s="458" t="str">
        <f t="shared" si="2"/>
        <v>914141</v>
      </c>
      <c r="H9" s="459" t="str">
        <f t="shared" si="3"/>
        <v>1/1.1.8/914141  Servicios Personales</v>
      </c>
      <c r="I9" s="448" t="s">
        <v>390</v>
      </c>
      <c r="J9" s="449">
        <v>59875476.899999999</v>
      </c>
      <c r="K9" s="449">
        <v>6048652.1900000004</v>
      </c>
      <c r="L9" s="449">
        <v>65924129.090000004</v>
      </c>
      <c r="M9" s="449">
        <v>65924124.189999998</v>
      </c>
      <c r="N9" s="449">
        <v>65924124.189999998</v>
      </c>
      <c r="O9" s="449">
        <v>6048647.29</v>
      </c>
      <c r="P9" s="449">
        <v>6048647.29</v>
      </c>
    </row>
    <row r="10" spans="4:16" ht="22.5">
      <c r="D10" s="329"/>
      <c r="E10" s="458" t="str">
        <f t="shared" si="0"/>
        <v>1</v>
      </c>
      <c r="F10" s="458" t="str">
        <f t="shared" si="1"/>
        <v>1.1.8</v>
      </c>
      <c r="G10" s="458" t="str">
        <f t="shared" si="2"/>
        <v>914142</v>
      </c>
      <c r="H10" s="459" t="str">
        <f t="shared" si="3"/>
        <v>1/1.1.8/914142  Mat y Suministros</v>
      </c>
      <c r="I10" s="448" t="s">
        <v>391</v>
      </c>
      <c r="J10" s="449">
        <v>2249254.52</v>
      </c>
      <c r="K10" s="449">
        <v>-349815.95</v>
      </c>
      <c r="L10" s="449">
        <v>1899438.57</v>
      </c>
      <c r="M10" s="449">
        <v>1899438.57</v>
      </c>
      <c r="N10" s="449">
        <v>1899438.57</v>
      </c>
      <c r="O10" s="449">
        <v>-349815.95</v>
      </c>
      <c r="P10" s="449">
        <v>0</v>
      </c>
    </row>
    <row r="11" spans="4:16" ht="22.5">
      <c r="D11" s="329"/>
      <c r="E11" s="458" t="str">
        <f t="shared" si="0"/>
        <v>1</v>
      </c>
      <c r="F11" s="458" t="str">
        <f t="shared" si="1"/>
        <v>1.1.8</v>
      </c>
      <c r="G11" s="458" t="str">
        <f t="shared" si="2"/>
        <v>914143</v>
      </c>
      <c r="H11" s="459" t="str">
        <f t="shared" ref="H11:H12" si="4">IF((LEFT($I11,1))=" ",+E11&amp;"/"&amp;F11&amp;"/"&amp;MID($I11,5,50),"")</f>
        <v>1/1.1.8/914143  Servicios Generales</v>
      </c>
      <c r="I11" s="448" t="s">
        <v>392</v>
      </c>
      <c r="J11" s="449">
        <v>15301571</v>
      </c>
      <c r="K11" s="449">
        <v>350566.11</v>
      </c>
      <c r="L11" s="449">
        <v>15652137.109999999</v>
      </c>
      <c r="M11" s="449">
        <v>15652137.109999999</v>
      </c>
      <c r="N11" s="449">
        <v>15652137.109999999</v>
      </c>
      <c r="O11" s="449">
        <v>350566.11</v>
      </c>
      <c r="P11" s="449">
        <v>350566.11</v>
      </c>
    </row>
    <row r="12" spans="4:16" ht="22.5">
      <c r="E12" s="458" t="str">
        <f t="shared" si="0"/>
        <v>1</v>
      </c>
      <c r="F12" s="458" t="str">
        <f t="shared" si="1"/>
        <v>1.1.8</v>
      </c>
      <c r="G12" s="458" t="str">
        <f t="shared" si="2"/>
        <v>914147</v>
      </c>
      <c r="H12" s="459" t="str">
        <f t="shared" si="4"/>
        <v>1/1.1.8/914147  Invers. Financieras</v>
      </c>
      <c r="I12" s="448" t="s">
        <v>826</v>
      </c>
      <c r="J12" s="449">
        <v>625510.53</v>
      </c>
      <c r="K12" s="449">
        <v>-625510.53</v>
      </c>
      <c r="L12" s="449">
        <v>0</v>
      </c>
      <c r="M12" s="449">
        <v>0</v>
      </c>
      <c r="N12" s="449">
        <v>0</v>
      </c>
      <c r="O12" s="449">
        <v>-625510.53</v>
      </c>
      <c r="P12" s="449">
        <v>0</v>
      </c>
    </row>
    <row r="13" spans="4:16" ht="15" hidden="1">
      <c r="E13" s="458" t="str">
        <f t="shared" si="0"/>
        <v>1</v>
      </c>
      <c r="F13" s="458" t="str">
        <f t="shared" si="1"/>
        <v>1.2.4</v>
      </c>
      <c r="G13" s="458" t="str">
        <f t="shared" si="2"/>
        <v/>
      </c>
      <c r="H13" s="459" t="str">
        <f t="shared" ref="H13" si="5">IF((LEFT($I13,1))=" ",+E13&amp;"/"&amp;F13&amp;"/"&amp;MID($I13,5,50),"")</f>
        <v/>
      </c>
      <c r="I13" s="455" t="s">
        <v>2074</v>
      </c>
      <c r="J13" s="456">
        <v>1042027.56</v>
      </c>
      <c r="K13" s="456">
        <v>1420477.68</v>
      </c>
      <c r="L13" s="456">
        <v>2462505.2400000002</v>
      </c>
      <c r="M13" s="456">
        <v>2462505.2400000002</v>
      </c>
      <c r="N13" s="456">
        <v>2462505.2400000002</v>
      </c>
      <c r="O13" s="456">
        <v>1420477.68</v>
      </c>
      <c r="P13" s="456">
        <v>1420477.68</v>
      </c>
    </row>
    <row r="14" spans="4:16" ht="22.5">
      <c r="E14" s="458" t="str">
        <f t="shared" si="0"/>
        <v>1</v>
      </c>
      <c r="F14" s="458" t="str">
        <f t="shared" si="1"/>
        <v>1.2.4</v>
      </c>
      <c r="G14" s="458" t="str">
        <f t="shared" si="2"/>
        <v>914145</v>
      </c>
      <c r="H14" s="459" t="str">
        <f t="shared" ref="H14" si="6">IF((LEFT($I14,1))=" ",+E14&amp;"/"&amp;F14&amp;"/"&amp;MID($I14,5,50),"")</f>
        <v>1/1.2.4/914145  Bienes M Inm e Int</v>
      </c>
      <c r="I14" s="448" t="s">
        <v>394</v>
      </c>
      <c r="J14" s="449">
        <v>1042027.56</v>
      </c>
      <c r="K14" s="449">
        <v>1420477.68</v>
      </c>
      <c r="L14" s="449">
        <v>2462505.2400000002</v>
      </c>
      <c r="M14" s="449">
        <v>2462505.2400000002</v>
      </c>
      <c r="N14" s="449">
        <v>2462505.2400000002</v>
      </c>
      <c r="O14" s="449">
        <v>1420477.68</v>
      </c>
      <c r="P14" s="449">
        <v>1420477.68</v>
      </c>
    </row>
    <row r="15" spans="4:16" ht="12.75" hidden="1">
      <c r="E15" s="458" t="str">
        <f t="shared" si="0"/>
        <v>4</v>
      </c>
      <c r="F15" s="458" t="str">
        <f t="shared" si="1"/>
        <v>1.2.4</v>
      </c>
      <c r="G15" s="458" t="str">
        <f t="shared" si="2"/>
        <v/>
      </c>
      <c r="H15" s="459" t="str">
        <f t="shared" ref="H15:H18" si="7">IF((LEFT($I15,1))=" ",+E15&amp;"/"&amp;F15&amp;"/"&amp;MID($I15,5,50),"")</f>
        <v/>
      </c>
      <c r="I15" s="918" t="s">
        <v>2075</v>
      </c>
      <c r="J15" s="919">
        <v>0</v>
      </c>
      <c r="K15" s="919">
        <v>0</v>
      </c>
      <c r="L15" s="919">
        <v>0</v>
      </c>
      <c r="M15" s="919">
        <v>0</v>
      </c>
      <c r="N15" s="919">
        <v>0</v>
      </c>
      <c r="O15" s="919">
        <v>0</v>
      </c>
      <c r="P15" s="919">
        <v>0</v>
      </c>
    </row>
    <row r="16" spans="4:16" ht="15" hidden="1">
      <c r="E16" s="458" t="str">
        <f t="shared" si="0"/>
        <v>4</v>
      </c>
      <c r="F16" s="458" t="str">
        <f t="shared" si="1"/>
        <v>1.1.6</v>
      </c>
      <c r="G16" s="458" t="str">
        <f t="shared" si="2"/>
        <v/>
      </c>
      <c r="H16" s="459" t="str">
        <f t="shared" si="7"/>
        <v/>
      </c>
      <c r="I16" s="455" t="s">
        <v>1520</v>
      </c>
      <c r="J16" s="456">
        <v>0</v>
      </c>
      <c r="K16" s="456">
        <v>0</v>
      </c>
      <c r="L16" s="456">
        <v>0</v>
      </c>
      <c r="M16" s="456">
        <v>0</v>
      </c>
      <c r="N16" s="456">
        <v>0</v>
      </c>
      <c r="O16" s="456">
        <v>0</v>
      </c>
      <c r="P16" s="456">
        <v>0</v>
      </c>
    </row>
    <row r="17" spans="5:16" ht="22.5">
      <c r="E17" s="458" t="str">
        <f t="shared" si="0"/>
        <v>4</v>
      </c>
      <c r="F17" s="458" t="str">
        <f t="shared" si="1"/>
        <v>1.1.6</v>
      </c>
      <c r="G17" s="458" t="str">
        <f t="shared" si="2"/>
        <v>710001</v>
      </c>
      <c r="H17" s="459" t="str">
        <f t="shared" si="7"/>
        <v>4/1.1.6/710001  CURSOS</v>
      </c>
      <c r="I17" s="448" t="s">
        <v>2071</v>
      </c>
      <c r="J17" s="449">
        <v>0</v>
      </c>
      <c r="K17" s="449">
        <v>0</v>
      </c>
      <c r="L17" s="449">
        <v>0</v>
      </c>
      <c r="M17" s="449">
        <v>0</v>
      </c>
      <c r="N17" s="449">
        <v>0</v>
      </c>
      <c r="O17" s="449">
        <v>0</v>
      </c>
      <c r="P17" s="449">
        <v>0</v>
      </c>
    </row>
    <row r="18" spans="5:16" ht="22.5">
      <c r="E18" s="458" t="str">
        <f t="shared" si="0"/>
        <v>4</v>
      </c>
      <c r="F18" s="458" t="str">
        <f t="shared" si="1"/>
        <v>1.1.6</v>
      </c>
      <c r="G18" s="458" t="str">
        <f t="shared" si="2"/>
        <v>710014</v>
      </c>
      <c r="H18" s="459" t="str">
        <f t="shared" si="7"/>
        <v>4/1.1.6/710014  OTROS INGRESOS</v>
      </c>
      <c r="I18" s="448" t="s">
        <v>2073</v>
      </c>
      <c r="J18" s="449">
        <v>0</v>
      </c>
      <c r="K18" s="449">
        <v>0</v>
      </c>
      <c r="L18" s="449">
        <v>0</v>
      </c>
      <c r="M18" s="449">
        <v>0</v>
      </c>
      <c r="N18" s="449">
        <v>0</v>
      </c>
      <c r="O18" s="449">
        <v>0</v>
      </c>
      <c r="P18" s="449">
        <v>0</v>
      </c>
    </row>
  </sheetData>
  <autoFilter ref="D1:P18">
    <filterColumn colId="5">
      <colorFilter dxfId="20"/>
    </filterColumn>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showGridLines="0" zoomScaleNormal="100" workbookViewId="0">
      <pane ySplit="2" topLeftCell="A3" activePane="bottomLeft" state="frozen"/>
      <selection activeCell="D15" sqref="D15"/>
      <selection pane="bottomLeft" activeCell="A18" sqref="A18"/>
    </sheetView>
  </sheetViews>
  <sheetFormatPr baseColWidth="10" defaultColWidth="9.28515625" defaultRowHeight="11.25"/>
  <cols>
    <col min="1" max="3" width="6.85546875" style="208" customWidth="1"/>
    <col min="4" max="4" width="39.5703125" style="208" customWidth="1"/>
    <col min="5" max="11" width="13.85546875" style="207" customWidth="1"/>
    <col min="12" max="256" width="9.28515625" style="208"/>
    <col min="257" max="259" width="6.85546875" style="208" customWidth="1"/>
    <col min="260" max="260" width="39.5703125" style="208" customWidth="1"/>
    <col min="261" max="267" width="13.85546875" style="208" customWidth="1"/>
    <col min="268" max="512" width="9.28515625" style="208"/>
    <col min="513" max="515" width="6.85546875" style="208" customWidth="1"/>
    <col min="516" max="516" width="39.5703125" style="208" customWidth="1"/>
    <col min="517" max="523" width="13.85546875" style="208" customWidth="1"/>
    <col min="524" max="768" width="9.28515625" style="208"/>
    <col min="769" max="771" width="6.85546875" style="208" customWidth="1"/>
    <col min="772" max="772" width="39.5703125" style="208" customWidth="1"/>
    <col min="773" max="779" width="13.85546875" style="208" customWidth="1"/>
    <col min="780" max="1024" width="9.28515625" style="208"/>
    <col min="1025" max="1027" width="6.85546875" style="208" customWidth="1"/>
    <col min="1028" max="1028" width="39.5703125" style="208" customWidth="1"/>
    <col min="1029" max="1035" width="13.85546875" style="208" customWidth="1"/>
    <col min="1036" max="1280" width="9.28515625" style="208"/>
    <col min="1281" max="1283" width="6.85546875" style="208" customWidth="1"/>
    <col min="1284" max="1284" width="39.5703125" style="208" customWidth="1"/>
    <col min="1285" max="1291" width="13.85546875" style="208" customWidth="1"/>
    <col min="1292" max="1536" width="9.28515625" style="208"/>
    <col min="1537" max="1539" width="6.85546875" style="208" customWidth="1"/>
    <col min="1540" max="1540" width="39.5703125" style="208" customWidth="1"/>
    <col min="1541" max="1547" width="13.85546875" style="208" customWidth="1"/>
    <col min="1548" max="1792" width="9.28515625" style="208"/>
    <col min="1793" max="1795" width="6.85546875" style="208" customWidth="1"/>
    <col min="1796" max="1796" width="39.5703125" style="208" customWidth="1"/>
    <col min="1797" max="1803" width="13.85546875" style="208" customWidth="1"/>
    <col min="1804" max="2048" width="9.28515625" style="208"/>
    <col min="2049" max="2051" width="6.85546875" style="208" customWidth="1"/>
    <col min="2052" max="2052" width="39.5703125" style="208" customWidth="1"/>
    <col min="2053" max="2059" width="13.85546875" style="208" customWidth="1"/>
    <col min="2060" max="2304" width="9.28515625" style="208"/>
    <col min="2305" max="2307" width="6.85546875" style="208" customWidth="1"/>
    <col min="2308" max="2308" width="39.5703125" style="208" customWidth="1"/>
    <col min="2309" max="2315" width="13.85546875" style="208" customWidth="1"/>
    <col min="2316" max="2560" width="9.28515625" style="208"/>
    <col min="2561" max="2563" width="6.85546875" style="208" customWidth="1"/>
    <col min="2564" max="2564" width="39.5703125" style="208" customWidth="1"/>
    <col min="2565" max="2571" width="13.85546875" style="208" customWidth="1"/>
    <col min="2572" max="2816" width="9.28515625" style="208"/>
    <col min="2817" max="2819" width="6.85546875" style="208" customWidth="1"/>
    <col min="2820" max="2820" width="39.5703125" style="208" customWidth="1"/>
    <col min="2821" max="2827" width="13.85546875" style="208" customWidth="1"/>
    <col min="2828" max="3072" width="9.28515625" style="208"/>
    <col min="3073" max="3075" width="6.85546875" style="208" customWidth="1"/>
    <col min="3076" max="3076" width="39.5703125" style="208" customWidth="1"/>
    <col min="3077" max="3083" width="13.85546875" style="208" customWidth="1"/>
    <col min="3084" max="3328" width="9.28515625" style="208"/>
    <col min="3329" max="3331" width="6.85546875" style="208" customWidth="1"/>
    <col min="3332" max="3332" width="39.5703125" style="208" customWidth="1"/>
    <col min="3333" max="3339" width="13.85546875" style="208" customWidth="1"/>
    <col min="3340" max="3584" width="9.28515625" style="208"/>
    <col min="3585" max="3587" width="6.85546875" style="208" customWidth="1"/>
    <col min="3588" max="3588" width="39.5703125" style="208" customWidth="1"/>
    <col min="3589" max="3595" width="13.85546875" style="208" customWidth="1"/>
    <col min="3596" max="3840" width="9.28515625" style="208"/>
    <col min="3841" max="3843" width="6.85546875" style="208" customWidth="1"/>
    <col min="3844" max="3844" width="39.5703125" style="208" customWidth="1"/>
    <col min="3845" max="3851" width="13.85546875" style="208" customWidth="1"/>
    <col min="3852" max="4096" width="9.28515625" style="208"/>
    <col min="4097" max="4099" width="6.85546875" style="208" customWidth="1"/>
    <col min="4100" max="4100" width="39.5703125" style="208" customWidth="1"/>
    <col min="4101" max="4107" width="13.85546875" style="208" customWidth="1"/>
    <col min="4108" max="4352" width="9.28515625" style="208"/>
    <col min="4353" max="4355" width="6.85546875" style="208" customWidth="1"/>
    <col min="4356" max="4356" width="39.5703125" style="208" customWidth="1"/>
    <col min="4357" max="4363" width="13.85546875" style="208" customWidth="1"/>
    <col min="4364" max="4608" width="9.28515625" style="208"/>
    <col min="4609" max="4611" width="6.85546875" style="208" customWidth="1"/>
    <col min="4612" max="4612" width="39.5703125" style="208" customWidth="1"/>
    <col min="4613" max="4619" width="13.85546875" style="208" customWidth="1"/>
    <col min="4620" max="4864" width="9.28515625" style="208"/>
    <col min="4865" max="4867" width="6.85546875" style="208" customWidth="1"/>
    <col min="4868" max="4868" width="39.5703125" style="208" customWidth="1"/>
    <col min="4869" max="4875" width="13.85546875" style="208" customWidth="1"/>
    <col min="4876" max="5120" width="9.28515625" style="208"/>
    <col min="5121" max="5123" width="6.85546875" style="208" customWidth="1"/>
    <col min="5124" max="5124" width="39.5703125" style="208" customWidth="1"/>
    <col min="5125" max="5131" width="13.85546875" style="208" customWidth="1"/>
    <col min="5132" max="5376" width="9.28515625" style="208"/>
    <col min="5377" max="5379" width="6.85546875" style="208" customWidth="1"/>
    <col min="5380" max="5380" width="39.5703125" style="208" customWidth="1"/>
    <col min="5381" max="5387" width="13.85546875" style="208" customWidth="1"/>
    <col min="5388" max="5632" width="9.28515625" style="208"/>
    <col min="5633" max="5635" width="6.85546875" style="208" customWidth="1"/>
    <col min="5636" max="5636" width="39.5703125" style="208" customWidth="1"/>
    <col min="5637" max="5643" width="13.85546875" style="208" customWidth="1"/>
    <col min="5644" max="5888" width="9.28515625" style="208"/>
    <col min="5889" max="5891" width="6.85546875" style="208" customWidth="1"/>
    <col min="5892" max="5892" width="39.5703125" style="208" customWidth="1"/>
    <col min="5893" max="5899" width="13.85546875" style="208" customWidth="1"/>
    <col min="5900" max="6144" width="9.28515625" style="208"/>
    <col min="6145" max="6147" width="6.85546875" style="208" customWidth="1"/>
    <col min="6148" max="6148" width="39.5703125" style="208" customWidth="1"/>
    <col min="6149" max="6155" width="13.85546875" style="208" customWidth="1"/>
    <col min="6156" max="6400" width="9.28515625" style="208"/>
    <col min="6401" max="6403" width="6.85546875" style="208" customWidth="1"/>
    <col min="6404" max="6404" width="39.5703125" style="208" customWidth="1"/>
    <col min="6405" max="6411" width="13.85546875" style="208" customWidth="1"/>
    <col min="6412" max="6656" width="9.28515625" style="208"/>
    <col min="6657" max="6659" width="6.85546875" style="208" customWidth="1"/>
    <col min="6660" max="6660" width="39.5703125" style="208" customWidth="1"/>
    <col min="6661" max="6667" width="13.85546875" style="208" customWidth="1"/>
    <col min="6668" max="6912" width="9.28515625" style="208"/>
    <col min="6913" max="6915" width="6.85546875" style="208" customWidth="1"/>
    <col min="6916" max="6916" width="39.5703125" style="208" customWidth="1"/>
    <col min="6917" max="6923" width="13.85546875" style="208" customWidth="1"/>
    <col min="6924" max="7168" width="9.28515625" style="208"/>
    <col min="7169" max="7171" width="6.85546875" style="208" customWidth="1"/>
    <col min="7172" max="7172" width="39.5703125" style="208" customWidth="1"/>
    <col min="7173" max="7179" width="13.85546875" style="208" customWidth="1"/>
    <col min="7180" max="7424" width="9.28515625" style="208"/>
    <col min="7425" max="7427" width="6.85546875" style="208" customWidth="1"/>
    <col min="7428" max="7428" width="39.5703125" style="208" customWidth="1"/>
    <col min="7429" max="7435" width="13.85546875" style="208" customWidth="1"/>
    <col min="7436" max="7680" width="9.28515625" style="208"/>
    <col min="7681" max="7683" width="6.85546875" style="208" customWidth="1"/>
    <col min="7684" max="7684" width="39.5703125" style="208" customWidth="1"/>
    <col min="7685" max="7691" width="13.85546875" style="208" customWidth="1"/>
    <col min="7692" max="7936" width="9.28515625" style="208"/>
    <col min="7937" max="7939" width="6.85546875" style="208" customWidth="1"/>
    <col min="7940" max="7940" width="39.5703125" style="208" customWidth="1"/>
    <col min="7941" max="7947" width="13.85546875" style="208" customWidth="1"/>
    <col min="7948" max="8192" width="9.28515625" style="208"/>
    <col min="8193" max="8195" width="6.85546875" style="208" customWidth="1"/>
    <col min="8196" max="8196" width="39.5703125" style="208" customWidth="1"/>
    <col min="8197" max="8203" width="13.85546875" style="208" customWidth="1"/>
    <col min="8204" max="8448" width="9.28515625" style="208"/>
    <col min="8449" max="8451" width="6.85546875" style="208" customWidth="1"/>
    <col min="8452" max="8452" width="39.5703125" style="208" customWidth="1"/>
    <col min="8453" max="8459" width="13.85546875" style="208" customWidth="1"/>
    <col min="8460" max="8704" width="9.28515625" style="208"/>
    <col min="8705" max="8707" width="6.85546875" style="208" customWidth="1"/>
    <col min="8708" max="8708" width="39.5703125" style="208" customWidth="1"/>
    <col min="8709" max="8715" width="13.85546875" style="208" customWidth="1"/>
    <col min="8716" max="8960" width="9.28515625" style="208"/>
    <col min="8961" max="8963" width="6.85546875" style="208" customWidth="1"/>
    <col min="8964" max="8964" width="39.5703125" style="208" customWidth="1"/>
    <col min="8965" max="8971" width="13.85546875" style="208" customWidth="1"/>
    <col min="8972" max="9216" width="9.28515625" style="208"/>
    <col min="9217" max="9219" width="6.85546875" style="208" customWidth="1"/>
    <col min="9220" max="9220" width="39.5703125" style="208" customWidth="1"/>
    <col min="9221" max="9227" width="13.85546875" style="208" customWidth="1"/>
    <col min="9228" max="9472" width="9.28515625" style="208"/>
    <col min="9473" max="9475" width="6.85546875" style="208" customWidth="1"/>
    <col min="9476" max="9476" width="39.5703125" style="208" customWidth="1"/>
    <col min="9477" max="9483" width="13.85546875" style="208" customWidth="1"/>
    <col min="9484" max="9728" width="9.28515625" style="208"/>
    <col min="9729" max="9731" width="6.85546875" style="208" customWidth="1"/>
    <col min="9732" max="9732" width="39.5703125" style="208" customWidth="1"/>
    <col min="9733" max="9739" width="13.85546875" style="208" customWidth="1"/>
    <col min="9740" max="9984" width="9.28515625" style="208"/>
    <col min="9985" max="9987" width="6.85546875" style="208" customWidth="1"/>
    <col min="9988" max="9988" width="39.5703125" style="208" customWidth="1"/>
    <col min="9989" max="9995" width="13.85546875" style="208" customWidth="1"/>
    <col min="9996" max="10240" width="9.28515625" style="208"/>
    <col min="10241" max="10243" width="6.85546875" style="208" customWidth="1"/>
    <col min="10244" max="10244" width="39.5703125" style="208" customWidth="1"/>
    <col min="10245" max="10251" width="13.85546875" style="208" customWidth="1"/>
    <col min="10252" max="10496" width="9.28515625" style="208"/>
    <col min="10497" max="10499" width="6.85546875" style="208" customWidth="1"/>
    <col min="10500" max="10500" width="39.5703125" style="208" customWidth="1"/>
    <col min="10501" max="10507" width="13.85546875" style="208" customWidth="1"/>
    <col min="10508" max="10752" width="9.28515625" style="208"/>
    <col min="10753" max="10755" width="6.85546875" style="208" customWidth="1"/>
    <col min="10756" max="10756" width="39.5703125" style="208" customWidth="1"/>
    <col min="10757" max="10763" width="13.85546875" style="208" customWidth="1"/>
    <col min="10764" max="11008" width="9.28515625" style="208"/>
    <col min="11009" max="11011" width="6.85546875" style="208" customWidth="1"/>
    <col min="11012" max="11012" width="39.5703125" style="208" customWidth="1"/>
    <col min="11013" max="11019" width="13.85546875" style="208" customWidth="1"/>
    <col min="11020" max="11264" width="9.28515625" style="208"/>
    <col min="11265" max="11267" width="6.85546875" style="208" customWidth="1"/>
    <col min="11268" max="11268" width="39.5703125" style="208" customWidth="1"/>
    <col min="11269" max="11275" width="13.85546875" style="208" customWidth="1"/>
    <col min="11276" max="11520" width="9.28515625" style="208"/>
    <col min="11521" max="11523" width="6.85546875" style="208" customWidth="1"/>
    <col min="11524" max="11524" width="39.5703125" style="208" customWidth="1"/>
    <col min="11525" max="11531" width="13.85546875" style="208" customWidth="1"/>
    <col min="11532" max="11776" width="9.28515625" style="208"/>
    <col min="11777" max="11779" width="6.85546875" style="208" customWidth="1"/>
    <col min="11780" max="11780" width="39.5703125" style="208" customWidth="1"/>
    <col min="11781" max="11787" width="13.85546875" style="208" customWidth="1"/>
    <col min="11788" max="12032" width="9.28515625" style="208"/>
    <col min="12033" max="12035" width="6.85546875" style="208" customWidth="1"/>
    <col min="12036" max="12036" width="39.5703125" style="208" customWidth="1"/>
    <col min="12037" max="12043" width="13.85546875" style="208" customWidth="1"/>
    <col min="12044" max="12288" width="9.28515625" style="208"/>
    <col min="12289" max="12291" width="6.85546875" style="208" customWidth="1"/>
    <col min="12292" max="12292" width="39.5703125" style="208" customWidth="1"/>
    <col min="12293" max="12299" width="13.85546875" style="208" customWidth="1"/>
    <col min="12300" max="12544" width="9.28515625" style="208"/>
    <col min="12545" max="12547" width="6.85546875" style="208" customWidth="1"/>
    <col min="12548" max="12548" width="39.5703125" style="208" customWidth="1"/>
    <col min="12549" max="12555" width="13.85546875" style="208" customWidth="1"/>
    <col min="12556" max="12800" width="9.28515625" style="208"/>
    <col min="12801" max="12803" width="6.85546875" style="208" customWidth="1"/>
    <col min="12804" max="12804" width="39.5703125" style="208" customWidth="1"/>
    <col min="12805" max="12811" width="13.85546875" style="208" customWidth="1"/>
    <col min="12812" max="13056" width="9.28515625" style="208"/>
    <col min="13057" max="13059" width="6.85546875" style="208" customWidth="1"/>
    <col min="13060" max="13060" width="39.5703125" style="208" customWidth="1"/>
    <col min="13061" max="13067" width="13.85546875" style="208" customWidth="1"/>
    <col min="13068" max="13312" width="9.28515625" style="208"/>
    <col min="13313" max="13315" width="6.85546875" style="208" customWidth="1"/>
    <col min="13316" max="13316" width="39.5703125" style="208" customWidth="1"/>
    <col min="13317" max="13323" width="13.85546875" style="208" customWidth="1"/>
    <col min="13324" max="13568" width="9.28515625" style="208"/>
    <col min="13569" max="13571" width="6.85546875" style="208" customWidth="1"/>
    <col min="13572" max="13572" width="39.5703125" style="208" customWidth="1"/>
    <col min="13573" max="13579" width="13.85546875" style="208" customWidth="1"/>
    <col min="13580" max="13824" width="9.28515625" style="208"/>
    <col min="13825" max="13827" width="6.85546875" style="208" customWidth="1"/>
    <col min="13828" max="13828" width="39.5703125" style="208" customWidth="1"/>
    <col min="13829" max="13835" width="13.85546875" style="208" customWidth="1"/>
    <col min="13836" max="14080" width="9.28515625" style="208"/>
    <col min="14081" max="14083" width="6.85546875" style="208" customWidth="1"/>
    <col min="14084" max="14084" width="39.5703125" style="208" customWidth="1"/>
    <col min="14085" max="14091" width="13.85546875" style="208" customWidth="1"/>
    <col min="14092" max="14336" width="9.28515625" style="208"/>
    <col min="14337" max="14339" width="6.85546875" style="208" customWidth="1"/>
    <col min="14340" max="14340" width="39.5703125" style="208" customWidth="1"/>
    <col min="14341" max="14347" width="13.85546875" style="208" customWidth="1"/>
    <col min="14348" max="14592" width="9.28515625" style="208"/>
    <col min="14593" max="14595" width="6.85546875" style="208" customWidth="1"/>
    <col min="14596" max="14596" width="39.5703125" style="208" customWidth="1"/>
    <col min="14597" max="14603" width="13.85546875" style="208" customWidth="1"/>
    <col min="14604" max="14848" width="9.28515625" style="208"/>
    <col min="14849" max="14851" width="6.85546875" style="208" customWidth="1"/>
    <col min="14852" max="14852" width="39.5703125" style="208" customWidth="1"/>
    <col min="14853" max="14859" width="13.85546875" style="208" customWidth="1"/>
    <col min="14860" max="15104" width="9.28515625" style="208"/>
    <col min="15105" max="15107" width="6.85546875" style="208" customWidth="1"/>
    <col min="15108" max="15108" width="39.5703125" style="208" customWidth="1"/>
    <col min="15109" max="15115" width="13.85546875" style="208" customWidth="1"/>
    <col min="15116" max="15360" width="9.28515625" style="208"/>
    <col min="15361" max="15363" width="6.85546875" style="208" customWidth="1"/>
    <col min="15364" max="15364" width="39.5703125" style="208" customWidth="1"/>
    <col min="15365" max="15371" width="13.85546875" style="208" customWidth="1"/>
    <col min="15372" max="15616" width="9.28515625" style="208"/>
    <col min="15617" max="15619" width="6.85546875" style="208" customWidth="1"/>
    <col min="15620" max="15620" width="39.5703125" style="208" customWidth="1"/>
    <col min="15621" max="15627" width="13.85546875" style="208" customWidth="1"/>
    <col min="15628" max="15872" width="9.28515625" style="208"/>
    <col min="15873" max="15875" width="6.85546875" style="208" customWidth="1"/>
    <col min="15876" max="15876" width="39.5703125" style="208" customWidth="1"/>
    <col min="15877" max="15883" width="13.85546875" style="208" customWidth="1"/>
    <col min="15884" max="16128" width="9.28515625" style="208"/>
    <col min="16129" max="16131" width="6.85546875" style="208" customWidth="1"/>
    <col min="16132" max="16132" width="39.5703125" style="208" customWidth="1"/>
    <col min="16133" max="16139" width="13.85546875" style="208" customWidth="1"/>
    <col min="16140" max="16384" width="9.28515625" style="208"/>
  </cols>
  <sheetData>
    <row r="1" spans="1:11" s="204" customFormat="1" ht="35.1" customHeight="1">
      <c r="A1" s="1016" t="str">
        <f>+Títulos!$B$2&amp;"
ESTADO ANALITICO DE INGRESOS
DEL 01 DE ENERO AL "&amp;Títulos!$B$3</f>
        <v>TRIBUNAL DE JUSTICIA ADMINISTRATIVA
ESTADO ANALITICO DE INGRESOS
DEL 01 DE ENERO AL 31 DE DICIEMBRE DE 2017</v>
      </c>
      <c r="B1" s="1017"/>
      <c r="C1" s="1017"/>
      <c r="D1" s="1017"/>
      <c r="E1" s="1017"/>
      <c r="F1" s="1017"/>
      <c r="G1" s="1017"/>
      <c r="H1" s="1017"/>
      <c r="I1" s="1017"/>
      <c r="J1" s="1017"/>
      <c r="K1" s="1018"/>
    </row>
    <row r="2" spans="1:11" s="205" customFormat="1" ht="24.95" customHeight="1">
      <c r="A2" s="873" t="s">
        <v>225</v>
      </c>
      <c r="B2" s="873" t="s">
        <v>226</v>
      </c>
      <c r="C2" s="873" t="s">
        <v>227</v>
      </c>
      <c r="D2" s="873" t="s">
        <v>71</v>
      </c>
      <c r="E2" s="874" t="s">
        <v>228</v>
      </c>
      <c r="F2" s="874" t="s">
        <v>229</v>
      </c>
      <c r="G2" s="874" t="s">
        <v>230</v>
      </c>
      <c r="H2" s="874" t="s">
        <v>231</v>
      </c>
      <c r="I2" s="874" t="s">
        <v>232</v>
      </c>
      <c r="J2" s="874" t="s">
        <v>233</v>
      </c>
      <c r="K2" s="874" t="s">
        <v>234</v>
      </c>
    </row>
    <row r="3" spans="1:11" s="206" customFormat="1">
      <c r="A3" s="385">
        <v>90001</v>
      </c>
      <c r="B3" s="386"/>
      <c r="C3" s="386"/>
      <c r="D3" s="387" t="s">
        <v>235</v>
      </c>
      <c r="E3" s="388">
        <f t="shared" ref="E3:K3" si="0">SUM(E4:E13)</f>
        <v>80405840.510000005</v>
      </c>
      <c r="F3" s="388">
        <f t="shared" si="0"/>
        <v>8457903.8100000005</v>
      </c>
      <c r="G3" s="388">
        <f t="shared" si="0"/>
        <v>88863744.319999993</v>
      </c>
      <c r="H3" s="388">
        <f t="shared" si="0"/>
        <v>88863739.419999987</v>
      </c>
      <c r="I3" s="388">
        <f t="shared" si="0"/>
        <v>88863739.419999987</v>
      </c>
      <c r="J3" s="388">
        <f t="shared" si="0"/>
        <v>8457898.9099999983</v>
      </c>
      <c r="K3" s="388">
        <f t="shared" si="0"/>
        <v>9434345.3899999987</v>
      </c>
    </row>
    <row r="4" spans="1:11">
      <c r="A4" s="389" t="str">
        <f>+'002'!A3</f>
        <v>1</v>
      </c>
      <c r="B4" s="389" t="str">
        <f>+'002'!B3</f>
        <v>1.1.6</v>
      </c>
      <c r="C4" s="389" t="str">
        <f>+'002'!C3</f>
        <v>710001</v>
      </c>
      <c r="D4" s="463" t="str">
        <f>+'002'!D3</f>
        <v>1/1.1.6/710001  CURSOS</v>
      </c>
      <c r="E4" s="390">
        <f>+'002'!F3</f>
        <v>800000</v>
      </c>
      <c r="F4" s="390">
        <f>+'002'!G3</f>
        <v>1096500</v>
      </c>
      <c r="G4" s="390">
        <f>+'002'!H3</f>
        <v>1896500</v>
      </c>
      <c r="H4" s="390">
        <f>+'002'!I3</f>
        <v>1896500</v>
      </c>
      <c r="I4" s="390">
        <f>+'002'!J3</f>
        <v>1896500</v>
      </c>
      <c r="J4" s="390">
        <f>+I4-E4</f>
        <v>1096500</v>
      </c>
      <c r="K4" s="333">
        <f>IF(J4&gt;0,J4,0)</f>
        <v>1096500</v>
      </c>
    </row>
    <row r="5" spans="1:11">
      <c r="A5" s="389" t="str">
        <f>+'002'!A4</f>
        <v>1</v>
      </c>
      <c r="B5" s="389" t="str">
        <f>+'002'!B4</f>
        <v>1.1.6</v>
      </c>
      <c r="C5" s="389" t="str">
        <f>+'002'!C4</f>
        <v>710002</v>
      </c>
      <c r="D5" s="463" t="str">
        <f>+'002'!D4</f>
        <v>1/1.1.6/710002  MATERIAL DIDÁCTICO</v>
      </c>
      <c r="E5" s="390">
        <f>+'002'!F4</f>
        <v>2000</v>
      </c>
      <c r="F5" s="390">
        <f>+'002'!G4</f>
        <v>-1120</v>
      </c>
      <c r="G5" s="390">
        <f>+'002'!H4</f>
        <v>880</v>
      </c>
      <c r="H5" s="390">
        <f>+'002'!I4</f>
        <v>880</v>
      </c>
      <c r="I5" s="390">
        <f>+'002'!J4</f>
        <v>880</v>
      </c>
      <c r="J5" s="390">
        <f t="shared" ref="J5:J11" si="1">+I5-E5</f>
        <v>-1120</v>
      </c>
      <c r="K5" s="333">
        <f t="shared" ref="K5:K11" si="2">IF(J5&gt;0,J5,0)</f>
        <v>0</v>
      </c>
    </row>
    <row r="6" spans="1:11">
      <c r="A6" s="389" t="str">
        <f>+'002'!A5</f>
        <v>1</v>
      </c>
      <c r="B6" s="389" t="str">
        <f>+'002'!B5</f>
        <v>1.1.6</v>
      </c>
      <c r="C6" s="389" t="str">
        <f>+'002'!C5</f>
        <v>710014</v>
      </c>
      <c r="D6" s="463" t="str">
        <f>+'002'!D5</f>
        <v>1/1.1.6/710014  OTROS INGRESOS</v>
      </c>
      <c r="E6" s="390">
        <f>+'002'!F5</f>
        <v>510000</v>
      </c>
      <c r="F6" s="390">
        <f>+'002'!G5</f>
        <v>518154.31</v>
      </c>
      <c r="G6" s="390">
        <f>+'002'!H5</f>
        <v>1028154.31</v>
      </c>
      <c r="H6" s="390">
        <f>+'002'!I5</f>
        <v>1028154.31</v>
      </c>
      <c r="I6" s="390">
        <f>+'002'!J5</f>
        <v>1028154.31</v>
      </c>
      <c r="J6" s="390">
        <f t="shared" si="1"/>
        <v>518154.31000000006</v>
      </c>
      <c r="K6" s="333">
        <f t="shared" si="2"/>
        <v>518154.31000000006</v>
      </c>
    </row>
    <row r="7" spans="1:11">
      <c r="A7" s="389" t="str">
        <f>+'002'!A6</f>
        <v>1</v>
      </c>
      <c r="B7" s="389" t="str">
        <f>+'002'!B6</f>
        <v>1.1.8</v>
      </c>
      <c r="C7" s="389" t="str">
        <f>+'002'!C6</f>
        <v>914141</v>
      </c>
      <c r="D7" s="463" t="str">
        <f>+'002'!D6</f>
        <v>1/1.1.8/914141  Servicios Personales</v>
      </c>
      <c r="E7" s="390">
        <f>+'002'!F6</f>
        <v>59875476.899999999</v>
      </c>
      <c r="F7" s="390">
        <f>+'002'!G6</f>
        <v>6048652.1900000004</v>
      </c>
      <c r="G7" s="390">
        <f>+'002'!H6</f>
        <v>65924129.090000004</v>
      </c>
      <c r="H7" s="390">
        <f>+'002'!I6</f>
        <v>65924124.189999998</v>
      </c>
      <c r="I7" s="390">
        <f>+'002'!J6</f>
        <v>65924124.189999998</v>
      </c>
      <c r="J7" s="390">
        <f t="shared" si="1"/>
        <v>6048647.2899999991</v>
      </c>
      <c r="K7" s="333">
        <f t="shared" si="2"/>
        <v>6048647.2899999991</v>
      </c>
    </row>
    <row r="8" spans="1:11">
      <c r="A8" s="389" t="str">
        <f>+'002'!A7</f>
        <v>1</v>
      </c>
      <c r="B8" s="389" t="str">
        <f>+'002'!B7</f>
        <v>1.1.8</v>
      </c>
      <c r="C8" s="389" t="str">
        <f>+'002'!C7</f>
        <v>914142</v>
      </c>
      <c r="D8" s="463" t="str">
        <f>+'002'!D7</f>
        <v>1/1.1.8/914142  Mat y Suministros</v>
      </c>
      <c r="E8" s="390">
        <f>+'002'!F7</f>
        <v>2249254.52</v>
      </c>
      <c r="F8" s="390">
        <f>+'002'!G7</f>
        <v>-349815.95</v>
      </c>
      <c r="G8" s="390">
        <f>+'002'!H7</f>
        <v>1899438.57</v>
      </c>
      <c r="H8" s="390">
        <f>+'002'!I7</f>
        <v>1899438.57</v>
      </c>
      <c r="I8" s="390">
        <f>+'002'!J7</f>
        <v>1899438.57</v>
      </c>
      <c r="J8" s="390">
        <f t="shared" si="1"/>
        <v>-349815.94999999995</v>
      </c>
      <c r="K8" s="333">
        <f t="shared" si="2"/>
        <v>0</v>
      </c>
    </row>
    <row r="9" spans="1:11">
      <c r="A9" s="389" t="str">
        <f>+'002'!A8</f>
        <v>1</v>
      </c>
      <c r="B9" s="389" t="str">
        <f>+'002'!B8</f>
        <v>1.1.8</v>
      </c>
      <c r="C9" s="389" t="str">
        <f>+'002'!C8</f>
        <v>914143</v>
      </c>
      <c r="D9" s="463" t="str">
        <f>+'002'!D8</f>
        <v>1/1.1.8/914143  Servicios Generales</v>
      </c>
      <c r="E9" s="390">
        <f>+'002'!F8</f>
        <v>15301571</v>
      </c>
      <c r="F9" s="390">
        <f>+'002'!G8</f>
        <v>350566.11</v>
      </c>
      <c r="G9" s="390">
        <f>+'002'!H8</f>
        <v>15652137.109999999</v>
      </c>
      <c r="H9" s="390">
        <f>+'002'!I8</f>
        <v>15652137.109999999</v>
      </c>
      <c r="I9" s="390">
        <f>+'002'!J8</f>
        <v>15652137.109999999</v>
      </c>
      <c r="J9" s="390">
        <f t="shared" si="1"/>
        <v>350566.1099999994</v>
      </c>
      <c r="K9" s="333">
        <f t="shared" si="2"/>
        <v>350566.1099999994</v>
      </c>
    </row>
    <row r="10" spans="1:11">
      <c r="A10" s="389" t="str">
        <f>+'002'!A9</f>
        <v>1</v>
      </c>
      <c r="B10" s="389" t="str">
        <f>+'002'!B9</f>
        <v>1.1.8</v>
      </c>
      <c r="C10" s="389" t="str">
        <f>+'002'!C9</f>
        <v>914147</v>
      </c>
      <c r="D10" s="463" t="str">
        <f>+'002'!D9</f>
        <v>1/1.1.8/914147  Invers. Financieras</v>
      </c>
      <c r="E10" s="390">
        <f>+'002'!F9</f>
        <v>625510.53</v>
      </c>
      <c r="F10" s="390">
        <f>+'002'!G9</f>
        <v>-625510.53</v>
      </c>
      <c r="G10" s="390">
        <f>+'002'!H9</f>
        <v>0</v>
      </c>
      <c r="H10" s="390">
        <f>+'002'!I9</f>
        <v>0</v>
      </c>
      <c r="I10" s="390">
        <f>+'002'!J9</f>
        <v>0</v>
      </c>
      <c r="J10" s="390">
        <f t="shared" si="1"/>
        <v>-625510.53</v>
      </c>
      <c r="K10" s="333">
        <f t="shared" si="2"/>
        <v>0</v>
      </c>
    </row>
    <row r="11" spans="1:11">
      <c r="A11" s="389" t="str">
        <f>+'002'!A10</f>
        <v>1</v>
      </c>
      <c r="B11" s="389" t="str">
        <f>+'002'!B10</f>
        <v>1.2.4</v>
      </c>
      <c r="C11" s="389" t="str">
        <f>+'002'!C10</f>
        <v>914145</v>
      </c>
      <c r="D11" s="463" t="str">
        <f>+'002'!D10</f>
        <v>1/1.2.4/914145  Bienes M Inm e Int</v>
      </c>
      <c r="E11" s="390">
        <f>+'002'!F10</f>
        <v>1042027.56</v>
      </c>
      <c r="F11" s="390">
        <f>+'002'!G10</f>
        <v>1420477.68</v>
      </c>
      <c r="G11" s="390">
        <f>+'002'!H10</f>
        <v>2462505.2400000002</v>
      </c>
      <c r="H11" s="390">
        <f>+'002'!I10</f>
        <v>2462505.2400000002</v>
      </c>
      <c r="I11" s="390">
        <f>+'002'!J10</f>
        <v>2462505.2400000002</v>
      </c>
      <c r="J11" s="390">
        <f t="shared" si="1"/>
        <v>1420477.6800000002</v>
      </c>
      <c r="K11" s="333">
        <f t="shared" si="2"/>
        <v>1420477.6800000002</v>
      </c>
    </row>
    <row r="12" spans="1:11">
      <c r="A12" s="389" t="str">
        <f>+'002'!A11</f>
        <v>4</v>
      </c>
      <c r="B12" s="389" t="str">
        <f>+'002'!B11</f>
        <v>1.1.6</v>
      </c>
      <c r="C12" s="389" t="str">
        <f>+'002'!C11</f>
        <v>710001</v>
      </c>
      <c r="D12" s="463" t="str">
        <f>+'002'!D11</f>
        <v>4/1.1.6/710001  CURSOS</v>
      </c>
      <c r="E12" s="390">
        <f>+'002'!F11</f>
        <v>0</v>
      </c>
      <c r="F12" s="390">
        <f>+'002'!G11</f>
        <v>0</v>
      </c>
      <c r="G12" s="390">
        <f>+'002'!H11</f>
        <v>0</v>
      </c>
      <c r="H12" s="390">
        <f>+'002'!I11</f>
        <v>0</v>
      </c>
      <c r="I12" s="390">
        <f>+'002'!J11</f>
        <v>0</v>
      </c>
      <c r="J12" s="390">
        <f t="shared" ref="J12:J13" si="3">+I12-E12</f>
        <v>0</v>
      </c>
      <c r="K12" s="333">
        <f t="shared" ref="K12:K13" si="4">IF(J12&gt;0,J12,0)</f>
        <v>0</v>
      </c>
    </row>
    <row r="13" spans="1:11">
      <c r="A13" s="389" t="str">
        <f>+'002'!A12</f>
        <v>4</v>
      </c>
      <c r="B13" s="389" t="str">
        <f>+'002'!B12</f>
        <v>1.1.6</v>
      </c>
      <c r="C13" s="389" t="str">
        <f>+'002'!C12</f>
        <v>710014</v>
      </c>
      <c r="D13" s="463" t="str">
        <f>+'002'!D12</f>
        <v>4/1.1.6/710014  OTROS INGRESOS</v>
      </c>
      <c r="E13" s="390">
        <f>+'002'!F12</f>
        <v>0</v>
      </c>
      <c r="F13" s="390">
        <f>+'002'!G12</f>
        <v>0</v>
      </c>
      <c r="G13" s="390">
        <f>+'002'!H12</f>
        <v>0</v>
      </c>
      <c r="H13" s="390">
        <f>+'002'!I12</f>
        <v>0</v>
      </c>
      <c r="I13" s="390">
        <f>+'002'!J12</f>
        <v>0</v>
      </c>
      <c r="J13" s="390">
        <f t="shared" si="3"/>
        <v>0</v>
      </c>
      <c r="K13" s="333">
        <f t="shared" si="4"/>
        <v>0</v>
      </c>
    </row>
  </sheetData>
  <sheetProtection insertRows="0" deleteRows="0" autoFilter="0"/>
  <mergeCells count="1">
    <mergeCell ref="A1:K1"/>
  </mergeCells>
  <dataValidations count="11">
    <dataValidation allowBlank="1" showInputMessage="1" showErrorMessage="1" prompt="Sólo aplica cuando el importe de la columna de diferencia sea mayor a cero" sqref="K2 JG2 TC2 ACY2 AMU2 AWQ2 BGM2 BQI2 CAE2 CKA2 CTW2 DDS2 DNO2 DXK2 EHG2 ERC2 FAY2 FKU2 FUQ2 GEM2 GOI2 GYE2 HIA2 HRW2 IBS2 ILO2 IVK2 JFG2 JPC2 JYY2 KIU2 KSQ2 LCM2 LMI2 LWE2 MGA2 MPW2 MZS2 NJO2 NTK2 ODG2 ONC2 OWY2 PGU2 PQQ2 QAM2 QKI2 QUE2 REA2 RNW2 RXS2 SHO2 SRK2 TBG2 TLC2 TUY2 UEU2 UOQ2 UYM2 VII2 VSE2 WCA2 WLW2 WVS2 K65535 JG65535 TC65535 ACY65535 AMU65535 AWQ65535 BGM65535 BQI65535 CAE65535 CKA65535 CTW65535 DDS65535 DNO65535 DXK65535 EHG65535 ERC65535 FAY65535 FKU65535 FUQ65535 GEM65535 GOI65535 GYE65535 HIA65535 HRW65535 IBS65535 ILO65535 IVK65535 JFG65535 JPC65535 JYY65535 KIU65535 KSQ65535 LCM65535 LMI65535 LWE65535 MGA65535 MPW65535 MZS65535 NJO65535 NTK65535 ODG65535 ONC65535 OWY65535 PGU65535 PQQ65535 QAM65535 QKI65535 QUE65535 REA65535 RNW65535 RXS65535 SHO65535 SRK65535 TBG65535 TLC65535 TUY65535 UEU65535 UOQ65535 UYM65535 VII65535 VSE65535 WCA65535 WLW65535 WVS65535 K131071 JG131071 TC131071 ACY131071 AMU131071 AWQ131071 BGM131071 BQI131071 CAE131071 CKA131071 CTW131071 DDS131071 DNO131071 DXK131071 EHG131071 ERC131071 FAY131071 FKU131071 FUQ131071 GEM131071 GOI131071 GYE131071 HIA131071 HRW131071 IBS131071 ILO131071 IVK131071 JFG131071 JPC131071 JYY131071 KIU131071 KSQ131071 LCM131071 LMI131071 LWE131071 MGA131071 MPW131071 MZS131071 NJO131071 NTK131071 ODG131071 ONC131071 OWY131071 PGU131071 PQQ131071 QAM131071 QKI131071 QUE131071 REA131071 RNW131071 RXS131071 SHO131071 SRK131071 TBG131071 TLC131071 TUY131071 UEU131071 UOQ131071 UYM131071 VII131071 VSE131071 WCA131071 WLW131071 WVS131071 K196607 JG196607 TC196607 ACY196607 AMU196607 AWQ196607 BGM196607 BQI196607 CAE196607 CKA196607 CTW196607 DDS196607 DNO196607 DXK196607 EHG196607 ERC196607 FAY196607 FKU196607 FUQ196607 GEM196607 GOI196607 GYE196607 HIA196607 HRW196607 IBS196607 ILO196607 IVK196607 JFG196607 JPC196607 JYY196607 KIU196607 KSQ196607 LCM196607 LMI196607 LWE196607 MGA196607 MPW196607 MZS196607 NJO196607 NTK196607 ODG196607 ONC196607 OWY196607 PGU196607 PQQ196607 QAM196607 QKI196607 QUE196607 REA196607 RNW196607 RXS196607 SHO196607 SRK196607 TBG196607 TLC196607 TUY196607 UEU196607 UOQ196607 UYM196607 VII196607 VSE196607 WCA196607 WLW196607 WVS196607 K262143 JG262143 TC262143 ACY262143 AMU262143 AWQ262143 BGM262143 BQI262143 CAE262143 CKA262143 CTW262143 DDS262143 DNO262143 DXK262143 EHG262143 ERC262143 FAY262143 FKU262143 FUQ262143 GEM262143 GOI262143 GYE262143 HIA262143 HRW262143 IBS262143 ILO262143 IVK262143 JFG262143 JPC262143 JYY262143 KIU262143 KSQ262143 LCM262143 LMI262143 LWE262143 MGA262143 MPW262143 MZS262143 NJO262143 NTK262143 ODG262143 ONC262143 OWY262143 PGU262143 PQQ262143 QAM262143 QKI262143 QUE262143 REA262143 RNW262143 RXS262143 SHO262143 SRK262143 TBG262143 TLC262143 TUY262143 UEU262143 UOQ262143 UYM262143 VII262143 VSE262143 WCA262143 WLW262143 WVS262143 K327679 JG327679 TC327679 ACY327679 AMU327679 AWQ327679 BGM327679 BQI327679 CAE327679 CKA327679 CTW327679 DDS327679 DNO327679 DXK327679 EHG327679 ERC327679 FAY327679 FKU327679 FUQ327679 GEM327679 GOI327679 GYE327679 HIA327679 HRW327679 IBS327679 ILO327679 IVK327679 JFG327679 JPC327679 JYY327679 KIU327679 KSQ327679 LCM327679 LMI327679 LWE327679 MGA327679 MPW327679 MZS327679 NJO327679 NTK327679 ODG327679 ONC327679 OWY327679 PGU327679 PQQ327679 QAM327679 QKI327679 QUE327679 REA327679 RNW327679 RXS327679 SHO327679 SRK327679 TBG327679 TLC327679 TUY327679 UEU327679 UOQ327679 UYM327679 VII327679 VSE327679 WCA327679 WLW327679 WVS327679 K393215 JG393215 TC393215 ACY393215 AMU393215 AWQ393215 BGM393215 BQI393215 CAE393215 CKA393215 CTW393215 DDS393215 DNO393215 DXK393215 EHG393215 ERC393215 FAY393215 FKU393215 FUQ393215 GEM393215 GOI393215 GYE393215 HIA393215 HRW393215 IBS393215 ILO393215 IVK393215 JFG393215 JPC393215 JYY393215 KIU393215 KSQ393215 LCM393215 LMI393215 LWE393215 MGA393215 MPW393215 MZS393215 NJO393215 NTK393215 ODG393215 ONC393215 OWY393215 PGU393215 PQQ393215 QAM393215 QKI393215 QUE393215 REA393215 RNW393215 RXS393215 SHO393215 SRK393215 TBG393215 TLC393215 TUY393215 UEU393215 UOQ393215 UYM393215 VII393215 VSE393215 WCA393215 WLW393215 WVS393215 K458751 JG458751 TC458751 ACY458751 AMU458751 AWQ458751 BGM458751 BQI458751 CAE458751 CKA458751 CTW458751 DDS458751 DNO458751 DXK458751 EHG458751 ERC458751 FAY458751 FKU458751 FUQ458751 GEM458751 GOI458751 GYE458751 HIA458751 HRW458751 IBS458751 ILO458751 IVK458751 JFG458751 JPC458751 JYY458751 KIU458751 KSQ458751 LCM458751 LMI458751 LWE458751 MGA458751 MPW458751 MZS458751 NJO458751 NTK458751 ODG458751 ONC458751 OWY458751 PGU458751 PQQ458751 QAM458751 QKI458751 QUE458751 REA458751 RNW458751 RXS458751 SHO458751 SRK458751 TBG458751 TLC458751 TUY458751 UEU458751 UOQ458751 UYM458751 VII458751 VSE458751 WCA458751 WLW458751 WVS458751 K524287 JG524287 TC524287 ACY524287 AMU524287 AWQ524287 BGM524287 BQI524287 CAE524287 CKA524287 CTW524287 DDS524287 DNO524287 DXK524287 EHG524287 ERC524287 FAY524287 FKU524287 FUQ524287 GEM524287 GOI524287 GYE524287 HIA524287 HRW524287 IBS524287 ILO524287 IVK524287 JFG524287 JPC524287 JYY524287 KIU524287 KSQ524287 LCM524287 LMI524287 LWE524287 MGA524287 MPW524287 MZS524287 NJO524287 NTK524287 ODG524287 ONC524287 OWY524287 PGU524287 PQQ524287 QAM524287 QKI524287 QUE524287 REA524287 RNW524287 RXS524287 SHO524287 SRK524287 TBG524287 TLC524287 TUY524287 UEU524287 UOQ524287 UYM524287 VII524287 VSE524287 WCA524287 WLW524287 WVS524287 K589823 JG589823 TC589823 ACY589823 AMU589823 AWQ589823 BGM589823 BQI589823 CAE589823 CKA589823 CTW589823 DDS589823 DNO589823 DXK589823 EHG589823 ERC589823 FAY589823 FKU589823 FUQ589823 GEM589823 GOI589823 GYE589823 HIA589823 HRW589823 IBS589823 ILO589823 IVK589823 JFG589823 JPC589823 JYY589823 KIU589823 KSQ589823 LCM589823 LMI589823 LWE589823 MGA589823 MPW589823 MZS589823 NJO589823 NTK589823 ODG589823 ONC589823 OWY589823 PGU589823 PQQ589823 QAM589823 QKI589823 QUE589823 REA589823 RNW589823 RXS589823 SHO589823 SRK589823 TBG589823 TLC589823 TUY589823 UEU589823 UOQ589823 UYM589823 VII589823 VSE589823 WCA589823 WLW589823 WVS589823 K655359 JG655359 TC655359 ACY655359 AMU655359 AWQ655359 BGM655359 BQI655359 CAE655359 CKA655359 CTW655359 DDS655359 DNO655359 DXK655359 EHG655359 ERC655359 FAY655359 FKU655359 FUQ655359 GEM655359 GOI655359 GYE655359 HIA655359 HRW655359 IBS655359 ILO655359 IVK655359 JFG655359 JPC655359 JYY655359 KIU655359 KSQ655359 LCM655359 LMI655359 LWE655359 MGA655359 MPW655359 MZS655359 NJO655359 NTK655359 ODG655359 ONC655359 OWY655359 PGU655359 PQQ655359 QAM655359 QKI655359 QUE655359 REA655359 RNW655359 RXS655359 SHO655359 SRK655359 TBG655359 TLC655359 TUY655359 UEU655359 UOQ655359 UYM655359 VII655359 VSE655359 WCA655359 WLW655359 WVS655359 K720895 JG720895 TC720895 ACY720895 AMU720895 AWQ720895 BGM720895 BQI720895 CAE720895 CKA720895 CTW720895 DDS720895 DNO720895 DXK720895 EHG720895 ERC720895 FAY720895 FKU720895 FUQ720895 GEM720895 GOI720895 GYE720895 HIA720895 HRW720895 IBS720895 ILO720895 IVK720895 JFG720895 JPC720895 JYY720895 KIU720895 KSQ720895 LCM720895 LMI720895 LWE720895 MGA720895 MPW720895 MZS720895 NJO720895 NTK720895 ODG720895 ONC720895 OWY720895 PGU720895 PQQ720895 QAM720895 QKI720895 QUE720895 REA720895 RNW720895 RXS720895 SHO720895 SRK720895 TBG720895 TLC720895 TUY720895 UEU720895 UOQ720895 UYM720895 VII720895 VSE720895 WCA720895 WLW720895 WVS720895 K786431 JG786431 TC786431 ACY786431 AMU786431 AWQ786431 BGM786431 BQI786431 CAE786431 CKA786431 CTW786431 DDS786431 DNO786431 DXK786431 EHG786431 ERC786431 FAY786431 FKU786431 FUQ786431 GEM786431 GOI786431 GYE786431 HIA786431 HRW786431 IBS786431 ILO786431 IVK786431 JFG786431 JPC786431 JYY786431 KIU786431 KSQ786431 LCM786431 LMI786431 LWE786431 MGA786431 MPW786431 MZS786431 NJO786431 NTK786431 ODG786431 ONC786431 OWY786431 PGU786431 PQQ786431 QAM786431 QKI786431 QUE786431 REA786431 RNW786431 RXS786431 SHO786431 SRK786431 TBG786431 TLC786431 TUY786431 UEU786431 UOQ786431 UYM786431 VII786431 VSE786431 WCA786431 WLW786431 WVS786431 K851967 JG851967 TC851967 ACY851967 AMU851967 AWQ851967 BGM851967 BQI851967 CAE851967 CKA851967 CTW851967 DDS851967 DNO851967 DXK851967 EHG851967 ERC851967 FAY851967 FKU851967 FUQ851967 GEM851967 GOI851967 GYE851967 HIA851967 HRW851967 IBS851967 ILO851967 IVK851967 JFG851967 JPC851967 JYY851967 KIU851967 KSQ851967 LCM851967 LMI851967 LWE851967 MGA851967 MPW851967 MZS851967 NJO851967 NTK851967 ODG851967 ONC851967 OWY851967 PGU851967 PQQ851967 QAM851967 QKI851967 QUE851967 REA851967 RNW851967 RXS851967 SHO851967 SRK851967 TBG851967 TLC851967 TUY851967 UEU851967 UOQ851967 UYM851967 VII851967 VSE851967 WCA851967 WLW851967 WVS851967 K917503 JG917503 TC917503 ACY917503 AMU917503 AWQ917503 BGM917503 BQI917503 CAE917503 CKA917503 CTW917503 DDS917503 DNO917503 DXK917503 EHG917503 ERC917503 FAY917503 FKU917503 FUQ917503 GEM917503 GOI917503 GYE917503 HIA917503 HRW917503 IBS917503 ILO917503 IVK917503 JFG917503 JPC917503 JYY917503 KIU917503 KSQ917503 LCM917503 LMI917503 LWE917503 MGA917503 MPW917503 MZS917503 NJO917503 NTK917503 ODG917503 ONC917503 OWY917503 PGU917503 PQQ917503 QAM917503 QKI917503 QUE917503 REA917503 RNW917503 RXS917503 SHO917503 SRK917503 TBG917503 TLC917503 TUY917503 UEU917503 UOQ917503 UYM917503 VII917503 VSE917503 WCA917503 WLW917503 WVS917503 K983039 JG983039 TC983039 ACY983039 AMU983039 AWQ983039 BGM983039 BQI983039 CAE983039 CKA983039 CTW983039 DDS983039 DNO983039 DXK983039 EHG983039 ERC983039 FAY983039 FKU983039 FUQ983039 GEM983039 GOI983039 GYE983039 HIA983039 HRW983039 IBS983039 ILO983039 IVK983039 JFG983039 JPC983039 JYY983039 KIU983039 KSQ983039 LCM983039 LMI983039 LWE983039 MGA983039 MPW983039 MZS983039 NJO983039 NTK983039 ODG983039 ONC983039 OWY983039 PGU983039 PQQ983039 QAM983039 QKI983039 QUE983039 REA983039 RNW983039 RXS983039 SHO983039 SRK983039 TBG983039 TLC983039 TUY983039 UEU983039 UOQ983039 UYM983039 VII983039 VSE983039 WCA983039 WLW983039 WVS983039"/>
    <dataValidation allowBlank="1" showInputMessage="1" showErrorMessage="1" prompt="Se refiere al nombre que se asigna a cada uno de los desagregados que se señalan."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5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D131071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D196607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D262143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D32767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D393215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D458751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D524287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D589823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D65535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D720895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D786431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D851967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D917503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D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NP983039 RXL983039 SHH983039 SRD983039 TAZ983039 TKV983039 TUR983039 UEN983039 UOJ983039 UYF983039 VIB983039 VRX983039 WBT983039 WLP983039 WVL983039"/>
    <dataValidation allowBlank="1" showInputMessage="1" showErrorMessage="1" prompt="Las modificaciones realizadas al Pronóstico de Ingresos "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5 JB65535 SX65535 ACT65535 AMP65535 AWL65535 BGH65535 BQD65535 BZZ65535 CJV65535 CTR65535 DDN65535 DNJ65535 DXF65535 EHB65535 EQX65535 FAT65535 FKP65535 FUL65535 GEH65535 GOD65535 GXZ65535 HHV65535 HRR65535 IBN65535 ILJ65535 IVF65535 JFB65535 JOX65535 JYT65535 KIP65535 KSL65535 LCH65535 LMD65535 LVZ65535 MFV65535 MPR65535 MZN65535 NJJ65535 NTF65535 ODB65535 OMX65535 OWT65535 PGP65535 PQL65535 QAH65535 QKD65535 QTZ65535 RDV65535 RNR65535 RXN65535 SHJ65535 SRF65535 TBB65535 TKX65535 TUT65535 UEP65535 UOL65535 UYH65535 VID65535 VRZ65535 WBV65535 WLR65535 WVN65535 F131071 JB131071 SX131071 ACT131071 AMP131071 AWL131071 BGH131071 BQD131071 BZZ131071 CJV131071 CTR131071 DDN131071 DNJ131071 DXF131071 EHB131071 EQX131071 FAT131071 FKP131071 FUL131071 GEH131071 GOD131071 GXZ131071 HHV131071 HRR131071 IBN131071 ILJ131071 IVF131071 JFB131071 JOX131071 JYT131071 KIP131071 KSL131071 LCH131071 LMD131071 LVZ131071 MFV131071 MPR131071 MZN131071 NJJ131071 NTF131071 ODB131071 OMX131071 OWT131071 PGP131071 PQL131071 QAH131071 QKD131071 QTZ131071 RDV131071 RNR131071 RXN131071 SHJ131071 SRF131071 TBB131071 TKX131071 TUT131071 UEP131071 UOL131071 UYH131071 VID131071 VRZ131071 WBV131071 WLR131071 WVN131071 F196607 JB196607 SX196607 ACT196607 AMP196607 AWL196607 BGH196607 BQD196607 BZZ196607 CJV196607 CTR196607 DDN196607 DNJ196607 DXF196607 EHB196607 EQX196607 FAT196607 FKP196607 FUL196607 GEH196607 GOD196607 GXZ196607 HHV196607 HRR196607 IBN196607 ILJ196607 IVF196607 JFB196607 JOX196607 JYT196607 KIP196607 KSL196607 LCH196607 LMD196607 LVZ196607 MFV196607 MPR196607 MZN196607 NJJ196607 NTF196607 ODB196607 OMX196607 OWT196607 PGP196607 PQL196607 QAH196607 QKD196607 QTZ196607 RDV196607 RNR196607 RXN196607 SHJ196607 SRF196607 TBB196607 TKX196607 TUT196607 UEP196607 UOL196607 UYH196607 VID196607 VRZ196607 WBV196607 WLR196607 WVN196607 F262143 JB262143 SX262143 ACT262143 AMP262143 AWL262143 BGH262143 BQD262143 BZZ262143 CJV262143 CTR262143 DDN262143 DNJ262143 DXF262143 EHB262143 EQX262143 FAT262143 FKP262143 FUL262143 GEH262143 GOD262143 GXZ262143 HHV262143 HRR262143 IBN262143 ILJ262143 IVF262143 JFB262143 JOX262143 JYT262143 KIP262143 KSL262143 LCH262143 LMD262143 LVZ262143 MFV262143 MPR262143 MZN262143 NJJ262143 NTF262143 ODB262143 OMX262143 OWT262143 PGP262143 PQL262143 QAH262143 QKD262143 QTZ262143 RDV262143 RNR262143 RXN262143 SHJ262143 SRF262143 TBB262143 TKX262143 TUT262143 UEP262143 UOL262143 UYH262143 VID262143 VRZ262143 WBV262143 WLR262143 WVN262143 F327679 JB327679 SX327679 ACT327679 AMP327679 AWL327679 BGH327679 BQD327679 BZZ327679 CJV327679 CTR327679 DDN327679 DNJ327679 DXF327679 EHB327679 EQX327679 FAT327679 FKP327679 FUL327679 GEH327679 GOD327679 GXZ327679 HHV327679 HRR327679 IBN327679 ILJ327679 IVF327679 JFB327679 JOX327679 JYT327679 KIP327679 KSL327679 LCH327679 LMD327679 LVZ327679 MFV327679 MPR327679 MZN327679 NJJ327679 NTF327679 ODB327679 OMX327679 OWT327679 PGP327679 PQL327679 QAH327679 QKD327679 QTZ327679 RDV327679 RNR327679 RXN327679 SHJ327679 SRF327679 TBB327679 TKX327679 TUT327679 UEP327679 UOL327679 UYH327679 VID327679 VRZ327679 WBV327679 WLR327679 WVN327679 F393215 JB393215 SX393215 ACT393215 AMP393215 AWL393215 BGH393215 BQD393215 BZZ393215 CJV393215 CTR393215 DDN393215 DNJ393215 DXF393215 EHB393215 EQX393215 FAT393215 FKP393215 FUL393215 GEH393215 GOD393215 GXZ393215 HHV393215 HRR393215 IBN393215 ILJ393215 IVF393215 JFB393215 JOX393215 JYT393215 KIP393215 KSL393215 LCH393215 LMD393215 LVZ393215 MFV393215 MPR393215 MZN393215 NJJ393215 NTF393215 ODB393215 OMX393215 OWT393215 PGP393215 PQL393215 QAH393215 QKD393215 QTZ393215 RDV393215 RNR393215 RXN393215 SHJ393215 SRF393215 TBB393215 TKX393215 TUT393215 UEP393215 UOL393215 UYH393215 VID393215 VRZ393215 WBV393215 WLR393215 WVN393215 F458751 JB458751 SX458751 ACT458751 AMP458751 AWL458751 BGH458751 BQD458751 BZZ458751 CJV458751 CTR458751 DDN458751 DNJ458751 DXF458751 EHB458751 EQX458751 FAT458751 FKP458751 FUL458751 GEH458751 GOD458751 GXZ458751 HHV458751 HRR458751 IBN458751 ILJ458751 IVF458751 JFB458751 JOX458751 JYT458751 KIP458751 KSL458751 LCH458751 LMD458751 LVZ458751 MFV458751 MPR458751 MZN458751 NJJ458751 NTF458751 ODB458751 OMX458751 OWT458751 PGP458751 PQL458751 QAH458751 QKD458751 QTZ458751 RDV458751 RNR458751 RXN458751 SHJ458751 SRF458751 TBB458751 TKX458751 TUT458751 UEP458751 UOL458751 UYH458751 VID458751 VRZ458751 WBV458751 WLR458751 WVN458751 F524287 JB524287 SX524287 ACT524287 AMP524287 AWL524287 BGH524287 BQD524287 BZZ524287 CJV524287 CTR524287 DDN524287 DNJ524287 DXF524287 EHB524287 EQX524287 FAT524287 FKP524287 FUL524287 GEH524287 GOD524287 GXZ524287 HHV524287 HRR524287 IBN524287 ILJ524287 IVF524287 JFB524287 JOX524287 JYT524287 KIP524287 KSL524287 LCH524287 LMD524287 LVZ524287 MFV524287 MPR524287 MZN524287 NJJ524287 NTF524287 ODB524287 OMX524287 OWT524287 PGP524287 PQL524287 QAH524287 QKD524287 QTZ524287 RDV524287 RNR524287 RXN524287 SHJ524287 SRF524287 TBB524287 TKX524287 TUT524287 UEP524287 UOL524287 UYH524287 VID524287 VRZ524287 WBV524287 WLR524287 WVN524287 F589823 JB589823 SX589823 ACT589823 AMP589823 AWL589823 BGH589823 BQD589823 BZZ589823 CJV589823 CTR589823 DDN589823 DNJ589823 DXF589823 EHB589823 EQX589823 FAT589823 FKP589823 FUL589823 GEH589823 GOD589823 GXZ589823 HHV589823 HRR589823 IBN589823 ILJ589823 IVF589823 JFB589823 JOX589823 JYT589823 KIP589823 KSL589823 LCH589823 LMD589823 LVZ589823 MFV589823 MPR589823 MZN589823 NJJ589823 NTF589823 ODB589823 OMX589823 OWT589823 PGP589823 PQL589823 QAH589823 QKD589823 QTZ589823 RDV589823 RNR589823 RXN589823 SHJ589823 SRF589823 TBB589823 TKX589823 TUT589823 UEP589823 UOL589823 UYH589823 VID589823 VRZ589823 WBV589823 WLR589823 WVN589823 F655359 JB655359 SX655359 ACT655359 AMP655359 AWL655359 BGH655359 BQD655359 BZZ655359 CJV655359 CTR655359 DDN655359 DNJ655359 DXF655359 EHB655359 EQX655359 FAT655359 FKP655359 FUL655359 GEH655359 GOD655359 GXZ655359 HHV655359 HRR655359 IBN655359 ILJ655359 IVF655359 JFB655359 JOX655359 JYT655359 KIP655359 KSL655359 LCH655359 LMD655359 LVZ655359 MFV655359 MPR655359 MZN655359 NJJ655359 NTF655359 ODB655359 OMX655359 OWT655359 PGP655359 PQL655359 QAH655359 QKD655359 QTZ655359 RDV655359 RNR655359 RXN655359 SHJ655359 SRF655359 TBB655359 TKX655359 TUT655359 UEP655359 UOL655359 UYH655359 VID655359 VRZ655359 WBV655359 WLR655359 WVN655359 F720895 JB720895 SX720895 ACT720895 AMP720895 AWL720895 BGH720895 BQD720895 BZZ720895 CJV720895 CTR720895 DDN720895 DNJ720895 DXF720895 EHB720895 EQX720895 FAT720895 FKP720895 FUL720895 GEH720895 GOD720895 GXZ720895 HHV720895 HRR720895 IBN720895 ILJ720895 IVF720895 JFB720895 JOX720895 JYT720895 KIP720895 KSL720895 LCH720895 LMD720895 LVZ720895 MFV720895 MPR720895 MZN720895 NJJ720895 NTF720895 ODB720895 OMX720895 OWT720895 PGP720895 PQL720895 QAH720895 QKD720895 QTZ720895 RDV720895 RNR720895 RXN720895 SHJ720895 SRF720895 TBB720895 TKX720895 TUT720895 UEP720895 UOL720895 UYH720895 VID720895 VRZ720895 WBV720895 WLR720895 WVN720895 F786431 JB786431 SX786431 ACT786431 AMP786431 AWL786431 BGH786431 BQD786431 BZZ786431 CJV786431 CTR786431 DDN786431 DNJ786431 DXF786431 EHB786431 EQX786431 FAT786431 FKP786431 FUL786431 GEH786431 GOD786431 GXZ786431 HHV786431 HRR786431 IBN786431 ILJ786431 IVF786431 JFB786431 JOX786431 JYT786431 KIP786431 KSL786431 LCH786431 LMD786431 LVZ786431 MFV786431 MPR786431 MZN786431 NJJ786431 NTF786431 ODB786431 OMX786431 OWT786431 PGP786431 PQL786431 QAH786431 QKD786431 QTZ786431 RDV786431 RNR786431 RXN786431 SHJ786431 SRF786431 TBB786431 TKX786431 TUT786431 UEP786431 UOL786431 UYH786431 VID786431 VRZ786431 WBV786431 WLR786431 WVN786431 F851967 JB851967 SX851967 ACT851967 AMP851967 AWL851967 BGH851967 BQD851967 BZZ851967 CJV851967 CTR851967 DDN851967 DNJ851967 DXF851967 EHB851967 EQX851967 FAT851967 FKP851967 FUL851967 GEH851967 GOD851967 GXZ851967 HHV851967 HRR851967 IBN851967 ILJ851967 IVF851967 JFB851967 JOX851967 JYT851967 KIP851967 KSL851967 LCH851967 LMD851967 LVZ851967 MFV851967 MPR851967 MZN851967 NJJ851967 NTF851967 ODB851967 OMX851967 OWT851967 PGP851967 PQL851967 QAH851967 QKD851967 QTZ851967 RDV851967 RNR851967 RXN851967 SHJ851967 SRF851967 TBB851967 TKX851967 TUT851967 UEP851967 UOL851967 UYH851967 VID851967 VRZ851967 WBV851967 WLR851967 WVN851967 F917503 JB917503 SX917503 ACT917503 AMP917503 AWL917503 BGH917503 BQD917503 BZZ917503 CJV917503 CTR917503 DDN917503 DNJ917503 DXF917503 EHB917503 EQX917503 FAT917503 FKP917503 FUL917503 GEH917503 GOD917503 GXZ917503 HHV917503 HRR917503 IBN917503 ILJ917503 IVF917503 JFB917503 JOX917503 JYT917503 KIP917503 KSL917503 LCH917503 LMD917503 LVZ917503 MFV917503 MPR917503 MZN917503 NJJ917503 NTF917503 ODB917503 OMX917503 OWT917503 PGP917503 PQL917503 QAH917503 QKD917503 QTZ917503 RDV917503 RNR917503 RXN917503 SHJ917503 SRF917503 TBB917503 TKX917503 TUT917503 UEP917503 UOL917503 UYH917503 VID917503 VRZ917503 WBV917503 WLR917503 WVN917503 F983039 JB983039 SX983039 ACT983039 AMP983039 AWL983039 BGH983039 BQD983039 BZZ983039 CJV983039 CTR983039 DDN983039 DNJ983039 DXF983039 EHB983039 EQX983039 FAT983039 FKP983039 FUL983039 GEH983039 GOD983039 GXZ983039 HHV983039 HRR983039 IBN983039 ILJ983039 IVF983039 JFB983039 JOX983039 JYT983039 KIP983039 KSL983039 LCH983039 LMD983039 LVZ983039 MFV983039 MPR983039 MZN983039 NJJ983039 NTF983039 ODB983039 OMX983039 OWT983039 PGP983039 PQL983039 QAH983039 QKD983039 QTZ983039 RDV983039 RNR983039 RXN983039 SHJ983039 SRF983039 TBB983039 TKX983039 TUT983039 UEP983039 UOL983039 UYH983039 VID983039 VRZ983039 WBV983039 WLR983039 WVN983039"/>
    <dataValidation allowBlank="1" showInputMessage="1" showErrorMessage="1" prompt="Se refiere al código asignado por el CONAC de acuerdo a la estructura del Clasificador por Fuente de Financiamiento. (DOF 2-ene-13). A un dígito."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dataValidation allowBlank="1" showInputMessage="1" showErrorMessage="1" prompt="Se refiere al código asignado por el CONAC de acuerdo a la estructura de la Clasificación Económica. (DOF 7-jul-11). A_x000a_ tres dígitos."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dataValidation allowBlank="1" showInputMessage="1" showErrorMessage="1" prompt="Se refiere al código asignado por el CONAC de acuerdo a la estructura del Clasificador por Rubros de Ingreso. (DOF-2-ene-13). A cuatro nivele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dataValidation allowBlank="1" showInputMessage="1" showErrorMessage="1" prompt="Momento contable que refleja la asignación presupuestaria en lo relativo a la  Ley de Ingresos que resulte de incorporar en su caso, las modificaciones al ingreso estimado, previstas en la ley de ingresos."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G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G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G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G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G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G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G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G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G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G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G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G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G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G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dataValidation allowBlank="1" showInputMessage="1" showErrorMessage="1" prompt="En esta columna debe registrarse los &quot;abonos&quot; del recaudado. Es el momento contable que refleja el cobro en efectivo o cualquier otro medio de pago de los impuestos, cuotas y aportaciones de seguridad social, contribuciones de mejoras, derechos..._x000a_" sqref="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35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I131071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I196607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I262143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I327679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I393215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I458751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I524287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I589823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I655359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I720895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I786431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I851967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I917503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I983039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dataValidation allowBlank="1" showInputMessage="1" showErrorMessage="1" prompt="En esta columna debe registrarse los &quot;abonos&quot; del devengado. Es el momento contable que se realiza cuando existe jurídicamente el derecho de cobro de los impuestos, cuotas y aportaciones de seguridad social, contribuciones de mejoras, derechos..."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35 JD65535 SZ65535 ACV65535 AMR65535 AWN65535 BGJ65535 BQF65535 CAB65535 CJX65535 CTT65535 DDP65535 DNL65535 DXH65535 EHD65535 EQZ65535 FAV65535 FKR65535 FUN65535 GEJ65535 GOF65535 GYB65535 HHX65535 HRT65535 IBP65535 ILL65535 IVH65535 JFD65535 JOZ65535 JYV65535 KIR65535 KSN65535 LCJ65535 LMF65535 LWB65535 MFX65535 MPT65535 MZP65535 NJL65535 NTH65535 ODD65535 OMZ65535 OWV65535 PGR65535 PQN65535 QAJ65535 QKF65535 QUB65535 RDX65535 RNT65535 RXP65535 SHL65535 SRH65535 TBD65535 TKZ65535 TUV65535 UER65535 UON65535 UYJ65535 VIF65535 VSB65535 WBX65535 WLT65535 WVP65535 H131071 JD131071 SZ131071 ACV131071 AMR131071 AWN131071 BGJ131071 BQF131071 CAB131071 CJX131071 CTT131071 DDP131071 DNL131071 DXH131071 EHD131071 EQZ131071 FAV131071 FKR131071 FUN131071 GEJ131071 GOF131071 GYB131071 HHX131071 HRT131071 IBP131071 ILL131071 IVH131071 JFD131071 JOZ131071 JYV131071 KIR131071 KSN131071 LCJ131071 LMF131071 LWB131071 MFX131071 MPT131071 MZP131071 NJL131071 NTH131071 ODD131071 OMZ131071 OWV131071 PGR131071 PQN131071 QAJ131071 QKF131071 QUB131071 RDX131071 RNT131071 RXP131071 SHL131071 SRH131071 TBD131071 TKZ131071 TUV131071 UER131071 UON131071 UYJ131071 VIF131071 VSB131071 WBX131071 WLT131071 WVP131071 H196607 JD196607 SZ196607 ACV196607 AMR196607 AWN196607 BGJ196607 BQF196607 CAB196607 CJX196607 CTT196607 DDP196607 DNL196607 DXH196607 EHD196607 EQZ196607 FAV196607 FKR196607 FUN196607 GEJ196607 GOF196607 GYB196607 HHX196607 HRT196607 IBP196607 ILL196607 IVH196607 JFD196607 JOZ196607 JYV196607 KIR196607 KSN196607 LCJ196607 LMF196607 LWB196607 MFX196607 MPT196607 MZP196607 NJL196607 NTH196607 ODD196607 OMZ196607 OWV196607 PGR196607 PQN196607 QAJ196607 QKF196607 QUB196607 RDX196607 RNT196607 RXP196607 SHL196607 SRH196607 TBD196607 TKZ196607 TUV196607 UER196607 UON196607 UYJ196607 VIF196607 VSB196607 WBX196607 WLT196607 WVP196607 H262143 JD262143 SZ262143 ACV262143 AMR262143 AWN262143 BGJ262143 BQF262143 CAB262143 CJX262143 CTT262143 DDP262143 DNL262143 DXH262143 EHD262143 EQZ262143 FAV262143 FKR262143 FUN262143 GEJ262143 GOF262143 GYB262143 HHX262143 HRT262143 IBP262143 ILL262143 IVH262143 JFD262143 JOZ262143 JYV262143 KIR262143 KSN262143 LCJ262143 LMF262143 LWB262143 MFX262143 MPT262143 MZP262143 NJL262143 NTH262143 ODD262143 OMZ262143 OWV262143 PGR262143 PQN262143 QAJ262143 QKF262143 QUB262143 RDX262143 RNT262143 RXP262143 SHL262143 SRH262143 TBD262143 TKZ262143 TUV262143 UER262143 UON262143 UYJ262143 VIF262143 VSB262143 WBX262143 WLT262143 WVP262143 H327679 JD327679 SZ327679 ACV327679 AMR327679 AWN327679 BGJ327679 BQF327679 CAB327679 CJX327679 CTT327679 DDP327679 DNL327679 DXH327679 EHD327679 EQZ327679 FAV327679 FKR327679 FUN327679 GEJ327679 GOF327679 GYB327679 HHX327679 HRT327679 IBP327679 ILL327679 IVH327679 JFD327679 JOZ327679 JYV327679 KIR327679 KSN327679 LCJ327679 LMF327679 LWB327679 MFX327679 MPT327679 MZP327679 NJL327679 NTH327679 ODD327679 OMZ327679 OWV327679 PGR327679 PQN327679 QAJ327679 QKF327679 QUB327679 RDX327679 RNT327679 RXP327679 SHL327679 SRH327679 TBD327679 TKZ327679 TUV327679 UER327679 UON327679 UYJ327679 VIF327679 VSB327679 WBX327679 WLT327679 WVP327679 H393215 JD393215 SZ393215 ACV393215 AMR393215 AWN393215 BGJ393215 BQF393215 CAB393215 CJX393215 CTT393215 DDP393215 DNL393215 DXH393215 EHD393215 EQZ393215 FAV393215 FKR393215 FUN393215 GEJ393215 GOF393215 GYB393215 HHX393215 HRT393215 IBP393215 ILL393215 IVH393215 JFD393215 JOZ393215 JYV393215 KIR393215 KSN393215 LCJ393215 LMF393215 LWB393215 MFX393215 MPT393215 MZP393215 NJL393215 NTH393215 ODD393215 OMZ393215 OWV393215 PGR393215 PQN393215 QAJ393215 QKF393215 QUB393215 RDX393215 RNT393215 RXP393215 SHL393215 SRH393215 TBD393215 TKZ393215 TUV393215 UER393215 UON393215 UYJ393215 VIF393215 VSB393215 WBX393215 WLT393215 WVP393215 H458751 JD458751 SZ458751 ACV458751 AMR458751 AWN458751 BGJ458751 BQF458751 CAB458751 CJX458751 CTT458751 DDP458751 DNL458751 DXH458751 EHD458751 EQZ458751 FAV458751 FKR458751 FUN458751 GEJ458751 GOF458751 GYB458751 HHX458751 HRT458751 IBP458751 ILL458751 IVH458751 JFD458751 JOZ458751 JYV458751 KIR458751 KSN458751 LCJ458751 LMF458751 LWB458751 MFX458751 MPT458751 MZP458751 NJL458751 NTH458751 ODD458751 OMZ458751 OWV458751 PGR458751 PQN458751 QAJ458751 QKF458751 QUB458751 RDX458751 RNT458751 RXP458751 SHL458751 SRH458751 TBD458751 TKZ458751 TUV458751 UER458751 UON458751 UYJ458751 VIF458751 VSB458751 WBX458751 WLT458751 WVP458751 H524287 JD524287 SZ524287 ACV524287 AMR524287 AWN524287 BGJ524287 BQF524287 CAB524287 CJX524287 CTT524287 DDP524287 DNL524287 DXH524287 EHD524287 EQZ524287 FAV524287 FKR524287 FUN524287 GEJ524287 GOF524287 GYB524287 HHX524287 HRT524287 IBP524287 ILL524287 IVH524287 JFD524287 JOZ524287 JYV524287 KIR524287 KSN524287 LCJ524287 LMF524287 LWB524287 MFX524287 MPT524287 MZP524287 NJL524287 NTH524287 ODD524287 OMZ524287 OWV524287 PGR524287 PQN524287 QAJ524287 QKF524287 QUB524287 RDX524287 RNT524287 RXP524287 SHL524287 SRH524287 TBD524287 TKZ524287 TUV524287 UER524287 UON524287 UYJ524287 VIF524287 VSB524287 WBX524287 WLT524287 WVP524287 H589823 JD589823 SZ589823 ACV589823 AMR589823 AWN589823 BGJ589823 BQF589823 CAB589823 CJX589823 CTT589823 DDP589823 DNL589823 DXH589823 EHD589823 EQZ589823 FAV589823 FKR589823 FUN589823 GEJ589823 GOF589823 GYB589823 HHX589823 HRT589823 IBP589823 ILL589823 IVH589823 JFD589823 JOZ589823 JYV589823 KIR589823 KSN589823 LCJ589823 LMF589823 LWB589823 MFX589823 MPT589823 MZP589823 NJL589823 NTH589823 ODD589823 OMZ589823 OWV589823 PGR589823 PQN589823 QAJ589823 QKF589823 QUB589823 RDX589823 RNT589823 RXP589823 SHL589823 SRH589823 TBD589823 TKZ589823 TUV589823 UER589823 UON589823 UYJ589823 VIF589823 VSB589823 WBX589823 WLT589823 WVP589823 H655359 JD655359 SZ655359 ACV655359 AMR655359 AWN655359 BGJ655359 BQF655359 CAB655359 CJX655359 CTT655359 DDP655359 DNL655359 DXH655359 EHD655359 EQZ655359 FAV655359 FKR655359 FUN655359 GEJ655359 GOF655359 GYB655359 HHX655359 HRT655359 IBP655359 ILL655359 IVH655359 JFD655359 JOZ655359 JYV655359 KIR655359 KSN655359 LCJ655359 LMF655359 LWB655359 MFX655359 MPT655359 MZP655359 NJL655359 NTH655359 ODD655359 OMZ655359 OWV655359 PGR655359 PQN655359 QAJ655359 QKF655359 QUB655359 RDX655359 RNT655359 RXP655359 SHL655359 SRH655359 TBD655359 TKZ655359 TUV655359 UER655359 UON655359 UYJ655359 VIF655359 VSB655359 WBX655359 WLT655359 WVP655359 H720895 JD720895 SZ720895 ACV720895 AMR720895 AWN720895 BGJ720895 BQF720895 CAB720895 CJX720895 CTT720895 DDP720895 DNL720895 DXH720895 EHD720895 EQZ720895 FAV720895 FKR720895 FUN720895 GEJ720895 GOF720895 GYB720895 HHX720895 HRT720895 IBP720895 ILL720895 IVH720895 JFD720895 JOZ720895 JYV720895 KIR720895 KSN720895 LCJ720895 LMF720895 LWB720895 MFX720895 MPT720895 MZP720895 NJL720895 NTH720895 ODD720895 OMZ720895 OWV720895 PGR720895 PQN720895 QAJ720895 QKF720895 QUB720895 RDX720895 RNT720895 RXP720895 SHL720895 SRH720895 TBD720895 TKZ720895 TUV720895 UER720895 UON720895 UYJ720895 VIF720895 VSB720895 WBX720895 WLT720895 WVP720895 H786431 JD786431 SZ786431 ACV786431 AMR786431 AWN786431 BGJ786431 BQF786431 CAB786431 CJX786431 CTT786431 DDP786431 DNL786431 DXH786431 EHD786431 EQZ786431 FAV786431 FKR786431 FUN786431 GEJ786431 GOF786431 GYB786431 HHX786431 HRT786431 IBP786431 ILL786431 IVH786431 JFD786431 JOZ786431 JYV786431 KIR786431 KSN786431 LCJ786431 LMF786431 LWB786431 MFX786431 MPT786431 MZP786431 NJL786431 NTH786431 ODD786431 OMZ786431 OWV786431 PGR786431 PQN786431 QAJ786431 QKF786431 QUB786431 RDX786431 RNT786431 RXP786431 SHL786431 SRH786431 TBD786431 TKZ786431 TUV786431 UER786431 UON786431 UYJ786431 VIF786431 VSB786431 WBX786431 WLT786431 WVP786431 H851967 JD851967 SZ851967 ACV851967 AMR851967 AWN851967 BGJ851967 BQF851967 CAB851967 CJX851967 CTT851967 DDP851967 DNL851967 DXH851967 EHD851967 EQZ851967 FAV851967 FKR851967 FUN851967 GEJ851967 GOF851967 GYB851967 HHX851967 HRT851967 IBP851967 ILL851967 IVH851967 JFD851967 JOZ851967 JYV851967 KIR851967 KSN851967 LCJ851967 LMF851967 LWB851967 MFX851967 MPT851967 MZP851967 NJL851967 NTH851967 ODD851967 OMZ851967 OWV851967 PGR851967 PQN851967 QAJ851967 QKF851967 QUB851967 RDX851967 RNT851967 RXP851967 SHL851967 SRH851967 TBD851967 TKZ851967 TUV851967 UER851967 UON851967 UYJ851967 VIF851967 VSB851967 WBX851967 WLT851967 WVP851967 H917503 JD917503 SZ917503 ACV917503 AMR917503 AWN917503 BGJ917503 BQF917503 CAB917503 CJX917503 CTT917503 DDP917503 DNL917503 DXH917503 EHD917503 EQZ917503 FAV917503 FKR917503 FUN917503 GEJ917503 GOF917503 GYB917503 HHX917503 HRT917503 IBP917503 ILL917503 IVH917503 JFD917503 JOZ917503 JYV917503 KIR917503 KSN917503 LCJ917503 LMF917503 LWB917503 MFX917503 MPT917503 MZP917503 NJL917503 NTH917503 ODD917503 OMZ917503 OWV917503 PGR917503 PQN917503 QAJ917503 QKF917503 QUB917503 RDX917503 RNT917503 RXP917503 SHL917503 SRH917503 TBD917503 TKZ917503 TUV917503 UER917503 UON917503 UYJ917503 VIF917503 VSB917503 WBX917503 WLT917503 WVP917503 H983039 JD983039 SZ983039 ACV983039 AMR983039 AWN983039 BGJ983039 BQF983039 CAB983039 CJX983039 CTT983039 DDP983039 DNL983039 DXH983039 EHD983039 EQZ983039 FAV983039 FKR983039 FUN983039 GEJ983039 GOF983039 GYB983039 HHX983039 HRT983039 IBP983039 ILL983039 IVH983039 JFD983039 JOZ983039 JYV983039 KIR983039 KSN983039 LCJ983039 LMF983039 LWB983039 MFX983039 MPT983039 MZP983039 NJL983039 NTH983039 ODD983039 OMZ983039 OWV983039 PGR983039 PQN983039 QAJ983039 QKF983039 QUB983039 RDX983039 RNT983039 RXP983039 SHL983039 SRH983039 TBD983039 TKZ983039 TUV983039 UER983039 UON983039 UYJ983039 VIF983039 VSB983039 WBX983039 WLT983039 WVP983039"/>
    <dataValidation allowBlank="1" showInputMessage="1" showErrorMessage="1" prompt="Son los importes que se aprueban anualmente en la Ley de Ingresos, e incluyen los Impuestos, Cuotas y Aportaciones de Seguridad Social, Contribuciones de Mejoras, Derechos, Productos, Aprovechamientos..."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5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E131071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E196607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E262143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E327679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E393215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E458751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E524287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E589823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E655359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E720895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E786431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E851967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E917503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E983039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dataValidation allowBlank="1" showInputMessage="1" showErrorMessage="1" prompt="Recaudado menos Estimado" sqref="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5 JF65535 TB65535 ACX65535 AMT65535 AWP65535 BGL65535 BQH65535 CAD65535 CJZ65535 CTV65535 DDR65535 DNN65535 DXJ65535 EHF65535 ERB65535 FAX65535 FKT65535 FUP65535 GEL65535 GOH65535 GYD65535 HHZ65535 HRV65535 IBR65535 ILN65535 IVJ65535 JFF65535 JPB65535 JYX65535 KIT65535 KSP65535 LCL65535 LMH65535 LWD65535 MFZ65535 MPV65535 MZR65535 NJN65535 NTJ65535 ODF65535 ONB65535 OWX65535 PGT65535 PQP65535 QAL65535 QKH65535 QUD65535 RDZ65535 RNV65535 RXR65535 SHN65535 SRJ65535 TBF65535 TLB65535 TUX65535 UET65535 UOP65535 UYL65535 VIH65535 VSD65535 WBZ65535 WLV65535 WVR65535 J131071 JF131071 TB131071 ACX131071 AMT131071 AWP131071 BGL131071 BQH131071 CAD131071 CJZ131071 CTV131071 DDR131071 DNN131071 DXJ131071 EHF131071 ERB131071 FAX131071 FKT131071 FUP131071 GEL131071 GOH131071 GYD131071 HHZ131071 HRV131071 IBR131071 ILN131071 IVJ131071 JFF131071 JPB131071 JYX131071 KIT131071 KSP131071 LCL131071 LMH131071 LWD131071 MFZ131071 MPV131071 MZR131071 NJN131071 NTJ131071 ODF131071 ONB131071 OWX131071 PGT131071 PQP131071 QAL131071 QKH131071 QUD131071 RDZ131071 RNV131071 RXR131071 SHN131071 SRJ131071 TBF131071 TLB131071 TUX131071 UET131071 UOP131071 UYL131071 VIH131071 VSD131071 WBZ131071 WLV131071 WVR131071 J196607 JF196607 TB196607 ACX196607 AMT196607 AWP196607 BGL196607 BQH196607 CAD196607 CJZ196607 CTV196607 DDR196607 DNN196607 DXJ196607 EHF196607 ERB196607 FAX196607 FKT196607 FUP196607 GEL196607 GOH196607 GYD196607 HHZ196607 HRV196607 IBR196607 ILN196607 IVJ196607 JFF196607 JPB196607 JYX196607 KIT196607 KSP196607 LCL196607 LMH196607 LWD196607 MFZ196607 MPV196607 MZR196607 NJN196607 NTJ196607 ODF196607 ONB196607 OWX196607 PGT196607 PQP196607 QAL196607 QKH196607 QUD196607 RDZ196607 RNV196607 RXR196607 SHN196607 SRJ196607 TBF196607 TLB196607 TUX196607 UET196607 UOP196607 UYL196607 VIH196607 VSD196607 WBZ196607 WLV196607 WVR196607 J262143 JF262143 TB262143 ACX262143 AMT262143 AWP262143 BGL262143 BQH262143 CAD262143 CJZ262143 CTV262143 DDR262143 DNN262143 DXJ262143 EHF262143 ERB262143 FAX262143 FKT262143 FUP262143 GEL262143 GOH262143 GYD262143 HHZ262143 HRV262143 IBR262143 ILN262143 IVJ262143 JFF262143 JPB262143 JYX262143 KIT262143 KSP262143 LCL262143 LMH262143 LWD262143 MFZ262143 MPV262143 MZR262143 NJN262143 NTJ262143 ODF262143 ONB262143 OWX262143 PGT262143 PQP262143 QAL262143 QKH262143 QUD262143 RDZ262143 RNV262143 RXR262143 SHN262143 SRJ262143 TBF262143 TLB262143 TUX262143 UET262143 UOP262143 UYL262143 VIH262143 VSD262143 WBZ262143 WLV262143 WVR262143 J327679 JF327679 TB327679 ACX327679 AMT327679 AWP327679 BGL327679 BQH327679 CAD327679 CJZ327679 CTV327679 DDR327679 DNN327679 DXJ327679 EHF327679 ERB327679 FAX327679 FKT327679 FUP327679 GEL327679 GOH327679 GYD327679 HHZ327679 HRV327679 IBR327679 ILN327679 IVJ327679 JFF327679 JPB327679 JYX327679 KIT327679 KSP327679 LCL327679 LMH327679 LWD327679 MFZ327679 MPV327679 MZR327679 NJN327679 NTJ327679 ODF327679 ONB327679 OWX327679 PGT327679 PQP327679 QAL327679 QKH327679 QUD327679 RDZ327679 RNV327679 RXR327679 SHN327679 SRJ327679 TBF327679 TLB327679 TUX327679 UET327679 UOP327679 UYL327679 VIH327679 VSD327679 WBZ327679 WLV327679 WVR327679 J393215 JF393215 TB393215 ACX393215 AMT393215 AWP393215 BGL393215 BQH393215 CAD393215 CJZ393215 CTV393215 DDR393215 DNN393215 DXJ393215 EHF393215 ERB393215 FAX393215 FKT393215 FUP393215 GEL393215 GOH393215 GYD393215 HHZ393215 HRV393215 IBR393215 ILN393215 IVJ393215 JFF393215 JPB393215 JYX393215 KIT393215 KSP393215 LCL393215 LMH393215 LWD393215 MFZ393215 MPV393215 MZR393215 NJN393215 NTJ393215 ODF393215 ONB393215 OWX393215 PGT393215 PQP393215 QAL393215 QKH393215 QUD393215 RDZ393215 RNV393215 RXR393215 SHN393215 SRJ393215 TBF393215 TLB393215 TUX393215 UET393215 UOP393215 UYL393215 VIH393215 VSD393215 WBZ393215 WLV393215 WVR393215 J458751 JF458751 TB458751 ACX458751 AMT458751 AWP458751 BGL458751 BQH458751 CAD458751 CJZ458751 CTV458751 DDR458751 DNN458751 DXJ458751 EHF458751 ERB458751 FAX458751 FKT458751 FUP458751 GEL458751 GOH458751 GYD458751 HHZ458751 HRV458751 IBR458751 ILN458751 IVJ458751 JFF458751 JPB458751 JYX458751 KIT458751 KSP458751 LCL458751 LMH458751 LWD458751 MFZ458751 MPV458751 MZR458751 NJN458751 NTJ458751 ODF458751 ONB458751 OWX458751 PGT458751 PQP458751 QAL458751 QKH458751 QUD458751 RDZ458751 RNV458751 RXR458751 SHN458751 SRJ458751 TBF458751 TLB458751 TUX458751 UET458751 UOP458751 UYL458751 VIH458751 VSD458751 WBZ458751 WLV458751 WVR458751 J524287 JF524287 TB524287 ACX524287 AMT524287 AWP524287 BGL524287 BQH524287 CAD524287 CJZ524287 CTV524287 DDR524287 DNN524287 DXJ524287 EHF524287 ERB524287 FAX524287 FKT524287 FUP524287 GEL524287 GOH524287 GYD524287 HHZ524287 HRV524287 IBR524287 ILN524287 IVJ524287 JFF524287 JPB524287 JYX524287 KIT524287 KSP524287 LCL524287 LMH524287 LWD524287 MFZ524287 MPV524287 MZR524287 NJN524287 NTJ524287 ODF524287 ONB524287 OWX524287 PGT524287 PQP524287 QAL524287 QKH524287 QUD524287 RDZ524287 RNV524287 RXR524287 SHN524287 SRJ524287 TBF524287 TLB524287 TUX524287 UET524287 UOP524287 UYL524287 VIH524287 VSD524287 WBZ524287 WLV524287 WVR524287 J589823 JF589823 TB589823 ACX589823 AMT589823 AWP589823 BGL589823 BQH589823 CAD589823 CJZ589823 CTV589823 DDR589823 DNN589823 DXJ589823 EHF589823 ERB589823 FAX589823 FKT589823 FUP589823 GEL589823 GOH589823 GYD589823 HHZ589823 HRV589823 IBR589823 ILN589823 IVJ589823 JFF589823 JPB589823 JYX589823 KIT589823 KSP589823 LCL589823 LMH589823 LWD589823 MFZ589823 MPV589823 MZR589823 NJN589823 NTJ589823 ODF589823 ONB589823 OWX589823 PGT589823 PQP589823 QAL589823 QKH589823 QUD589823 RDZ589823 RNV589823 RXR589823 SHN589823 SRJ589823 TBF589823 TLB589823 TUX589823 UET589823 UOP589823 UYL589823 VIH589823 VSD589823 WBZ589823 WLV589823 WVR589823 J655359 JF655359 TB655359 ACX655359 AMT655359 AWP655359 BGL655359 BQH655359 CAD655359 CJZ655359 CTV655359 DDR655359 DNN655359 DXJ655359 EHF655359 ERB655359 FAX655359 FKT655359 FUP655359 GEL655359 GOH655359 GYD655359 HHZ655359 HRV655359 IBR655359 ILN655359 IVJ655359 JFF655359 JPB655359 JYX655359 KIT655359 KSP655359 LCL655359 LMH655359 LWD655359 MFZ655359 MPV655359 MZR655359 NJN655359 NTJ655359 ODF655359 ONB655359 OWX655359 PGT655359 PQP655359 QAL655359 QKH655359 QUD655359 RDZ655359 RNV655359 RXR655359 SHN655359 SRJ655359 TBF655359 TLB655359 TUX655359 UET655359 UOP655359 UYL655359 VIH655359 VSD655359 WBZ655359 WLV655359 WVR655359 J720895 JF720895 TB720895 ACX720895 AMT720895 AWP720895 BGL720895 BQH720895 CAD720895 CJZ720895 CTV720895 DDR720895 DNN720895 DXJ720895 EHF720895 ERB720895 FAX720895 FKT720895 FUP720895 GEL720895 GOH720895 GYD720895 HHZ720895 HRV720895 IBR720895 ILN720895 IVJ720895 JFF720895 JPB720895 JYX720895 KIT720895 KSP720895 LCL720895 LMH720895 LWD720895 MFZ720895 MPV720895 MZR720895 NJN720895 NTJ720895 ODF720895 ONB720895 OWX720895 PGT720895 PQP720895 QAL720895 QKH720895 QUD720895 RDZ720895 RNV720895 RXR720895 SHN720895 SRJ720895 TBF720895 TLB720895 TUX720895 UET720895 UOP720895 UYL720895 VIH720895 VSD720895 WBZ720895 WLV720895 WVR720895 J786431 JF786431 TB786431 ACX786431 AMT786431 AWP786431 BGL786431 BQH786431 CAD786431 CJZ786431 CTV786431 DDR786431 DNN786431 DXJ786431 EHF786431 ERB786431 FAX786431 FKT786431 FUP786431 GEL786431 GOH786431 GYD786431 HHZ786431 HRV786431 IBR786431 ILN786431 IVJ786431 JFF786431 JPB786431 JYX786431 KIT786431 KSP786431 LCL786431 LMH786431 LWD786431 MFZ786431 MPV786431 MZR786431 NJN786431 NTJ786431 ODF786431 ONB786431 OWX786431 PGT786431 PQP786431 QAL786431 QKH786431 QUD786431 RDZ786431 RNV786431 RXR786431 SHN786431 SRJ786431 TBF786431 TLB786431 TUX786431 UET786431 UOP786431 UYL786431 VIH786431 VSD786431 WBZ786431 WLV786431 WVR786431 J851967 JF851967 TB851967 ACX851967 AMT851967 AWP851967 BGL851967 BQH851967 CAD851967 CJZ851967 CTV851967 DDR851967 DNN851967 DXJ851967 EHF851967 ERB851967 FAX851967 FKT851967 FUP851967 GEL851967 GOH851967 GYD851967 HHZ851967 HRV851967 IBR851967 ILN851967 IVJ851967 JFF851967 JPB851967 JYX851967 KIT851967 KSP851967 LCL851967 LMH851967 LWD851967 MFZ851967 MPV851967 MZR851967 NJN851967 NTJ851967 ODF851967 ONB851967 OWX851967 PGT851967 PQP851967 QAL851967 QKH851967 QUD851967 RDZ851967 RNV851967 RXR851967 SHN851967 SRJ851967 TBF851967 TLB851967 TUX851967 UET851967 UOP851967 UYL851967 VIH851967 VSD851967 WBZ851967 WLV851967 WVR851967 J917503 JF917503 TB917503 ACX917503 AMT917503 AWP917503 BGL917503 BQH917503 CAD917503 CJZ917503 CTV917503 DDR917503 DNN917503 DXJ917503 EHF917503 ERB917503 FAX917503 FKT917503 FUP917503 GEL917503 GOH917503 GYD917503 HHZ917503 HRV917503 IBR917503 ILN917503 IVJ917503 JFF917503 JPB917503 JYX917503 KIT917503 KSP917503 LCL917503 LMH917503 LWD917503 MFZ917503 MPV917503 MZR917503 NJN917503 NTJ917503 ODF917503 ONB917503 OWX917503 PGT917503 PQP917503 QAL917503 QKH917503 QUD917503 RDZ917503 RNV917503 RXR917503 SHN917503 SRJ917503 TBF917503 TLB917503 TUX917503 UET917503 UOP917503 UYL917503 VIH917503 VSD917503 WBZ917503 WLV917503 WVR917503 J983039 JF983039 TB983039 ACX983039 AMT983039 AWP983039 BGL983039 BQH983039 CAD983039 CJZ983039 CTV983039 DDR983039 DNN983039 DXJ983039 EHF983039 ERB983039 FAX983039 FKT983039 FUP983039 GEL983039 GOH983039 GYD983039 HHZ983039 HRV983039 IBR983039 ILN983039 IVJ983039 JFF983039 JPB983039 JYX983039 KIT983039 KSP983039 LCL983039 LMH983039 LWD983039 MFZ983039 MPV983039 MZR983039 NJN983039 NTJ983039 ODF983039 ONB983039 OWX983039 PGT983039 PQP983039 QAL983039 QKH983039 QUD983039 RDZ983039 RNV983039 RXR983039 SHN983039 SRJ983039 TBF983039 TLB983039 TUX983039 UET983039 UOP983039 UYL983039 VIH983039 VSD983039 WBZ983039 WLV983039 WVR983039"/>
  </dataValidations>
  <pageMargins left="0.70866141732283472" right="0.70866141732283472" top="0.74803149606299213" bottom="0.74803149606299213" header="0.31496062992125984" footer="0.31496062992125984"/>
  <pageSetup paperSize="9" scale="8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topLeftCell="C1" zoomScaleNormal="100" workbookViewId="0">
      <selection activeCell="C3" sqref="C3:I18"/>
    </sheetView>
  </sheetViews>
  <sheetFormatPr baseColWidth="10" defaultColWidth="9.28515625" defaultRowHeight="11.25"/>
  <cols>
    <col min="1" max="1" width="6.85546875" style="215" customWidth="1"/>
    <col min="2" max="2" width="39.5703125" style="215" customWidth="1"/>
    <col min="3" max="9" width="13.85546875" style="215" customWidth="1"/>
    <col min="10" max="256" width="9.28515625" style="208"/>
    <col min="257" max="257" width="6.85546875" style="208" customWidth="1"/>
    <col min="258" max="258" width="39.5703125" style="208" customWidth="1"/>
    <col min="259" max="265" width="13.85546875" style="208" customWidth="1"/>
    <col min="266" max="512" width="9.28515625" style="208"/>
    <col min="513" max="513" width="6.85546875" style="208" customWidth="1"/>
    <col min="514" max="514" width="39.5703125" style="208" customWidth="1"/>
    <col min="515" max="521" width="13.85546875" style="208" customWidth="1"/>
    <col min="522" max="768" width="9.28515625" style="208"/>
    <col min="769" max="769" width="6.85546875" style="208" customWidth="1"/>
    <col min="770" max="770" width="39.5703125" style="208" customWidth="1"/>
    <col min="771" max="777" width="13.85546875" style="208" customWidth="1"/>
    <col min="778" max="1024" width="9.28515625" style="208"/>
    <col min="1025" max="1025" width="6.85546875" style="208" customWidth="1"/>
    <col min="1026" max="1026" width="39.5703125" style="208" customWidth="1"/>
    <col min="1027" max="1033" width="13.85546875" style="208" customWidth="1"/>
    <col min="1034" max="1280" width="9.28515625" style="208"/>
    <col min="1281" max="1281" width="6.85546875" style="208" customWidth="1"/>
    <col min="1282" max="1282" width="39.5703125" style="208" customWidth="1"/>
    <col min="1283" max="1289" width="13.85546875" style="208" customWidth="1"/>
    <col min="1290" max="1536" width="9.28515625" style="208"/>
    <col min="1537" max="1537" width="6.85546875" style="208" customWidth="1"/>
    <col min="1538" max="1538" width="39.5703125" style="208" customWidth="1"/>
    <col min="1539" max="1545" width="13.85546875" style="208" customWidth="1"/>
    <col min="1546" max="1792" width="9.28515625" style="208"/>
    <col min="1793" max="1793" width="6.85546875" style="208" customWidth="1"/>
    <col min="1794" max="1794" width="39.5703125" style="208" customWidth="1"/>
    <col min="1795" max="1801" width="13.85546875" style="208" customWidth="1"/>
    <col min="1802" max="2048" width="9.28515625" style="208"/>
    <col min="2049" max="2049" width="6.85546875" style="208" customWidth="1"/>
    <col min="2050" max="2050" width="39.5703125" style="208" customWidth="1"/>
    <col min="2051" max="2057" width="13.85546875" style="208" customWidth="1"/>
    <col min="2058" max="2304" width="9.28515625" style="208"/>
    <col min="2305" max="2305" width="6.85546875" style="208" customWidth="1"/>
    <col min="2306" max="2306" width="39.5703125" style="208" customWidth="1"/>
    <col min="2307" max="2313" width="13.85546875" style="208" customWidth="1"/>
    <col min="2314" max="2560" width="9.28515625" style="208"/>
    <col min="2561" max="2561" width="6.85546875" style="208" customWidth="1"/>
    <col min="2562" max="2562" width="39.5703125" style="208" customWidth="1"/>
    <col min="2563" max="2569" width="13.85546875" style="208" customWidth="1"/>
    <col min="2570" max="2816" width="9.28515625" style="208"/>
    <col min="2817" max="2817" width="6.85546875" style="208" customWidth="1"/>
    <col min="2818" max="2818" width="39.5703125" style="208" customWidth="1"/>
    <col min="2819" max="2825" width="13.85546875" style="208" customWidth="1"/>
    <col min="2826" max="3072" width="9.28515625" style="208"/>
    <col min="3073" max="3073" width="6.85546875" style="208" customWidth="1"/>
    <col min="3074" max="3074" width="39.5703125" style="208" customWidth="1"/>
    <col min="3075" max="3081" width="13.85546875" style="208" customWidth="1"/>
    <col min="3082" max="3328" width="9.28515625" style="208"/>
    <col min="3329" max="3329" width="6.85546875" style="208" customWidth="1"/>
    <col min="3330" max="3330" width="39.5703125" style="208" customWidth="1"/>
    <col min="3331" max="3337" width="13.85546875" style="208" customWidth="1"/>
    <col min="3338" max="3584" width="9.28515625" style="208"/>
    <col min="3585" max="3585" width="6.85546875" style="208" customWidth="1"/>
    <col min="3586" max="3586" width="39.5703125" style="208" customWidth="1"/>
    <col min="3587" max="3593" width="13.85546875" style="208" customWidth="1"/>
    <col min="3594" max="3840" width="9.28515625" style="208"/>
    <col min="3841" max="3841" width="6.85546875" style="208" customWidth="1"/>
    <col min="3842" max="3842" width="39.5703125" style="208" customWidth="1"/>
    <col min="3843" max="3849" width="13.85546875" style="208" customWidth="1"/>
    <col min="3850" max="4096" width="9.28515625" style="208"/>
    <col min="4097" max="4097" width="6.85546875" style="208" customWidth="1"/>
    <col min="4098" max="4098" width="39.5703125" style="208" customWidth="1"/>
    <col min="4099" max="4105" width="13.85546875" style="208" customWidth="1"/>
    <col min="4106" max="4352" width="9.28515625" style="208"/>
    <col min="4353" max="4353" width="6.85546875" style="208" customWidth="1"/>
    <col min="4354" max="4354" width="39.5703125" style="208" customWidth="1"/>
    <col min="4355" max="4361" width="13.85546875" style="208" customWidth="1"/>
    <col min="4362" max="4608" width="9.28515625" style="208"/>
    <col min="4609" max="4609" width="6.85546875" style="208" customWidth="1"/>
    <col min="4610" max="4610" width="39.5703125" style="208" customWidth="1"/>
    <col min="4611" max="4617" width="13.85546875" style="208" customWidth="1"/>
    <col min="4618" max="4864" width="9.28515625" style="208"/>
    <col min="4865" max="4865" width="6.85546875" style="208" customWidth="1"/>
    <col min="4866" max="4866" width="39.5703125" style="208" customWidth="1"/>
    <col min="4867" max="4873" width="13.85546875" style="208" customWidth="1"/>
    <col min="4874" max="5120" width="9.28515625" style="208"/>
    <col min="5121" max="5121" width="6.85546875" style="208" customWidth="1"/>
    <col min="5122" max="5122" width="39.5703125" style="208" customWidth="1"/>
    <col min="5123" max="5129" width="13.85546875" style="208" customWidth="1"/>
    <col min="5130" max="5376" width="9.28515625" style="208"/>
    <col min="5377" max="5377" width="6.85546875" style="208" customWidth="1"/>
    <col min="5378" max="5378" width="39.5703125" style="208" customWidth="1"/>
    <col min="5379" max="5385" width="13.85546875" style="208" customWidth="1"/>
    <col min="5386" max="5632" width="9.28515625" style="208"/>
    <col min="5633" max="5633" width="6.85546875" style="208" customWidth="1"/>
    <col min="5634" max="5634" width="39.5703125" style="208" customWidth="1"/>
    <col min="5635" max="5641" width="13.85546875" style="208" customWidth="1"/>
    <col min="5642" max="5888" width="9.28515625" style="208"/>
    <col min="5889" max="5889" width="6.85546875" style="208" customWidth="1"/>
    <col min="5890" max="5890" width="39.5703125" style="208" customWidth="1"/>
    <col min="5891" max="5897" width="13.85546875" style="208" customWidth="1"/>
    <col min="5898" max="6144" width="9.28515625" style="208"/>
    <col min="6145" max="6145" width="6.85546875" style="208" customWidth="1"/>
    <col min="6146" max="6146" width="39.5703125" style="208" customWidth="1"/>
    <col min="6147" max="6153" width="13.85546875" style="208" customWidth="1"/>
    <col min="6154" max="6400" width="9.28515625" style="208"/>
    <col min="6401" max="6401" width="6.85546875" style="208" customWidth="1"/>
    <col min="6402" max="6402" width="39.5703125" style="208" customWidth="1"/>
    <col min="6403" max="6409" width="13.85546875" style="208" customWidth="1"/>
    <col min="6410" max="6656" width="9.28515625" style="208"/>
    <col min="6657" max="6657" width="6.85546875" style="208" customWidth="1"/>
    <col min="6658" max="6658" width="39.5703125" style="208" customWidth="1"/>
    <col min="6659" max="6665" width="13.85546875" style="208" customWidth="1"/>
    <col min="6666" max="6912" width="9.28515625" style="208"/>
    <col min="6913" max="6913" width="6.85546875" style="208" customWidth="1"/>
    <col min="6914" max="6914" width="39.5703125" style="208" customWidth="1"/>
    <col min="6915" max="6921" width="13.85546875" style="208" customWidth="1"/>
    <col min="6922" max="7168" width="9.28515625" style="208"/>
    <col min="7169" max="7169" width="6.85546875" style="208" customWidth="1"/>
    <col min="7170" max="7170" width="39.5703125" style="208" customWidth="1"/>
    <col min="7171" max="7177" width="13.85546875" style="208" customWidth="1"/>
    <col min="7178" max="7424" width="9.28515625" style="208"/>
    <col min="7425" max="7425" width="6.85546875" style="208" customWidth="1"/>
    <col min="7426" max="7426" width="39.5703125" style="208" customWidth="1"/>
    <col min="7427" max="7433" width="13.85546875" style="208" customWidth="1"/>
    <col min="7434" max="7680" width="9.28515625" style="208"/>
    <col min="7681" max="7681" width="6.85546875" style="208" customWidth="1"/>
    <col min="7682" max="7682" width="39.5703125" style="208" customWidth="1"/>
    <col min="7683" max="7689" width="13.85546875" style="208" customWidth="1"/>
    <col min="7690" max="7936" width="9.28515625" style="208"/>
    <col min="7937" max="7937" width="6.85546875" style="208" customWidth="1"/>
    <col min="7938" max="7938" width="39.5703125" style="208" customWidth="1"/>
    <col min="7939" max="7945" width="13.85546875" style="208" customWidth="1"/>
    <col min="7946" max="8192" width="9.28515625" style="208"/>
    <col min="8193" max="8193" width="6.85546875" style="208" customWidth="1"/>
    <col min="8194" max="8194" width="39.5703125" style="208" customWidth="1"/>
    <col min="8195" max="8201" width="13.85546875" style="208" customWidth="1"/>
    <col min="8202" max="8448" width="9.28515625" style="208"/>
    <col min="8449" max="8449" width="6.85546875" style="208" customWidth="1"/>
    <col min="8450" max="8450" width="39.5703125" style="208" customWidth="1"/>
    <col min="8451" max="8457" width="13.85546875" style="208" customWidth="1"/>
    <col min="8458" max="8704" width="9.28515625" style="208"/>
    <col min="8705" max="8705" width="6.85546875" style="208" customWidth="1"/>
    <col min="8706" max="8706" width="39.5703125" style="208" customWidth="1"/>
    <col min="8707" max="8713" width="13.85546875" style="208" customWidth="1"/>
    <col min="8714" max="8960" width="9.28515625" style="208"/>
    <col min="8961" max="8961" width="6.85546875" style="208" customWidth="1"/>
    <col min="8962" max="8962" width="39.5703125" style="208" customWidth="1"/>
    <col min="8963" max="8969" width="13.85546875" style="208" customWidth="1"/>
    <col min="8970" max="9216" width="9.28515625" style="208"/>
    <col min="9217" max="9217" width="6.85546875" style="208" customWidth="1"/>
    <col min="9218" max="9218" width="39.5703125" style="208" customWidth="1"/>
    <col min="9219" max="9225" width="13.85546875" style="208" customWidth="1"/>
    <col min="9226" max="9472" width="9.28515625" style="208"/>
    <col min="9473" max="9473" width="6.85546875" style="208" customWidth="1"/>
    <col min="9474" max="9474" width="39.5703125" style="208" customWidth="1"/>
    <col min="9475" max="9481" width="13.85546875" style="208" customWidth="1"/>
    <col min="9482" max="9728" width="9.28515625" style="208"/>
    <col min="9729" max="9729" width="6.85546875" style="208" customWidth="1"/>
    <col min="9730" max="9730" width="39.5703125" style="208" customWidth="1"/>
    <col min="9731" max="9737" width="13.85546875" style="208" customWidth="1"/>
    <col min="9738" max="9984" width="9.28515625" style="208"/>
    <col min="9985" max="9985" width="6.85546875" style="208" customWidth="1"/>
    <col min="9986" max="9986" width="39.5703125" style="208" customWidth="1"/>
    <col min="9987" max="9993" width="13.85546875" style="208" customWidth="1"/>
    <col min="9994" max="10240" width="9.28515625" style="208"/>
    <col min="10241" max="10241" width="6.85546875" style="208" customWidth="1"/>
    <col min="10242" max="10242" width="39.5703125" style="208" customWidth="1"/>
    <col min="10243" max="10249" width="13.85546875" style="208" customWidth="1"/>
    <col min="10250" max="10496" width="9.28515625" style="208"/>
    <col min="10497" max="10497" width="6.85546875" style="208" customWidth="1"/>
    <col min="10498" max="10498" width="39.5703125" style="208" customWidth="1"/>
    <col min="10499" max="10505" width="13.85546875" style="208" customWidth="1"/>
    <col min="10506" max="10752" width="9.28515625" style="208"/>
    <col min="10753" max="10753" width="6.85546875" style="208" customWidth="1"/>
    <col min="10754" max="10754" width="39.5703125" style="208" customWidth="1"/>
    <col min="10755" max="10761" width="13.85546875" style="208" customWidth="1"/>
    <col min="10762" max="11008" width="9.28515625" style="208"/>
    <col min="11009" max="11009" width="6.85546875" style="208" customWidth="1"/>
    <col min="11010" max="11010" width="39.5703125" style="208" customWidth="1"/>
    <col min="11011" max="11017" width="13.85546875" style="208" customWidth="1"/>
    <col min="11018" max="11264" width="9.28515625" style="208"/>
    <col min="11265" max="11265" width="6.85546875" style="208" customWidth="1"/>
    <col min="11266" max="11266" width="39.5703125" style="208" customWidth="1"/>
    <col min="11267" max="11273" width="13.85546875" style="208" customWidth="1"/>
    <col min="11274" max="11520" width="9.28515625" style="208"/>
    <col min="11521" max="11521" width="6.85546875" style="208" customWidth="1"/>
    <col min="11522" max="11522" width="39.5703125" style="208" customWidth="1"/>
    <col min="11523" max="11529" width="13.85546875" style="208" customWidth="1"/>
    <col min="11530" max="11776" width="9.28515625" style="208"/>
    <col min="11777" max="11777" width="6.85546875" style="208" customWidth="1"/>
    <col min="11778" max="11778" width="39.5703125" style="208" customWidth="1"/>
    <col min="11779" max="11785" width="13.85546875" style="208" customWidth="1"/>
    <col min="11786" max="12032" width="9.28515625" style="208"/>
    <col min="12033" max="12033" width="6.85546875" style="208" customWidth="1"/>
    <col min="12034" max="12034" width="39.5703125" style="208" customWidth="1"/>
    <col min="12035" max="12041" width="13.85546875" style="208" customWidth="1"/>
    <col min="12042" max="12288" width="9.28515625" style="208"/>
    <col min="12289" max="12289" width="6.85546875" style="208" customWidth="1"/>
    <col min="12290" max="12290" width="39.5703125" style="208" customWidth="1"/>
    <col min="12291" max="12297" width="13.85546875" style="208" customWidth="1"/>
    <col min="12298" max="12544" width="9.28515625" style="208"/>
    <col min="12545" max="12545" width="6.85546875" style="208" customWidth="1"/>
    <col min="12546" max="12546" width="39.5703125" style="208" customWidth="1"/>
    <col min="12547" max="12553" width="13.85546875" style="208" customWidth="1"/>
    <col min="12554" max="12800" width="9.28515625" style="208"/>
    <col min="12801" max="12801" width="6.85546875" style="208" customWidth="1"/>
    <col min="12802" max="12802" width="39.5703125" style="208" customWidth="1"/>
    <col min="12803" max="12809" width="13.85546875" style="208" customWidth="1"/>
    <col min="12810" max="13056" width="9.28515625" style="208"/>
    <col min="13057" max="13057" width="6.85546875" style="208" customWidth="1"/>
    <col min="13058" max="13058" width="39.5703125" style="208" customWidth="1"/>
    <col min="13059" max="13065" width="13.85546875" style="208" customWidth="1"/>
    <col min="13066" max="13312" width="9.28515625" style="208"/>
    <col min="13313" max="13313" width="6.85546875" style="208" customWidth="1"/>
    <col min="13314" max="13314" width="39.5703125" style="208" customWidth="1"/>
    <col min="13315" max="13321" width="13.85546875" style="208" customWidth="1"/>
    <col min="13322" max="13568" width="9.28515625" style="208"/>
    <col min="13569" max="13569" width="6.85546875" style="208" customWidth="1"/>
    <col min="13570" max="13570" width="39.5703125" style="208" customWidth="1"/>
    <col min="13571" max="13577" width="13.85546875" style="208" customWidth="1"/>
    <col min="13578" max="13824" width="9.28515625" style="208"/>
    <col min="13825" max="13825" width="6.85546875" style="208" customWidth="1"/>
    <col min="13826" max="13826" width="39.5703125" style="208" customWidth="1"/>
    <col min="13827" max="13833" width="13.85546875" style="208" customWidth="1"/>
    <col min="13834" max="14080" width="9.28515625" style="208"/>
    <col min="14081" max="14081" width="6.85546875" style="208" customWidth="1"/>
    <col min="14082" max="14082" width="39.5703125" style="208" customWidth="1"/>
    <col min="14083" max="14089" width="13.85546875" style="208" customWidth="1"/>
    <col min="14090" max="14336" width="9.28515625" style="208"/>
    <col min="14337" max="14337" width="6.85546875" style="208" customWidth="1"/>
    <col min="14338" max="14338" width="39.5703125" style="208" customWidth="1"/>
    <col min="14339" max="14345" width="13.85546875" style="208" customWidth="1"/>
    <col min="14346" max="14592" width="9.28515625" style="208"/>
    <col min="14593" max="14593" width="6.85546875" style="208" customWidth="1"/>
    <col min="14594" max="14594" width="39.5703125" style="208" customWidth="1"/>
    <col min="14595" max="14601" width="13.85546875" style="208" customWidth="1"/>
    <col min="14602" max="14848" width="9.28515625" style="208"/>
    <col min="14849" max="14849" width="6.85546875" style="208" customWidth="1"/>
    <col min="14850" max="14850" width="39.5703125" style="208" customWidth="1"/>
    <col min="14851" max="14857" width="13.85546875" style="208" customWidth="1"/>
    <col min="14858" max="15104" width="9.28515625" style="208"/>
    <col min="15105" max="15105" width="6.85546875" style="208" customWidth="1"/>
    <col min="15106" max="15106" width="39.5703125" style="208" customWidth="1"/>
    <col min="15107" max="15113" width="13.85546875" style="208" customWidth="1"/>
    <col min="15114" max="15360" width="9.28515625" style="208"/>
    <col min="15361" max="15361" width="6.85546875" style="208" customWidth="1"/>
    <col min="15362" max="15362" width="39.5703125" style="208" customWidth="1"/>
    <col min="15363" max="15369" width="13.85546875" style="208" customWidth="1"/>
    <col min="15370" max="15616" width="9.28515625" style="208"/>
    <col min="15617" max="15617" width="6.85546875" style="208" customWidth="1"/>
    <col min="15618" max="15618" width="39.5703125" style="208" customWidth="1"/>
    <col min="15619" max="15625" width="13.85546875" style="208" customWidth="1"/>
    <col min="15626" max="15872" width="9.28515625" style="208"/>
    <col min="15873" max="15873" width="6.85546875" style="208" customWidth="1"/>
    <col min="15874" max="15874" width="39.5703125" style="208" customWidth="1"/>
    <col min="15875" max="15881" width="13.85546875" style="208" customWidth="1"/>
    <col min="15882" max="16128" width="9.28515625" style="208"/>
    <col min="16129" max="16129" width="6.85546875" style="208" customWidth="1"/>
    <col min="16130" max="16130" width="39.5703125" style="208" customWidth="1"/>
    <col min="16131" max="16137" width="13.85546875" style="208" customWidth="1"/>
    <col min="16138" max="16384" width="9.28515625" style="208"/>
  </cols>
  <sheetData>
    <row r="1" spans="1:9" s="209" customFormat="1" ht="35.1" customHeight="1">
      <c r="A1" s="1016" t="str">
        <f>+Títulos!$B$2&amp;"
ESTADO ANALITICO DE INGRESOS POR RUBRO
DEL 01 DE ENERO AL "&amp;Títulos!$B$3</f>
        <v>TRIBUNAL DE JUSTICIA ADMINISTRATIVA
ESTADO ANALITICO DE INGRESOS POR RUBRO
DEL 01 DE ENERO AL 31 DE DICIEMBRE DE 2017</v>
      </c>
      <c r="B1" s="1017"/>
      <c r="C1" s="1017"/>
      <c r="D1" s="1017"/>
      <c r="E1" s="1017"/>
      <c r="F1" s="1017"/>
      <c r="G1" s="1017"/>
      <c r="H1" s="1017"/>
      <c r="I1" s="1018"/>
    </row>
    <row r="2" spans="1:9" s="213" customFormat="1" ht="24.95" customHeight="1">
      <c r="A2" s="210" t="s">
        <v>227</v>
      </c>
      <c r="B2" s="210" t="s">
        <v>71</v>
      </c>
      <c r="C2" s="211" t="s">
        <v>228</v>
      </c>
      <c r="D2" s="211" t="s">
        <v>229</v>
      </c>
      <c r="E2" s="211" t="s">
        <v>230</v>
      </c>
      <c r="F2" s="211" t="s">
        <v>231</v>
      </c>
      <c r="G2" s="211" t="s">
        <v>232</v>
      </c>
      <c r="H2" s="211" t="s">
        <v>233</v>
      </c>
      <c r="I2" s="212" t="s">
        <v>234</v>
      </c>
    </row>
    <row r="3" spans="1:9" s="215" customFormat="1">
      <c r="A3" s="895">
        <v>90001</v>
      </c>
      <c r="B3" s="896" t="s">
        <v>235</v>
      </c>
      <c r="C3" s="332">
        <f>SUM(C4:C8)+C11+SUM(C15:C18)</f>
        <v>80405840.510000005</v>
      </c>
      <c r="D3" s="332">
        <f t="shared" ref="D3:I3" si="0">SUM(D4:D8)+D11+SUM(D15:D18)</f>
        <v>8457903.8100000005</v>
      </c>
      <c r="E3" s="332">
        <f t="shared" si="0"/>
        <v>88863744.320000008</v>
      </c>
      <c r="F3" s="332">
        <f t="shared" si="0"/>
        <v>88863739.419999987</v>
      </c>
      <c r="G3" s="332">
        <f t="shared" si="0"/>
        <v>88863739.419999987</v>
      </c>
      <c r="H3" s="332">
        <f t="shared" si="0"/>
        <v>8457898.9099999797</v>
      </c>
      <c r="I3" s="332">
        <f t="shared" si="0"/>
        <v>8457898.9099999797</v>
      </c>
    </row>
    <row r="4" spans="1:9" s="215" customFormat="1">
      <c r="A4" s="669">
        <v>10</v>
      </c>
      <c r="B4" s="208" t="s">
        <v>102</v>
      </c>
      <c r="C4" s="333">
        <f t="shared" ref="C4:C18" si="1">SUMIF(pi_cri,MID(A4,1,1)&amp;"*",pi_e)</f>
        <v>0</v>
      </c>
      <c r="D4" s="333">
        <f t="shared" ref="D4:D18" si="2">SUMIF(pi_cri,MID(A4,1,1)&amp;"*",pi_m)</f>
        <v>0</v>
      </c>
      <c r="E4" s="333">
        <f>+C4+D4</f>
        <v>0</v>
      </c>
      <c r="F4" s="333">
        <f t="shared" ref="F4:F18" si="3">SUMIF(pi_cri,MID(A4,1,1)&amp;"*",pi_d)</f>
        <v>0</v>
      </c>
      <c r="G4" s="333">
        <f t="shared" ref="G4:G18" si="4">SUMIF(pi_cri,MID(A4,1,1)&amp;"*",pi_r)</f>
        <v>0</v>
      </c>
      <c r="H4" s="333">
        <f>+G4-C4</f>
        <v>0</v>
      </c>
      <c r="I4" s="333">
        <f>IF(H4&gt;0,H4,0)</f>
        <v>0</v>
      </c>
    </row>
    <row r="5" spans="1:9" s="215" customFormat="1">
      <c r="A5" s="669">
        <v>20</v>
      </c>
      <c r="B5" s="208" t="s">
        <v>103</v>
      </c>
      <c r="C5" s="333">
        <f t="shared" si="1"/>
        <v>0</v>
      </c>
      <c r="D5" s="333">
        <f t="shared" si="2"/>
        <v>0</v>
      </c>
      <c r="E5" s="333">
        <f t="shared" ref="E5:E18" si="5">+C5+D5</f>
        <v>0</v>
      </c>
      <c r="F5" s="333">
        <f t="shared" si="3"/>
        <v>0</v>
      </c>
      <c r="G5" s="333">
        <f t="shared" si="4"/>
        <v>0</v>
      </c>
      <c r="H5" s="333">
        <f t="shared" ref="H5:H18" si="6">+G5-C5</f>
        <v>0</v>
      </c>
      <c r="I5" s="333">
        <f t="shared" ref="I5:I18" si="7">IF(H5&gt;0,H5,0)</f>
        <v>0</v>
      </c>
    </row>
    <row r="6" spans="1:9" s="215" customFormat="1">
      <c r="A6" s="669">
        <v>30</v>
      </c>
      <c r="B6" s="208" t="s">
        <v>236</v>
      </c>
      <c r="C6" s="333">
        <f t="shared" si="1"/>
        <v>0</v>
      </c>
      <c r="D6" s="333">
        <f t="shared" si="2"/>
        <v>0</v>
      </c>
      <c r="E6" s="333">
        <f t="shared" si="5"/>
        <v>0</v>
      </c>
      <c r="F6" s="333">
        <f t="shared" si="3"/>
        <v>0</v>
      </c>
      <c r="G6" s="333">
        <f t="shared" si="4"/>
        <v>0</v>
      </c>
      <c r="H6" s="333">
        <f t="shared" si="6"/>
        <v>0</v>
      </c>
      <c r="I6" s="333">
        <f t="shared" si="7"/>
        <v>0</v>
      </c>
    </row>
    <row r="7" spans="1:9" s="215" customFormat="1">
      <c r="A7" s="669">
        <v>40</v>
      </c>
      <c r="B7" s="208" t="s">
        <v>105</v>
      </c>
      <c r="C7" s="333">
        <f t="shared" si="1"/>
        <v>0</v>
      </c>
      <c r="D7" s="333">
        <f t="shared" si="2"/>
        <v>0</v>
      </c>
      <c r="E7" s="333">
        <f t="shared" si="5"/>
        <v>0</v>
      </c>
      <c r="F7" s="333">
        <f t="shared" si="3"/>
        <v>0</v>
      </c>
      <c r="G7" s="333">
        <f t="shared" si="4"/>
        <v>0</v>
      </c>
      <c r="H7" s="333">
        <f t="shared" si="6"/>
        <v>0</v>
      </c>
      <c r="I7" s="333">
        <f t="shared" si="7"/>
        <v>0</v>
      </c>
    </row>
    <row r="8" spans="1:9" s="215" customFormat="1">
      <c r="A8" s="669">
        <v>50</v>
      </c>
      <c r="B8" s="208" t="s">
        <v>237</v>
      </c>
      <c r="C8" s="333">
        <f t="shared" si="1"/>
        <v>0</v>
      </c>
      <c r="D8" s="333">
        <f t="shared" si="2"/>
        <v>0</v>
      </c>
      <c r="E8" s="333">
        <f t="shared" si="5"/>
        <v>0</v>
      </c>
      <c r="F8" s="333">
        <f t="shared" si="3"/>
        <v>0</v>
      </c>
      <c r="G8" s="333">
        <f t="shared" si="4"/>
        <v>0</v>
      </c>
      <c r="H8" s="333">
        <f t="shared" si="6"/>
        <v>0</v>
      </c>
      <c r="I8" s="333">
        <f t="shared" si="7"/>
        <v>0</v>
      </c>
    </row>
    <row r="9" spans="1:9" s="215" customFormat="1">
      <c r="A9" s="669">
        <v>51</v>
      </c>
      <c r="B9" s="3" t="s">
        <v>238</v>
      </c>
      <c r="C9" s="333">
        <f t="shared" si="1"/>
        <v>0</v>
      </c>
      <c r="D9" s="333">
        <f t="shared" si="2"/>
        <v>0</v>
      </c>
      <c r="E9" s="333">
        <f t="shared" si="5"/>
        <v>0</v>
      </c>
      <c r="F9" s="333">
        <f t="shared" si="3"/>
        <v>0</v>
      </c>
      <c r="G9" s="333">
        <f t="shared" si="4"/>
        <v>0</v>
      </c>
      <c r="H9" s="333">
        <f t="shared" si="6"/>
        <v>0</v>
      </c>
      <c r="I9" s="333">
        <f t="shared" si="7"/>
        <v>0</v>
      </c>
    </row>
    <row r="10" spans="1:9" s="215" customFormat="1">
      <c r="A10" s="669">
        <v>52</v>
      </c>
      <c r="B10" s="3" t="s">
        <v>239</v>
      </c>
      <c r="C10" s="333">
        <f t="shared" si="1"/>
        <v>0</v>
      </c>
      <c r="D10" s="333">
        <f t="shared" si="2"/>
        <v>0</v>
      </c>
      <c r="E10" s="333">
        <f t="shared" si="5"/>
        <v>0</v>
      </c>
      <c r="F10" s="333">
        <f t="shared" si="3"/>
        <v>0</v>
      </c>
      <c r="G10" s="333">
        <f t="shared" si="4"/>
        <v>0</v>
      </c>
      <c r="H10" s="333">
        <f t="shared" si="6"/>
        <v>0</v>
      </c>
      <c r="I10" s="333">
        <f t="shared" si="7"/>
        <v>0</v>
      </c>
    </row>
    <row r="11" spans="1:9" s="215" customFormat="1">
      <c r="A11" s="669">
        <v>60</v>
      </c>
      <c r="B11" s="208" t="s">
        <v>240</v>
      </c>
      <c r="C11" s="333">
        <f t="shared" si="1"/>
        <v>0</v>
      </c>
      <c r="D11" s="333">
        <f t="shared" si="2"/>
        <v>0</v>
      </c>
      <c r="E11" s="333">
        <f t="shared" si="5"/>
        <v>0</v>
      </c>
      <c r="F11" s="333">
        <f t="shared" si="3"/>
        <v>0</v>
      </c>
      <c r="G11" s="333">
        <f t="shared" si="4"/>
        <v>0</v>
      </c>
      <c r="H11" s="333">
        <f t="shared" si="6"/>
        <v>0</v>
      </c>
      <c r="I11" s="333">
        <f t="shared" si="7"/>
        <v>0</v>
      </c>
    </row>
    <row r="12" spans="1:9" s="215" customFormat="1">
      <c r="A12" s="669">
        <v>61</v>
      </c>
      <c r="B12" s="3" t="s">
        <v>238</v>
      </c>
      <c r="C12" s="333">
        <f t="shared" si="1"/>
        <v>0</v>
      </c>
      <c r="D12" s="333">
        <f t="shared" si="2"/>
        <v>0</v>
      </c>
      <c r="E12" s="333">
        <f t="shared" si="5"/>
        <v>0</v>
      </c>
      <c r="F12" s="333">
        <f t="shared" si="3"/>
        <v>0</v>
      </c>
      <c r="G12" s="333">
        <f t="shared" si="4"/>
        <v>0</v>
      </c>
      <c r="H12" s="333">
        <f t="shared" si="6"/>
        <v>0</v>
      </c>
      <c r="I12" s="333">
        <f t="shared" si="7"/>
        <v>0</v>
      </c>
    </row>
    <row r="13" spans="1:9" s="215" customFormat="1">
      <c r="A13" s="669">
        <v>62</v>
      </c>
      <c r="B13" s="3" t="s">
        <v>239</v>
      </c>
      <c r="C13" s="333">
        <f t="shared" ref="C13" si="8">SUMIF(pi_cri,MID(A13,1,1)&amp;"*",pi_e)</f>
        <v>0</v>
      </c>
      <c r="D13" s="333">
        <f t="shared" ref="D13" si="9">SUMIF(pi_cri,MID(A13,1,1)&amp;"*",pi_m)</f>
        <v>0</v>
      </c>
      <c r="E13" s="333">
        <f t="shared" ref="E13" si="10">+C13+D13</f>
        <v>0</v>
      </c>
      <c r="F13" s="333">
        <f t="shared" ref="F13" si="11">SUMIF(pi_cri,MID(A13,1,1)&amp;"*",pi_d)</f>
        <v>0</v>
      </c>
      <c r="G13" s="333">
        <f t="shared" ref="G13" si="12">SUMIF(pi_cri,MID(A13,1,1)&amp;"*",pi_r)</f>
        <v>0</v>
      </c>
      <c r="H13" s="333">
        <f t="shared" ref="H13" si="13">+G13-C13</f>
        <v>0</v>
      </c>
      <c r="I13" s="333">
        <f t="shared" ref="I13" si="14">IF(H13&gt;0,H13,0)</f>
        <v>0</v>
      </c>
    </row>
    <row r="14" spans="1:9" s="215" customFormat="1">
      <c r="A14" s="669">
        <v>69</v>
      </c>
      <c r="B14" s="3" t="s">
        <v>1541</v>
      </c>
      <c r="C14" s="333">
        <f t="shared" si="1"/>
        <v>0</v>
      </c>
      <c r="D14" s="333">
        <f t="shared" si="2"/>
        <v>0</v>
      </c>
      <c r="E14" s="333">
        <f t="shared" si="5"/>
        <v>0</v>
      </c>
      <c r="F14" s="333">
        <f t="shared" si="3"/>
        <v>0</v>
      </c>
      <c r="G14" s="333">
        <f t="shared" si="4"/>
        <v>0</v>
      </c>
      <c r="H14" s="333">
        <f t="shared" si="6"/>
        <v>0</v>
      </c>
      <c r="I14" s="333">
        <f t="shared" si="7"/>
        <v>0</v>
      </c>
    </row>
    <row r="15" spans="1:9" s="215" customFormat="1">
      <c r="A15" s="669">
        <v>70</v>
      </c>
      <c r="B15" s="208" t="s">
        <v>241</v>
      </c>
      <c r="C15" s="333">
        <f t="shared" si="1"/>
        <v>1312000</v>
      </c>
      <c r="D15" s="333">
        <f t="shared" si="2"/>
        <v>1613534.31</v>
      </c>
      <c r="E15" s="333">
        <f t="shared" si="5"/>
        <v>2925534.31</v>
      </c>
      <c r="F15" s="333">
        <f t="shared" si="3"/>
        <v>2925534.31</v>
      </c>
      <c r="G15" s="333">
        <f t="shared" si="4"/>
        <v>2925534.31</v>
      </c>
      <c r="H15" s="333">
        <f t="shared" si="6"/>
        <v>1613534.31</v>
      </c>
      <c r="I15" s="333">
        <f t="shared" si="7"/>
        <v>1613534.31</v>
      </c>
    </row>
    <row r="16" spans="1:9" s="215" customFormat="1">
      <c r="A16" s="669">
        <v>80</v>
      </c>
      <c r="B16" s="208" t="s">
        <v>242</v>
      </c>
      <c r="C16" s="333">
        <f t="shared" si="1"/>
        <v>0</v>
      </c>
      <c r="D16" s="333">
        <f t="shared" si="2"/>
        <v>0</v>
      </c>
      <c r="E16" s="333">
        <f t="shared" si="5"/>
        <v>0</v>
      </c>
      <c r="F16" s="333">
        <f t="shared" si="3"/>
        <v>0</v>
      </c>
      <c r="G16" s="333">
        <f t="shared" si="4"/>
        <v>0</v>
      </c>
      <c r="H16" s="333">
        <f t="shared" si="6"/>
        <v>0</v>
      </c>
      <c r="I16" s="333">
        <f t="shared" si="7"/>
        <v>0</v>
      </c>
    </row>
    <row r="17" spans="1:9" s="215" customFormat="1">
      <c r="A17" s="669">
        <v>90</v>
      </c>
      <c r="B17" s="208" t="s">
        <v>243</v>
      </c>
      <c r="C17" s="333">
        <f t="shared" si="1"/>
        <v>79093840.510000005</v>
      </c>
      <c r="D17" s="333">
        <f t="shared" si="2"/>
        <v>6844369.5</v>
      </c>
      <c r="E17" s="333">
        <f t="shared" si="5"/>
        <v>85938210.010000005</v>
      </c>
      <c r="F17" s="333">
        <f t="shared" si="3"/>
        <v>85938205.109999985</v>
      </c>
      <c r="G17" s="333">
        <f t="shared" si="4"/>
        <v>85938205.109999985</v>
      </c>
      <c r="H17" s="333">
        <f t="shared" si="6"/>
        <v>6844364.5999999791</v>
      </c>
      <c r="I17" s="333">
        <f t="shared" si="7"/>
        <v>6844364.5999999791</v>
      </c>
    </row>
    <row r="18" spans="1:9" s="215" customFormat="1">
      <c r="A18" s="897" t="s">
        <v>244</v>
      </c>
      <c r="B18" s="898" t="s">
        <v>245</v>
      </c>
      <c r="C18" s="334">
        <f t="shared" si="1"/>
        <v>0</v>
      </c>
      <c r="D18" s="334">
        <f t="shared" si="2"/>
        <v>0</v>
      </c>
      <c r="E18" s="334">
        <f t="shared" si="5"/>
        <v>0</v>
      </c>
      <c r="F18" s="334">
        <f t="shared" si="3"/>
        <v>0</v>
      </c>
      <c r="G18" s="334">
        <f t="shared" si="4"/>
        <v>0</v>
      </c>
      <c r="H18" s="334">
        <f t="shared" si="6"/>
        <v>0</v>
      </c>
      <c r="I18" s="334">
        <f t="shared" si="7"/>
        <v>0</v>
      </c>
    </row>
  </sheetData>
  <sheetProtection autoFilter="0"/>
  <mergeCells count="1">
    <mergeCell ref="A1:I1"/>
  </mergeCells>
  <dataValidations count="9">
    <dataValidation allowBlank="1" showInputMessage="1" showErrorMessage="1" prompt="Se refiere al código asignado por el CONAC de acuerdo a la estructura del Clasificador por Rubros de Ingreso. (DOF-2-ene-13). A dos dígitos."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A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A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A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A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A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A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A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A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A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A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A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A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A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A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dataValidation allowBlank="1" showInputMessage="1" showErrorMessage="1" prompt="Sólo aplica cuando el importe de la columna de diferencia sea mayor a cero" sqref="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dataValidation allowBlank="1" showInputMessage="1" showErrorMessage="1" prompt="Recaudado menos estimado"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dataValidation allowBlank="1" showInputMessage="1" showErrorMessage="1" prompt="Se refiere al nombre que se asigna a cada uno de los desagregados que se señala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ataValidation allowBlank="1" showInputMessage="1" showErrorMessage="1" prompt="En esta columna debe registrarse los &quot;abonos&quot; del devengado. Es el momento contable que se realiza cuando existe jurídicamente el derecho de cobro de los impuestos, cuotas y aportaciones de seguridad social, contribuciones de mejoras, derechos..."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ataValidation allowBlank="1" showInputMessage="1" showErrorMessage="1" prompt="En esta columna debe registrarse los &quot;abonos&quot; del recaudado. Es el momento contable que refleja el cobro en efectivo o cualquier otro medio de pago de los impuestos, cuotas y aportaciones de seguridad social, contribuciones de mejoras, derechos..._x000a_"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dataValidation allowBlank="1" showInputMessage="1" showErrorMessage="1" prompt="Son los importes que se aprueban anualmente en la Ley de Ingresos, e incluyen los Impuestos, Cuotas y Aportaciones de Seguridad Social, Contribuciones de Mejoras, Derechos, Productos, Aprovechamiento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dataValidation allowBlank="1" showInputMessage="1" showErrorMessage="1" prompt="Momento contable que refleja la asignación presupuestaria en lo relativo a la  Ley de Ingresos que resulte de incorporar en su caso, las modificaciones al ingreso estimado, previstas en la ley de ingresos."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dataValidation allowBlank="1" showInputMessage="1" showErrorMessage="1" prompt="Las modificaciones realizadas al Pronóstico de Ingresos "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dataValidations>
  <pageMargins left="0.70866141732283472" right="0.70866141732283472" top="0.74803149606299213" bottom="0.74803149606299213" header="0.31496062992125984" footer="0.31496062992125984"/>
  <pageSetup paperSize="9" scale="85" orientation="landscape" r:id="rId1"/>
  <ignoredErrors>
    <ignoredError sqref="C14:I18 C3:I12 C13:I1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M215"/>
  <sheetViews>
    <sheetView showGridLines="0" zoomScale="60" zoomScaleNormal="60" workbookViewId="0">
      <pane xSplit="3" ySplit="2" topLeftCell="D157" activePane="bottomRight" state="frozen"/>
      <selection pane="topRight" activeCell="D1" sqref="D1"/>
      <selection pane="bottomLeft" activeCell="A3" sqref="A3"/>
      <selection pane="bottomRight" activeCell="B210" sqref="B210:B215"/>
    </sheetView>
  </sheetViews>
  <sheetFormatPr baseColWidth="10" defaultColWidth="11.42578125" defaultRowHeight="12.75" outlineLevelRow="1"/>
  <cols>
    <col min="1" max="1" width="1.7109375" style="103" customWidth="1"/>
    <col min="2" max="2" width="6" style="103" bestFit="1" customWidth="1"/>
    <col min="3" max="3" width="14.85546875" style="103" customWidth="1"/>
    <col min="4" max="4" width="14.28515625" style="103" bestFit="1" customWidth="1"/>
    <col min="5" max="6" width="15.85546875" style="103" bestFit="1" customWidth="1"/>
    <col min="7" max="7" width="14.7109375" style="103" bestFit="1" customWidth="1"/>
    <col min="8" max="9" width="16.5703125" style="103" bestFit="1" customWidth="1"/>
    <col min="10" max="10" width="14.7109375" style="103" bestFit="1" customWidth="1"/>
    <col min="11" max="12" width="16.28515625" style="103" bestFit="1" customWidth="1"/>
    <col min="13" max="13" width="14" style="103" bestFit="1" customWidth="1"/>
    <col min="14" max="16384" width="11.42578125" style="103"/>
  </cols>
  <sheetData>
    <row r="1" spans="2:13" ht="15">
      <c r="D1" s="431">
        <f>SUBTOTAL(9,'001'!D3:D215)</f>
        <v>2.7284841053187847E-10</v>
      </c>
      <c r="E1" s="431">
        <f>SUBTOTAL(9,'001'!E3:E215)</f>
        <v>419170154.23999977</v>
      </c>
      <c r="F1" s="431">
        <f>SUBTOTAL(9,'001'!F3:F215)</f>
        <v>-419170154.24000001</v>
      </c>
      <c r="G1" s="431">
        <f>SUBTOTAL(9,'001'!G3:G215)</f>
        <v>-1.0270014172419906E-8</v>
      </c>
      <c r="H1" s="431">
        <f>SUBTOTAL(9,'001'!H3:H215)</f>
        <v>432390281.67999983</v>
      </c>
      <c r="I1" s="431">
        <f>SUBTOTAL(9,'001'!I3:I215)</f>
        <v>-432390281.68000007</v>
      </c>
      <c r="J1" s="431">
        <f>SUBTOTAL(9,'001'!J3:J215)</f>
        <v>7.8189259511418641E-9</v>
      </c>
      <c r="K1" s="431">
        <f>SUBTOTAL(9,'001'!K3:K215)</f>
        <v>470290812.3700003</v>
      </c>
      <c r="L1" s="431">
        <f>SUBTOTAL(9,'001'!L3:L215)</f>
        <v>-470290812.36999989</v>
      </c>
      <c r="M1" s="431">
        <f>SUBTOTAL(9,'001'!M3:M215)</f>
        <v>1.9819708541035652E-8</v>
      </c>
    </row>
    <row r="2" spans="2:13" ht="15">
      <c r="B2" s="105" t="s">
        <v>373</v>
      </c>
      <c r="C2" s="420" t="s">
        <v>360</v>
      </c>
      <c r="D2" s="421" t="s">
        <v>366</v>
      </c>
      <c r="E2" s="421" t="s">
        <v>367</v>
      </c>
      <c r="F2" s="421" t="s">
        <v>809</v>
      </c>
      <c r="G2" s="421" t="s">
        <v>368</v>
      </c>
      <c r="H2" s="421" t="s">
        <v>369</v>
      </c>
      <c r="I2" s="421" t="s">
        <v>810</v>
      </c>
      <c r="J2" s="421" t="s">
        <v>370</v>
      </c>
      <c r="K2" s="421" t="s">
        <v>1533</v>
      </c>
      <c r="L2" s="421" t="s">
        <v>1534</v>
      </c>
      <c r="M2" s="421" t="s">
        <v>1535</v>
      </c>
    </row>
    <row r="3" spans="2:13" ht="15" outlineLevel="1">
      <c r="B3" s="104" t="str">
        <f>MID(C3,3,4)</f>
        <v>1112</v>
      </c>
      <c r="C3" s="448" t="s">
        <v>1709</v>
      </c>
      <c r="D3" s="449">
        <v>0</v>
      </c>
      <c r="E3" s="449">
        <v>0</v>
      </c>
      <c r="F3" s="449">
        <v>0</v>
      </c>
      <c r="G3" s="449">
        <v>0</v>
      </c>
      <c r="H3" s="449">
        <v>0</v>
      </c>
      <c r="I3" s="449">
        <v>0</v>
      </c>
      <c r="J3" s="449">
        <v>0</v>
      </c>
      <c r="K3" s="449">
        <v>0</v>
      </c>
      <c r="L3" s="449">
        <v>0</v>
      </c>
      <c r="M3" s="449">
        <v>0</v>
      </c>
    </row>
    <row r="4" spans="2:13" ht="15" outlineLevel="1">
      <c r="B4" s="104" t="str">
        <f t="shared" ref="B4:B67" si="0">MID(C4,3,4)</f>
        <v>1112</v>
      </c>
      <c r="C4" s="448" t="s">
        <v>1710</v>
      </c>
      <c r="D4" s="449">
        <v>0</v>
      </c>
      <c r="E4" s="449">
        <v>0</v>
      </c>
      <c r="F4" s="449">
        <v>0</v>
      </c>
      <c r="G4" s="449">
        <v>0</v>
      </c>
      <c r="H4" s="449">
        <v>0</v>
      </c>
      <c r="I4" s="449">
        <v>0</v>
      </c>
      <c r="J4" s="449">
        <v>0</v>
      </c>
      <c r="K4" s="449">
        <v>0</v>
      </c>
      <c r="L4" s="449">
        <v>0</v>
      </c>
      <c r="M4" s="449">
        <v>0</v>
      </c>
    </row>
    <row r="5" spans="2:13" ht="15" outlineLevel="1">
      <c r="B5" s="104" t="str">
        <f t="shared" si="0"/>
        <v>1112</v>
      </c>
      <c r="C5" s="448" t="s">
        <v>1711</v>
      </c>
      <c r="D5" s="449">
        <v>1000</v>
      </c>
      <c r="E5" s="449">
        <v>30268286.300000001</v>
      </c>
      <c r="F5" s="449">
        <v>-30268286.300000001</v>
      </c>
      <c r="G5" s="449">
        <v>1000</v>
      </c>
      <c r="H5" s="449">
        <v>35452412.229999997</v>
      </c>
      <c r="I5" s="449">
        <v>-35452412.229999997</v>
      </c>
      <c r="J5" s="449">
        <v>1000</v>
      </c>
      <c r="K5" s="449">
        <v>48181686.960000001</v>
      </c>
      <c r="L5" s="449">
        <v>-48172588.759999998</v>
      </c>
      <c r="M5" s="449">
        <v>10098.200000000001</v>
      </c>
    </row>
    <row r="6" spans="2:13" ht="15" outlineLevel="1">
      <c r="B6" s="104" t="str">
        <f t="shared" si="0"/>
        <v>1112</v>
      </c>
      <c r="C6" s="448" t="s">
        <v>1712</v>
      </c>
      <c r="D6" s="449">
        <v>0</v>
      </c>
      <c r="E6" s="449">
        <v>0</v>
      </c>
      <c r="F6" s="449">
        <v>0</v>
      </c>
      <c r="G6" s="449">
        <v>0</v>
      </c>
      <c r="H6" s="449">
        <v>0</v>
      </c>
      <c r="I6" s="449">
        <v>0</v>
      </c>
      <c r="J6" s="449">
        <v>0</v>
      </c>
      <c r="K6" s="449">
        <v>0</v>
      </c>
      <c r="L6" s="449">
        <v>0</v>
      </c>
      <c r="M6" s="449">
        <v>0</v>
      </c>
    </row>
    <row r="7" spans="2:13" ht="15" outlineLevel="1">
      <c r="B7" s="104" t="str">
        <f t="shared" si="0"/>
        <v>1112</v>
      </c>
      <c r="C7" s="448" t="s">
        <v>1713</v>
      </c>
      <c r="D7" s="449">
        <v>3492039.18</v>
      </c>
      <c r="E7" s="449">
        <v>82200366.969999999</v>
      </c>
      <c r="F7" s="449">
        <v>-81009784.969999999</v>
      </c>
      <c r="G7" s="449">
        <v>4682621.18</v>
      </c>
      <c r="H7" s="449">
        <v>77501006.75</v>
      </c>
      <c r="I7" s="449">
        <v>-77822122.290000007</v>
      </c>
      <c r="J7" s="449">
        <v>4361505.6399999997</v>
      </c>
      <c r="K7" s="449">
        <v>92677297.819999993</v>
      </c>
      <c r="L7" s="449">
        <v>-90997825.680000007</v>
      </c>
      <c r="M7" s="449">
        <v>6040977.7800000003</v>
      </c>
    </row>
    <row r="8" spans="2:13" ht="15" outlineLevel="1">
      <c r="B8" s="104" t="str">
        <f t="shared" si="0"/>
        <v>1112</v>
      </c>
      <c r="C8" s="448" t="s">
        <v>1714</v>
      </c>
      <c r="D8" s="449">
        <v>3898517.66</v>
      </c>
      <c r="E8" s="449">
        <v>340975</v>
      </c>
      <c r="F8" s="449">
        <v>-4239492.66</v>
      </c>
      <c r="G8" s="449">
        <v>0</v>
      </c>
      <c r="H8" s="449">
        <v>0</v>
      </c>
      <c r="I8" s="449">
        <v>0</v>
      </c>
      <c r="J8" s="449">
        <v>0</v>
      </c>
      <c r="K8" s="449">
        <v>0</v>
      </c>
      <c r="L8" s="449">
        <v>0</v>
      </c>
      <c r="M8" s="449">
        <v>0</v>
      </c>
    </row>
    <row r="9" spans="2:13" ht="15" outlineLevel="1">
      <c r="B9" s="104" t="str">
        <f t="shared" si="0"/>
        <v>1112</v>
      </c>
      <c r="C9" s="448" t="s">
        <v>1715</v>
      </c>
      <c r="D9" s="450">
        <v>0</v>
      </c>
      <c r="E9" s="449">
        <v>1988107.57</v>
      </c>
      <c r="F9" s="449">
        <v>-419.58</v>
      </c>
      <c r="G9" s="449">
        <v>1987687.99</v>
      </c>
      <c r="H9" s="449">
        <v>70484.600000000006</v>
      </c>
      <c r="I9" s="450">
        <v>0</v>
      </c>
      <c r="J9" s="449">
        <v>2058172.59</v>
      </c>
      <c r="K9" s="449">
        <v>176265.92</v>
      </c>
      <c r="L9" s="449">
        <v>-707.21</v>
      </c>
      <c r="M9" s="449">
        <v>2233731.2999999998</v>
      </c>
    </row>
    <row r="10" spans="2:13" ht="15" outlineLevel="1">
      <c r="B10" s="104" t="str">
        <f t="shared" si="0"/>
        <v>1112</v>
      </c>
      <c r="C10" s="448" t="s">
        <v>1716</v>
      </c>
      <c r="D10" s="450">
        <v>0</v>
      </c>
      <c r="E10" s="450">
        <v>0</v>
      </c>
      <c r="F10" s="450">
        <v>0</v>
      </c>
      <c r="G10" s="450">
        <v>0</v>
      </c>
      <c r="H10" s="450">
        <v>0</v>
      </c>
      <c r="I10" s="450">
        <v>0</v>
      </c>
      <c r="J10" s="450">
        <v>0</v>
      </c>
      <c r="K10" s="449">
        <v>488002.96</v>
      </c>
      <c r="L10" s="450">
        <v>0</v>
      </c>
      <c r="M10" s="449">
        <v>488002.96</v>
      </c>
    </row>
    <row r="11" spans="2:13" ht="15" outlineLevel="1">
      <c r="B11" s="104" t="str">
        <f t="shared" si="0"/>
        <v>1112</v>
      </c>
      <c r="C11" s="448" t="s">
        <v>1717</v>
      </c>
      <c r="D11" s="450">
        <v>0</v>
      </c>
      <c r="E11" s="449">
        <v>6176038.9400000004</v>
      </c>
      <c r="F11" s="449">
        <v>-2028664.18</v>
      </c>
      <c r="G11" s="449">
        <v>4147374.76</v>
      </c>
      <c r="H11" s="449">
        <v>777429.39</v>
      </c>
      <c r="I11" s="449">
        <v>-21316.67</v>
      </c>
      <c r="J11" s="449">
        <v>4903487.4800000004</v>
      </c>
      <c r="K11" s="449">
        <v>2116838.81</v>
      </c>
      <c r="L11" s="449">
        <v>-2342603.7000000002</v>
      </c>
      <c r="M11" s="449">
        <v>4677722.59</v>
      </c>
    </row>
    <row r="12" spans="2:13" ht="15" outlineLevel="1">
      <c r="B12" s="104" t="str">
        <f t="shared" si="0"/>
        <v>1114</v>
      </c>
      <c r="C12" s="448" t="s">
        <v>2968</v>
      </c>
      <c r="D12" s="450">
        <v>0</v>
      </c>
      <c r="E12" s="450">
        <v>0</v>
      </c>
      <c r="F12" s="450">
        <v>0</v>
      </c>
      <c r="G12" s="450">
        <v>0</v>
      </c>
      <c r="H12" s="450">
        <v>0</v>
      </c>
      <c r="I12" s="450">
        <v>0</v>
      </c>
      <c r="J12" s="450">
        <v>0</v>
      </c>
      <c r="K12" s="449">
        <v>2242315.87</v>
      </c>
      <c r="L12" s="450">
        <v>0</v>
      </c>
      <c r="M12" s="449">
        <v>2242315.87</v>
      </c>
    </row>
    <row r="13" spans="2:13" ht="15" outlineLevel="1">
      <c r="B13" s="104" t="str">
        <f t="shared" si="0"/>
        <v>1115</v>
      </c>
      <c r="C13" s="448" t="s">
        <v>1718</v>
      </c>
      <c r="D13" s="449">
        <v>1880269.55</v>
      </c>
      <c r="E13" s="449">
        <v>79882.350000000006</v>
      </c>
      <c r="F13" s="449">
        <v>-1960151.9</v>
      </c>
      <c r="G13" s="449">
        <v>0</v>
      </c>
      <c r="H13" s="450">
        <v>0</v>
      </c>
      <c r="I13" s="450">
        <v>0</v>
      </c>
      <c r="J13" s="450">
        <v>0</v>
      </c>
      <c r="K13" s="450">
        <v>0</v>
      </c>
      <c r="L13" s="450">
        <v>0</v>
      </c>
      <c r="M13" s="450">
        <v>0</v>
      </c>
    </row>
    <row r="14" spans="2:13" ht="15" outlineLevel="1">
      <c r="B14" s="104" t="str">
        <f t="shared" si="0"/>
        <v>1122</v>
      </c>
      <c r="C14" s="448" t="s">
        <v>1719</v>
      </c>
      <c r="D14" s="449">
        <v>0</v>
      </c>
      <c r="E14" s="449">
        <v>87261020.890000001</v>
      </c>
      <c r="F14" s="449">
        <v>-87261020.890000001</v>
      </c>
      <c r="G14" s="449">
        <v>0</v>
      </c>
      <c r="H14" s="449">
        <v>75674485.120000005</v>
      </c>
      <c r="I14" s="449">
        <v>-75674485.120000005</v>
      </c>
      <c r="J14" s="449">
        <v>0</v>
      </c>
      <c r="K14" s="449">
        <v>87161417.379999995</v>
      </c>
      <c r="L14" s="449">
        <v>-87161417.379999995</v>
      </c>
      <c r="M14" s="449">
        <v>0</v>
      </c>
    </row>
    <row r="15" spans="2:13" ht="15" outlineLevel="1">
      <c r="B15" s="104" t="str">
        <f t="shared" si="0"/>
        <v>1122</v>
      </c>
      <c r="C15" s="448" t="s">
        <v>1720</v>
      </c>
      <c r="D15" s="449">
        <v>480.45</v>
      </c>
      <c r="E15" s="449">
        <v>2972.13</v>
      </c>
      <c r="F15" s="449">
        <v>-2631.83</v>
      </c>
      <c r="G15" s="449">
        <v>820.75</v>
      </c>
      <c r="H15" s="449">
        <v>778.68</v>
      </c>
      <c r="I15" s="449">
        <v>-1952</v>
      </c>
      <c r="J15" s="449">
        <v>-352.57</v>
      </c>
      <c r="K15" s="450">
        <v>0</v>
      </c>
      <c r="L15" s="449">
        <v>0</v>
      </c>
      <c r="M15" s="449">
        <v>-352.57</v>
      </c>
    </row>
    <row r="16" spans="2:13" ht="15" outlineLevel="1">
      <c r="B16" s="104" t="str">
        <f t="shared" si="0"/>
        <v>1122</v>
      </c>
      <c r="C16" s="448" t="s">
        <v>1721</v>
      </c>
      <c r="D16" s="450">
        <v>0</v>
      </c>
      <c r="E16" s="449">
        <v>53500</v>
      </c>
      <c r="F16" s="449">
        <v>-33250</v>
      </c>
      <c r="G16" s="449">
        <v>20250</v>
      </c>
      <c r="H16" s="449">
        <v>0</v>
      </c>
      <c r="I16" s="449">
        <v>-1750</v>
      </c>
      <c r="J16" s="449">
        <v>18500</v>
      </c>
      <c r="K16" s="449">
        <v>0</v>
      </c>
      <c r="L16" s="450">
        <v>0</v>
      </c>
      <c r="M16" s="449">
        <v>18500</v>
      </c>
    </row>
    <row r="17" spans="2:13" ht="15" outlineLevel="1">
      <c r="B17" s="104" t="str">
        <f t="shared" si="0"/>
        <v>1123</v>
      </c>
      <c r="C17" s="448" t="s">
        <v>1722</v>
      </c>
      <c r="D17" s="449">
        <v>0</v>
      </c>
      <c r="E17" s="449">
        <v>5341.34</v>
      </c>
      <c r="F17" s="449">
        <v>-5341.34</v>
      </c>
      <c r="G17" s="449">
        <v>0</v>
      </c>
      <c r="H17" s="449">
        <v>9445.5</v>
      </c>
      <c r="I17" s="449">
        <v>-9445.5</v>
      </c>
      <c r="J17" s="449">
        <v>0</v>
      </c>
      <c r="K17" s="449">
        <v>62.27</v>
      </c>
      <c r="L17" s="449">
        <v>-62.27</v>
      </c>
      <c r="M17" s="449">
        <v>0</v>
      </c>
    </row>
    <row r="18" spans="2:13" ht="15" outlineLevel="1">
      <c r="B18" s="104" t="str">
        <f t="shared" si="0"/>
        <v>1123</v>
      </c>
      <c r="C18" s="448" t="s">
        <v>1723</v>
      </c>
      <c r="D18" s="449">
        <v>0</v>
      </c>
      <c r="E18" s="449">
        <v>168742.39999999999</v>
      </c>
      <c r="F18" s="449">
        <v>-168741.9</v>
      </c>
      <c r="G18" s="449">
        <v>0.5</v>
      </c>
      <c r="H18" s="449">
        <v>171823.03</v>
      </c>
      <c r="I18" s="449">
        <v>-171823.53</v>
      </c>
      <c r="J18" s="449">
        <v>0</v>
      </c>
      <c r="K18" s="449">
        <v>179994.16</v>
      </c>
      <c r="L18" s="449">
        <v>-179994.14</v>
      </c>
      <c r="M18" s="449">
        <v>0.02</v>
      </c>
    </row>
    <row r="19" spans="2:13" ht="15" outlineLevel="1">
      <c r="B19" s="104" t="str">
        <f t="shared" si="0"/>
        <v>1123</v>
      </c>
      <c r="C19" s="448" t="s">
        <v>1724</v>
      </c>
      <c r="D19" s="450">
        <v>0</v>
      </c>
      <c r="E19" s="449">
        <v>34.57</v>
      </c>
      <c r="F19" s="449">
        <v>-34.57</v>
      </c>
      <c r="G19" s="449">
        <v>0</v>
      </c>
      <c r="H19" s="450">
        <v>0</v>
      </c>
      <c r="I19" s="450">
        <v>0</v>
      </c>
      <c r="J19" s="450">
        <v>0</v>
      </c>
      <c r="K19" s="450">
        <v>0</v>
      </c>
      <c r="L19" s="450">
        <v>0</v>
      </c>
      <c r="M19" s="450">
        <v>0</v>
      </c>
    </row>
    <row r="20" spans="2:13" ht="15" outlineLevel="1">
      <c r="B20" s="104" t="str">
        <f t="shared" si="0"/>
        <v>1125</v>
      </c>
      <c r="C20" s="448" t="s">
        <v>1725</v>
      </c>
      <c r="D20" s="449">
        <v>0</v>
      </c>
      <c r="E20" s="449">
        <v>15080</v>
      </c>
      <c r="F20" s="449">
        <v>-15050</v>
      </c>
      <c r="G20" s="449">
        <v>30</v>
      </c>
      <c r="H20" s="449">
        <v>43000</v>
      </c>
      <c r="I20" s="449">
        <v>-43030</v>
      </c>
      <c r="J20" s="449">
        <v>0</v>
      </c>
      <c r="K20" s="449">
        <v>29000</v>
      </c>
      <c r="L20" s="449">
        <v>-29000</v>
      </c>
      <c r="M20" s="449">
        <v>0</v>
      </c>
    </row>
    <row r="21" spans="2:13" ht="15" outlineLevel="1">
      <c r="B21" s="104" t="str">
        <f t="shared" si="0"/>
        <v>1129</v>
      </c>
      <c r="C21" s="448" t="s">
        <v>1726</v>
      </c>
      <c r="D21" s="449">
        <v>50578.01</v>
      </c>
      <c r="E21" s="449">
        <v>463719.18</v>
      </c>
      <c r="F21" s="449">
        <v>-460357.87</v>
      </c>
      <c r="G21" s="449">
        <v>53939.32</v>
      </c>
      <c r="H21" s="449">
        <v>352225.98</v>
      </c>
      <c r="I21" s="449">
        <v>-406162.28</v>
      </c>
      <c r="J21" s="449">
        <v>3.02</v>
      </c>
      <c r="K21" s="449">
        <v>800216.74</v>
      </c>
      <c r="L21" s="449">
        <v>-800117.64</v>
      </c>
      <c r="M21" s="449">
        <v>102.12</v>
      </c>
    </row>
    <row r="22" spans="2:13" ht="15" outlineLevel="1">
      <c r="B22" s="104" t="str">
        <f t="shared" si="0"/>
        <v>1131</v>
      </c>
      <c r="C22" s="448" t="s">
        <v>1727</v>
      </c>
      <c r="D22" s="449">
        <v>4093.89</v>
      </c>
      <c r="E22" s="449">
        <v>5541041.2300000004</v>
      </c>
      <c r="F22" s="449">
        <v>-5530180.75</v>
      </c>
      <c r="G22" s="449">
        <v>14954.37</v>
      </c>
      <c r="H22" s="449">
        <v>7303322.5700000003</v>
      </c>
      <c r="I22" s="449">
        <v>-7298767.3799999999</v>
      </c>
      <c r="J22" s="449">
        <v>19509.560000000001</v>
      </c>
      <c r="K22" s="449">
        <v>5558290.5499999998</v>
      </c>
      <c r="L22" s="449">
        <v>-5558167.6799999997</v>
      </c>
      <c r="M22" s="449">
        <v>19632.43</v>
      </c>
    </row>
    <row r="23" spans="2:13" ht="15" outlineLevel="1">
      <c r="B23" s="104" t="str">
        <f t="shared" si="0"/>
        <v>1132</v>
      </c>
      <c r="C23" s="448" t="s">
        <v>1728</v>
      </c>
      <c r="D23" s="449">
        <v>0</v>
      </c>
      <c r="E23" s="450">
        <v>0</v>
      </c>
      <c r="F23" s="450">
        <v>0</v>
      </c>
      <c r="G23" s="450">
        <v>0</v>
      </c>
      <c r="H23" s="450">
        <v>0</v>
      </c>
      <c r="I23" s="450">
        <v>0</v>
      </c>
      <c r="J23" s="450">
        <v>0</v>
      </c>
      <c r="K23" s="450">
        <v>0</v>
      </c>
      <c r="L23" s="450">
        <v>0</v>
      </c>
      <c r="M23" s="450">
        <v>0</v>
      </c>
    </row>
    <row r="24" spans="2:13" ht="15" outlineLevel="1">
      <c r="B24" s="104" t="str">
        <f t="shared" si="0"/>
        <v>1241</v>
      </c>
      <c r="C24" s="448" t="s">
        <v>1729</v>
      </c>
      <c r="D24" s="449">
        <v>3918149.8</v>
      </c>
      <c r="E24" s="449">
        <v>177619.07</v>
      </c>
      <c r="F24" s="450">
        <v>0</v>
      </c>
      <c r="G24" s="449">
        <v>4095768.87</v>
      </c>
      <c r="H24" s="449">
        <v>453201.29</v>
      </c>
      <c r="I24" s="450">
        <v>0</v>
      </c>
      <c r="J24" s="449">
        <v>4548970.16</v>
      </c>
      <c r="K24" s="449">
        <v>437183.92</v>
      </c>
      <c r="L24" s="449">
        <v>-2900</v>
      </c>
      <c r="M24" s="449">
        <v>4983254.08</v>
      </c>
    </row>
    <row r="25" spans="2:13" ht="15" outlineLevel="1">
      <c r="B25" s="104" t="str">
        <f t="shared" si="0"/>
        <v>1241</v>
      </c>
      <c r="C25" s="448" t="s">
        <v>1730</v>
      </c>
      <c r="D25" s="449">
        <v>4105027.4</v>
      </c>
      <c r="E25" s="449">
        <v>2605615.25</v>
      </c>
      <c r="F25" s="449">
        <v>-1170613.1000000001</v>
      </c>
      <c r="G25" s="449">
        <v>5540029.5499999998</v>
      </c>
      <c r="H25" s="449">
        <v>509954.73</v>
      </c>
      <c r="I25" s="449">
        <v>-13804</v>
      </c>
      <c r="J25" s="449">
        <v>6036180.2800000003</v>
      </c>
      <c r="K25" s="449">
        <v>848299.67</v>
      </c>
      <c r="L25" s="450">
        <v>0</v>
      </c>
      <c r="M25" s="449">
        <v>6884479.9500000002</v>
      </c>
    </row>
    <row r="26" spans="2:13" ht="15" outlineLevel="1">
      <c r="B26" s="104" t="str">
        <f t="shared" si="0"/>
        <v>1241</v>
      </c>
      <c r="C26" s="448" t="s">
        <v>1731</v>
      </c>
      <c r="D26" s="449">
        <v>160816.32000000001</v>
      </c>
      <c r="E26" s="449">
        <v>34818.050000000003</v>
      </c>
      <c r="F26" s="450">
        <v>0</v>
      </c>
      <c r="G26" s="449">
        <v>195634.37</v>
      </c>
      <c r="H26" s="449">
        <v>0</v>
      </c>
      <c r="I26" s="450">
        <v>0</v>
      </c>
      <c r="J26" s="449">
        <v>195634.37</v>
      </c>
      <c r="K26" s="449">
        <v>92344.61</v>
      </c>
      <c r="L26" s="450">
        <v>0</v>
      </c>
      <c r="M26" s="449">
        <v>287978.98</v>
      </c>
    </row>
    <row r="27" spans="2:13" ht="15" outlineLevel="1">
      <c r="B27" s="104" t="str">
        <f t="shared" si="0"/>
        <v>1244</v>
      </c>
      <c r="C27" s="448" t="s">
        <v>1732</v>
      </c>
      <c r="D27" s="449">
        <v>3173986</v>
      </c>
      <c r="E27" s="449">
        <v>856098.03</v>
      </c>
      <c r="F27" s="449">
        <v>-765300</v>
      </c>
      <c r="G27" s="449">
        <v>3264784.03</v>
      </c>
      <c r="H27" s="449">
        <v>2449845</v>
      </c>
      <c r="I27" s="449">
        <v>-1466440.01</v>
      </c>
      <c r="J27" s="449">
        <v>4248189.0199999996</v>
      </c>
      <c r="K27" s="449">
        <v>1504498</v>
      </c>
      <c r="L27" s="449">
        <v>-944900.01</v>
      </c>
      <c r="M27" s="449">
        <v>4807787.01</v>
      </c>
    </row>
    <row r="28" spans="2:13" ht="15" outlineLevel="1">
      <c r="B28" s="104" t="str">
        <f t="shared" si="0"/>
        <v>1246</v>
      </c>
      <c r="C28" s="448" t="s">
        <v>1733</v>
      </c>
      <c r="D28" s="449">
        <v>63848.480000000003</v>
      </c>
      <c r="E28" s="449">
        <v>0</v>
      </c>
      <c r="F28" s="450">
        <v>0</v>
      </c>
      <c r="G28" s="449">
        <v>63848.480000000003</v>
      </c>
      <c r="H28" s="449">
        <v>0</v>
      </c>
      <c r="I28" s="450">
        <v>0</v>
      </c>
      <c r="J28" s="449">
        <v>63848.480000000003</v>
      </c>
      <c r="K28" s="449">
        <v>0</v>
      </c>
      <c r="L28" s="450">
        <v>0</v>
      </c>
      <c r="M28" s="449">
        <v>63848.480000000003</v>
      </c>
    </row>
    <row r="29" spans="2:13" ht="15" outlineLevel="1">
      <c r="B29" s="104" t="str">
        <f t="shared" si="0"/>
        <v>1246</v>
      </c>
      <c r="C29" s="448" t="s">
        <v>1734</v>
      </c>
      <c r="D29" s="449">
        <v>213443.42</v>
      </c>
      <c r="E29" s="449">
        <v>8816</v>
      </c>
      <c r="F29" s="450">
        <v>0</v>
      </c>
      <c r="G29" s="449">
        <v>222259.42</v>
      </c>
      <c r="H29" s="449">
        <v>0</v>
      </c>
      <c r="I29" s="450">
        <v>0</v>
      </c>
      <c r="J29" s="449">
        <v>222259.42</v>
      </c>
      <c r="K29" s="449">
        <v>132513.71</v>
      </c>
      <c r="L29" s="449">
        <v>-38849.97</v>
      </c>
      <c r="M29" s="449">
        <v>315923.15999999997</v>
      </c>
    </row>
    <row r="30" spans="2:13" ht="15" outlineLevel="1">
      <c r="B30" s="104" t="str">
        <f t="shared" si="0"/>
        <v>1246</v>
      </c>
      <c r="C30" s="448" t="s">
        <v>1735</v>
      </c>
      <c r="D30" s="449">
        <v>339665.4</v>
      </c>
      <c r="E30" s="449">
        <v>0</v>
      </c>
      <c r="F30" s="449">
        <v>0</v>
      </c>
      <c r="G30" s="449">
        <v>339665.4</v>
      </c>
      <c r="H30" s="449">
        <v>0</v>
      </c>
      <c r="I30" s="450">
        <v>0</v>
      </c>
      <c r="J30" s="449">
        <v>339665.4</v>
      </c>
      <c r="K30" s="449">
        <v>0</v>
      </c>
      <c r="L30" s="450">
        <v>0</v>
      </c>
      <c r="M30" s="449">
        <v>339665.4</v>
      </c>
    </row>
    <row r="31" spans="2:13" ht="15" outlineLevel="1">
      <c r="B31" s="104" t="str">
        <f t="shared" si="0"/>
        <v>1247</v>
      </c>
      <c r="C31" s="448" t="s">
        <v>1736</v>
      </c>
      <c r="D31" s="449">
        <v>200262.99</v>
      </c>
      <c r="E31" s="449">
        <v>0</v>
      </c>
      <c r="F31" s="450">
        <v>0</v>
      </c>
      <c r="G31" s="449">
        <v>200262.99</v>
      </c>
      <c r="H31" s="449">
        <v>0</v>
      </c>
      <c r="I31" s="450">
        <v>0</v>
      </c>
      <c r="J31" s="449">
        <v>200262.99</v>
      </c>
      <c r="K31" s="449">
        <v>0</v>
      </c>
      <c r="L31" s="450">
        <v>0</v>
      </c>
      <c r="M31" s="449">
        <v>200262.99</v>
      </c>
    </row>
    <row r="32" spans="2:13" ht="15" outlineLevel="1">
      <c r="B32" s="104" t="str">
        <f t="shared" si="0"/>
        <v>1251</v>
      </c>
      <c r="C32" s="448" t="s">
        <v>1737</v>
      </c>
      <c r="D32" s="449">
        <v>7206151.71</v>
      </c>
      <c r="E32" s="449">
        <v>5544090.7599999998</v>
      </c>
      <c r="F32" s="449">
        <v>-721871.55</v>
      </c>
      <c r="G32" s="449">
        <v>12028370.92</v>
      </c>
      <c r="H32" s="449">
        <v>533600</v>
      </c>
      <c r="I32" s="449">
        <v>-266800</v>
      </c>
      <c r="J32" s="449">
        <v>12295170.92</v>
      </c>
      <c r="K32" s="449">
        <v>0</v>
      </c>
      <c r="L32" s="450">
        <v>0</v>
      </c>
      <c r="M32" s="449">
        <v>12295170.92</v>
      </c>
    </row>
    <row r="33" spans="2:13" ht="15" outlineLevel="1">
      <c r="B33" s="104" t="str">
        <f t="shared" si="0"/>
        <v>1252</v>
      </c>
      <c r="C33" s="448" t="s">
        <v>1738</v>
      </c>
      <c r="D33" s="449">
        <v>67335.789999999994</v>
      </c>
      <c r="E33" s="449">
        <v>0</v>
      </c>
      <c r="F33" s="450">
        <v>0</v>
      </c>
      <c r="G33" s="449">
        <v>67335.789999999994</v>
      </c>
      <c r="H33" s="449">
        <v>0</v>
      </c>
      <c r="I33" s="450">
        <v>0</v>
      </c>
      <c r="J33" s="449">
        <v>67335.789999999994</v>
      </c>
      <c r="K33" s="449">
        <v>0</v>
      </c>
      <c r="L33" s="450">
        <v>0</v>
      </c>
      <c r="M33" s="449">
        <v>67335.789999999994</v>
      </c>
    </row>
    <row r="34" spans="2:13" ht="15" outlineLevel="1">
      <c r="B34" s="104" t="str">
        <f t="shared" si="0"/>
        <v>1252</v>
      </c>
      <c r="C34" s="448" t="s">
        <v>1739</v>
      </c>
      <c r="D34" s="450">
        <v>0</v>
      </c>
      <c r="E34" s="449">
        <v>115030.7</v>
      </c>
      <c r="F34" s="449">
        <v>-7515.35</v>
      </c>
      <c r="G34" s="449">
        <v>107515.35</v>
      </c>
      <c r="H34" s="449">
        <v>353494.8</v>
      </c>
      <c r="I34" s="449">
        <v>0</v>
      </c>
      <c r="J34" s="449">
        <v>461010.15</v>
      </c>
      <c r="K34" s="449">
        <v>125415.3</v>
      </c>
      <c r="L34" s="450">
        <v>0</v>
      </c>
      <c r="M34" s="449">
        <v>586425.44999999995</v>
      </c>
    </row>
    <row r="35" spans="2:13" ht="15" outlineLevel="1">
      <c r="B35" s="104" t="str">
        <f t="shared" si="0"/>
        <v>1263</v>
      </c>
      <c r="C35" s="448" t="s">
        <v>1740</v>
      </c>
      <c r="D35" s="449">
        <v>-1830480.22</v>
      </c>
      <c r="E35" s="450">
        <v>0</v>
      </c>
      <c r="F35" s="449">
        <v>-387178.16</v>
      </c>
      <c r="G35" s="449">
        <v>-2217658.38</v>
      </c>
      <c r="H35" s="450">
        <v>0</v>
      </c>
      <c r="I35" s="449">
        <v>-385854.24</v>
      </c>
      <c r="J35" s="449">
        <v>-2603512.62</v>
      </c>
      <c r="K35" s="450">
        <v>0</v>
      </c>
      <c r="L35" s="449">
        <v>-379989.09</v>
      </c>
      <c r="M35" s="449">
        <v>-2983501.71</v>
      </c>
    </row>
    <row r="36" spans="2:13" ht="15" outlineLevel="1">
      <c r="B36" s="104" t="str">
        <f t="shared" si="0"/>
        <v>1263</v>
      </c>
      <c r="C36" s="448" t="s">
        <v>1741</v>
      </c>
      <c r="D36" s="449">
        <v>-164431.01999999999</v>
      </c>
      <c r="E36" s="450">
        <v>0</v>
      </c>
      <c r="F36" s="449">
        <v>-20026.3</v>
      </c>
      <c r="G36" s="449">
        <v>-184457.32</v>
      </c>
      <c r="H36" s="450">
        <v>0</v>
      </c>
      <c r="I36" s="449">
        <v>-15098.28</v>
      </c>
      <c r="J36" s="449">
        <v>-199555.6</v>
      </c>
      <c r="K36" s="450">
        <v>0</v>
      </c>
      <c r="L36" s="449">
        <v>-314.39999999999998</v>
      </c>
      <c r="M36" s="449">
        <v>-199870</v>
      </c>
    </row>
    <row r="37" spans="2:13" ht="15" outlineLevel="1">
      <c r="B37" s="104" t="str">
        <f t="shared" si="0"/>
        <v>1263</v>
      </c>
      <c r="C37" s="448" t="s">
        <v>1742</v>
      </c>
      <c r="D37" s="449">
        <v>-2483505.7799999998</v>
      </c>
      <c r="E37" s="450">
        <v>0</v>
      </c>
      <c r="F37" s="449">
        <v>-829195.53</v>
      </c>
      <c r="G37" s="449">
        <v>-3312701.31</v>
      </c>
      <c r="H37" s="449">
        <v>5866.7</v>
      </c>
      <c r="I37" s="449">
        <v>-1055692.46</v>
      </c>
      <c r="J37" s="449">
        <v>-4362527.07</v>
      </c>
      <c r="K37" s="450">
        <v>0</v>
      </c>
      <c r="L37" s="449">
        <v>-858041.51</v>
      </c>
      <c r="M37" s="449">
        <v>-5220568.58</v>
      </c>
    </row>
    <row r="38" spans="2:13" ht="15" outlineLevel="1">
      <c r="B38" s="104" t="str">
        <f t="shared" si="0"/>
        <v>1263</v>
      </c>
      <c r="C38" s="448" t="s">
        <v>1743</v>
      </c>
      <c r="D38" s="449">
        <v>-9539.02</v>
      </c>
      <c r="E38" s="450">
        <v>0</v>
      </c>
      <c r="F38" s="449">
        <v>-18237.669999999998</v>
      </c>
      <c r="G38" s="449">
        <v>-27776.69</v>
      </c>
      <c r="H38" s="450">
        <v>0</v>
      </c>
      <c r="I38" s="449">
        <v>-19563.43</v>
      </c>
      <c r="J38" s="449">
        <v>-47340.12</v>
      </c>
      <c r="K38" s="450">
        <v>0</v>
      </c>
      <c r="L38" s="449">
        <v>-19916.03</v>
      </c>
      <c r="M38" s="449">
        <v>-67256.149999999994</v>
      </c>
    </row>
    <row r="39" spans="2:13" ht="15" outlineLevel="1">
      <c r="B39" s="104" t="str">
        <f t="shared" si="0"/>
        <v>1263</v>
      </c>
      <c r="C39" s="448" t="s">
        <v>1744</v>
      </c>
      <c r="D39" s="449">
        <v>-1360732.63</v>
      </c>
      <c r="E39" s="449">
        <v>579975</v>
      </c>
      <c r="F39" s="449">
        <v>-709964.39</v>
      </c>
      <c r="G39" s="449">
        <v>-1490722.02</v>
      </c>
      <c r="H39" s="449">
        <v>1060856.67</v>
      </c>
      <c r="I39" s="449">
        <v>-886443.71</v>
      </c>
      <c r="J39" s="449">
        <v>-1316309.06</v>
      </c>
      <c r="K39" s="449">
        <v>518018.76</v>
      </c>
      <c r="L39" s="449">
        <v>-1079051.1200000001</v>
      </c>
      <c r="M39" s="449">
        <v>-1877341.42</v>
      </c>
    </row>
    <row r="40" spans="2:13" ht="15" outlineLevel="1">
      <c r="B40" s="104" t="str">
        <f t="shared" si="0"/>
        <v>1263</v>
      </c>
      <c r="C40" s="448" t="s">
        <v>1745</v>
      </c>
      <c r="D40" s="449">
        <v>-61787.75</v>
      </c>
      <c r="E40" s="450">
        <v>0</v>
      </c>
      <c r="F40" s="449">
        <v>-681.72</v>
      </c>
      <c r="G40" s="449">
        <v>-62469.47</v>
      </c>
      <c r="H40" s="450">
        <v>0</v>
      </c>
      <c r="I40" s="449">
        <v>-510.05</v>
      </c>
      <c r="J40" s="449">
        <v>-62979.519999999997</v>
      </c>
      <c r="K40" s="450">
        <v>0</v>
      </c>
      <c r="L40" s="449">
        <v>-352.36</v>
      </c>
      <c r="M40" s="449">
        <v>-63331.88</v>
      </c>
    </row>
    <row r="41" spans="2:13" ht="15" outlineLevel="1">
      <c r="B41" s="104" t="str">
        <f t="shared" si="0"/>
        <v>1263</v>
      </c>
      <c r="C41" s="448" t="s">
        <v>1746</v>
      </c>
      <c r="D41" s="449">
        <v>-209145.77</v>
      </c>
      <c r="E41" s="450">
        <v>0</v>
      </c>
      <c r="F41" s="449">
        <v>-3205.54</v>
      </c>
      <c r="G41" s="449">
        <v>-212351.31</v>
      </c>
      <c r="H41" s="450">
        <v>0</v>
      </c>
      <c r="I41" s="449">
        <v>-2484.11</v>
      </c>
      <c r="J41" s="449">
        <v>-214835.42</v>
      </c>
      <c r="K41" s="450">
        <v>0</v>
      </c>
      <c r="L41" s="449">
        <v>-4538.32</v>
      </c>
      <c r="M41" s="449">
        <v>-219373.74</v>
      </c>
    </row>
    <row r="42" spans="2:13" ht="15" outlineLevel="1">
      <c r="B42" s="104" t="str">
        <f t="shared" si="0"/>
        <v>1263</v>
      </c>
      <c r="C42" s="448" t="s">
        <v>1747</v>
      </c>
      <c r="D42" s="449">
        <v>-16983.27</v>
      </c>
      <c r="E42" s="449">
        <v>16983.27</v>
      </c>
      <c r="F42" s="449">
        <v>-16983.27</v>
      </c>
      <c r="G42" s="449">
        <v>-16983.27</v>
      </c>
      <c r="H42" s="449">
        <v>0</v>
      </c>
      <c r="I42" s="449">
        <v>0</v>
      </c>
      <c r="J42" s="449">
        <v>-16983.27</v>
      </c>
      <c r="K42" s="450">
        <v>0</v>
      </c>
      <c r="L42" s="449">
        <v>0</v>
      </c>
      <c r="M42" s="449">
        <v>-16983.27</v>
      </c>
    </row>
    <row r="43" spans="2:13" ht="15" outlineLevel="1">
      <c r="B43" s="104" t="str">
        <f t="shared" si="0"/>
        <v>1263</v>
      </c>
      <c r="C43" s="448" t="s">
        <v>1748</v>
      </c>
      <c r="D43" s="450">
        <v>0</v>
      </c>
      <c r="E43" s="450">
        <v>0</v>
      </c>
      <c r="F43" s="449">
        <v>-16983.27</v>
      </c>
      <c r="G43" s="449">
        <v>-16983.27</v>
      </c>
      <c r="H43" s="450">
        <v>0</v>
      </c>
      <c r="I43" s="449">
        <v>-16983.27</v>
      </c>
      <c r="J43" s="449">
        <v>-33966.54</v>
      </c>
      <c r="K43" s="450">
        <v>0</v>
      </c>
      <c r="L43" s="449">
        <v>-16983.27</v>
      </c>
      <c r="M43" s="449">
        <v>-50949.81</v>
      </c>
    </row>
    <row r="44" spans="2:13" ht="15" outlineLevel="1">
      <c r="B44" s="104" t="str">
        <f t="shared" si="0"/>
        <v>1273</v>
      </c>
      <c r="C44" s="448" t="s">
        <v>1749</v>
      </c>
      <c r="D44" s="449">
        <v>20000</v>
      </c>
      <c r="E44" s="449">
        <v>7000</v>
      </c>
      <c r="F44" s="450">
        <v>0</v>
      </c>
      <c r="G44" s="449">
        <v>27000</v>
      </c>
      <c r="H44" s="449">
        <v>18485.72</v>
      </c>
      <c r="I44" s="450">
        <v>0</v>
      </c>
      <c r="J44" s="449">
        <v>45485.72</v>
      </c>
      <c r="K44" s="449">
        <v>0</v>
      </c>
      <c r="L44" s="449">
        <v>-10285.719999999999</v>
      </c>
      <c r="M44" s="449">
        <v>35200</v>
      </c>
    </row>
    <row r="45" spans="2:13" ht="15" outlineLevel="1">
      <c r="B45" s="104" t="str">
        <f t="shared" si="0"/>
        <v>2111</v>
      </c>
      <c r="C45" s="448" t="s">
        <v>1750</v>
      </c>
      <c r="D45" s="449">
        <v>0</v>
      </c>
      <c r="E45" s="449">
        <v>32042129.780000001</v>
      </c>
      <c r="F45" s="449">
        <v>-32042129.780000001</v>
      </c>
      <c r="G45" s="449">
        <v>0</v>
      </c>
      <c r="H45" s="449">
        <v>45823781.990000002</v>
      </c>
      <c r="I45" s="449">
        <v>-45823781.990000002</v>
      </c>
      <c r="J45" s="449">
        <v>0</v>
      </c>
      <c r="K45" s="449">
        <v>47293657.640000001</v>
      </c>
      <c r="L45" s="449">
        <v>-47293657.640000001</v>
      </c>
      <c r="M45" s="449">
        <v>0</v>
      </c>
    </row>
    <row r="46" spans="2:13" ht="15" outlineLevel="1">
      <c r="B46" s="104" t="str">
        <f t="shared" si="0"/>
        <v>2111</v>
      </c>
      <c r="C46" s="448" t="s">
        <v>1751</v>
      </c>
      <c r="D46" s="449">
        <v>0</v>
      </c>
      <c r="E46" s="449">
        <v>7523142.8399999999</v>
      </c>
      <c r="F46" s="449">
        <v>-7523142.8399999999</v>
      </c>
      <c r="G46" s="449">
        <v>0</v>
      </c>
      <c r="H46" s="449">
        <v>5429201.9699999997</v>
      </c>
      <c r="I46" s="449">
        <v>-5429201.9699999997</v>
      </c>
      <c r="J46" s="449">
        <v>0</v>
      </c>
      <c r="K46" s="449">
        <v>4330604.3499999996</v>
      </c>
      <c r="L46" s="449">
        <v>-4330604.3499999996</v>
      </c>
      <c r="M46" s="449">
        <v>0</v>
      </c>
    </row>
    <row r="47" spans="2:13" ht="15" outlineLevel="1">
      <c r="B47" s="104" t="str">
        <f t="shared" si="0"/>
        <v>2111</v>
      </c>
      <c r="C47" s="448" t="s">
        <v>1752</v>
      </c>
      <c r="D47" s="449">
        <v>0</v>
      </c>
      <c r="E47" s="450">
        <v>0</v>
      </c>
      <c r="F47" s="450">
        <v>0</v>
      </c>
      <c r="G47" s="450">
        <v>0</v>
      </c>
      <c r="H47" s="450">
        <v>0</v>
      </c>
      <c r="I47" s="450">
        <v>0</v>
      </c>
      <c r="J47" s="450">
        <v>0</v>
      </c>
      <c r="K47" s="450">
        <v>0</v>
      </c>
      <c r="L47" s="450">
        <v>0</v>
      </c>
      <c r="M47" s="450">
        <v>0</v>
      </c>
    </row>
    <row r="48" spans="2:13" ht="15" outlineLevel="1">
      <c r="B48" s="104" t="str">
        <f t="shared" si="0"/>
        <v>2111</v>
      </c>
      <c r="C48" s="448" t="s">
        <v>1753</v>
      </c>
      <c r="D48" s="449">
        <v>-65799.490000000005</v>
      </c>
      <c r="E48" s="449">
        <v>65799.490000000005</v>
      </c>
      <c r="F48" s="449">
        <v>0</v>
      </c>
      <c r="G48" s="449">
        <v>0</v>
      </c>
      <c r="H48" s="450">
        <v>0</v>
      </c>
      <c r="I48" s="450">
        <v>0</v>
      </c>
      <c r="J48" s="450">
        <v>0</v>
      </c>
      <c r="K48" s="450">
        <v>0</v>
      </c>
      <c r="L48" s="450">
        <v>0</v>
      </c>
      <c r="M48" s="450">
        <v>0</v>
      </c>
    </row>
    <row r="49" spans="2:13" ht="15" outlineLevel="1">
      <c r="B49" s="104" t="str">
        <f t="shared" si="0"/>
        <v>2111</v>
      </c>
      <c r="C49" s="448" t="s">
        <v>1754</v>
      </c>
      <c r="D49" s="450">
        <v>0</v>
      </c>
      <c r="E49" s="450">
        <v>0</v>
      </c>
      <c r="F49" s="449">
        <v>-44312.2</v>
      </c>
      <c r="G49" s="449">
        <v>-44312.2</v>
      </c>
      <c r="H49" s="450">
        <v>0</v>
      </c>
      <c r="I49" s="449">
        <v>0</v>
      </c>
      <c r="J49" s="449">
        <v>-44312.2</v>
      </c>
      <c r="K49" s="449">
        <v>44312.2</v>
      </c>
      <c r="L49" s="449">
        <v>0</v>
      </c>
      <c r="M49" s="449">
        <v>0</v>
      </c>
    </row>
    <row r="50" spans="2:13" ht="15" outlineLevel="1">
      <c r="B50" s="104" t="str">
        <f t="shared" si="0"/>
        <v>2111</v>
      </c>
      <c r="C50" s="448" t="s">
        <v>2969</v>
      </c>
      <c r="D50" s="450">
        <v>0</v>
      </c>
      <c r="E50" s="450">
        <v>0</v>
      </c>
      <c r="F50" s="450">
        <v>0</v>
      </c>
      <c r="G50" s="450">
        <v>0</v>
      </c>
      <c r="H50" s="450">
        <v>0</v>
      </c>
      <c r="I50" s="450">
        <v>0</v>
      </c>
      <c r="J50" s="450">
        <v>0</v>
      </c>
      <c r="K50" s="450">
        <v>0</v>
      </c>
      <c r="L50" s="449">
        <v>-1186099.8500000001</v>
      </c>
      <c r="M50" s="449">
        <v>-1186099.8500000001</v>
      </c>
    </row>
    <row r="51" spans="2:13" ht="15" outlineLevel="1">
      <c r="B51" s="104" t="str">
        <f t="shared" si="0"/>
        <v>2111</v>
      </c>
      <c r="C51" s="448" t="s">
        <v>2970</v>
      </c>
      <c r="D51" s="450">
        <v>0</v>
      </c>
      <c r="E51" s="450">
        <v>0</v>
      </c>
      <c r="F51" s="450">
        <v>0</v>
      </c>
      <c r="G51" s="450">
        <v>0</v>
      </c>
      <c r="H51" s="450">
        <v>0</v>
      </c>
      <c r="I51" s="450">
        <v>0</v>
      </c>
      <c r="J51" s="450">
        <v>0</v>
      </c>
      <c r="K51" s="449">
        <v>135009</v>
      </c>
      <c r="L51" s="449">
        <v>-135009</v>
      </c>
      <c r="M51" s="449">
        <v>0</v>
      </c>
    </row>
    <row r="52" spans="2:13" ht="15" outlineLevel="1">
      <c r="B52" s="104" t="str">
        <f t="shared" si="0"/>
        <v>2112</v>
      </c>
      <c r="C52" s="448" t="s">
        <v>1755</v>
      </c>
      <c r="D52" s="449">
        <v>0</v>
      </c>
      <c r="E52" s="449">
        <v>9279010.0299999993</v>
      </c>
      <c r="F52" s="449">
        <v>-9279010.0999999996</v>
      </c>
      <c r="G52" s="449">
        <v>-7.0000000000000007E-2</v>
      </c>
      <c r="H52" s="449">
        <v>13178493.810000001</v>
      </c>
      <c r="I52" s="449">
        <v>-13178493.74</v>
      </c>
      <c r="J52" s="449">
        <v>0</v>
      </c>
      <c r="K52" s="449">
        <v>10483647.83</v>
      </c>
      <c r="L52" s="449">
        <v>-10483647.83</v>
      </c>
      <c r="M52" s="449">
        <v>0</v>
      </c>
    </row>
    <row r="53" spans="2:13" ht="15" outlineLevel="1">
      <c r="B53" s="104" t="str">
        <f t="shared" si="0"/>
        <v>2112</v>
      </c>
      <c r="C53" s="448" t="s">
        <v>1756</v>
      </c>
      <c r="D53" s="449">
        <v>0</v>
      </c>
      <c r="E53" s="450">
        <v>0</v>
      </c>
      <c r="F53" s="450">
        <v>0</v>
      </c>
      <c r="G53" s="450">
        <v>0</v>
      </c>
      <c r="H53" s="450">
        <v>0</v>
      </c>
      <c r="I53" s="450">
        <v>0</v>
      </c>
      <c r="J53" s="450">
        <v>0</v>
      </c>
      <c r="K53" s="450">
        <v>0</v>
      </c>
      <c r="L53" s="450">
        <v>0</v>
      </c>
      <c r="M53" s="450">
        <v>0</v>
      </c>
    </row>
    <row r="54" spans="2:13" ht="15" outlineLevel="1">
      <c r="B54" s="104" t="str">
        <f t="shared" si="0"/>
        <v>2112</v>
      </c>
      <c r="C54" s="448" t="s">
        <v>1757</v>
      </c>
      <c r="D54" s="450">
        <v>0</v>
      </c>
      <c r="E54" s="450">
        <v>0</v>
      </c>
      <c r="F54" s="450">
        <v>0</v>
      </c>
      <c r="G54" s="450">
        <v>0</v>
      </c>
      <c r="H54" s="450">
        <v>0</v>
      </c>
      <c r="I54" s="450">
        <v>0</v>
      </c>
      <c r="J54" s="450">
        <v>0</v>
      </c>
      <c r="K54" s="450">
        <v>0</v>
      </c>
      <c r="L54" s="450">
        <v>0</v>
      </c>
      <c r="M54" s="450">
        <v>0</v>
      </c>
    </row>
    <row r="55" spans="2:13" ht="15" outlineLevel="1">
      <c r="B55" s="104" t="str">
        <f t="shared" si="0"/>
        <v>2112</v>
      </c>
      <c r="C55" s="448" t="s">
        <v>1758</v>
      </c>
      <c r="D55" s="450">
        <v>0</v>
      </c>
      <c r="E55" s="450">
        <v>0</v>
      </c>
      <c r="F55" s="450">
        <v>0</v>
      </c>
      <c r="G55" s="450">
        <v>0</v>
      </c>
      <c r="H55" s="450">
        <v>0</v>
      </c>
      <c r="I55" s="450">
        <v>0</v>
      </c>
      <c r="J55" s="450">
        <v>0</v>
      </c>
      <c r="K55" s="450">
        <v>0</v>
      </c>
      <c r="L55" s="450">
        <v>0</v>
      </c>
      <c r="M55" s="450">
        <v>0</v>
      </c>
    </row>
    <row r="56" spans="2:13" ht="15" outlineLevel="1">
      <c r="B56" s="104" t="str">
        <f t="shared" si="0"/>
        <v>2112</v>
      </c>
      <c r="C56" s="448" t="s">
        <v>1759</v>
      </c>
      <c r="D56" s="449">
        <v>0</v>
      </c>
      <c r="E56" s="450">
        <v>0</v>
      </c>
      <c r="F56" s="450">
        <v>0</v>
      </c>
      <c r="G56" s="450">
        <v>0</v>
      </c>
      <c r="H56" s="450">
        <v>0</v>
      </c>
      <c r="I56" s="450">
        <v>0</v>
      </c>
      <c r="J56" s="450">
        <v>0</v>
      </c>
      <c r="K56" s="450">
        <v>0</v>
      </c>
      <c r="L56" s="450">
        <v>0</v>
      </c>
      <c r="M56" s="450">
        <v>0</v>
      </c>
    </row>
    <row r="57" spans="2:13" ht="15" outlineLevel="1">
      <c r="B57" s="104" t="str">
        <f t="shared" si="0"/>
        <v>2112</v>
      </c>
      <c r="C57" s="448" t="s">
        <v>1760</v>
      </c>
      <c r="D57" s="449">
        <v>0</v>
      </c>
      <c r="E57" s="450">
        <v>0</v>
      </c>
      <c r="F57" s="450">
        <v>0</v>
      </c>
      <c r="G57" s="450">
        <v>0</v>
      </c>
      <c r="H57" s="450">
        <v>0</v>
      </c>
      <c r="I57" s="450">
        <v>0</v>
      </c>
      <c r="J57" s="450">
        <v>0</v>
      </c>
      <c r="K57" s="450">
        <v>0</v>
      </c>
      <c r="L57" s="450">
        <v>0</v>
      </c>
      <c r="M57" s="450">
        <v>0</v>
      </c>
    </row>
    <row r="58" spans="2:13" ht="15" outlineLevel="1">
      <c r="B58" s="104" t="str">
        <f t="shared" si="0"/>
        <v>2112</v>
      </c>
      <c r="C58" s="448" t="s">
        <v>1761</v>
      </c>
      <c r="D58" s="449">
        <v>-5570.37</v>
      </c>
      <c r="E58" s="449">
        <v>5570.37</v>
      </c>
      <c r="F58" s="449">
        <v>0</v>
      </c>
      <c r="G58" s="449">
        <v>0</v>
      </c>
      <c r="H58" s="450">
        <v>0</v>
      </c>
      <c r="I58" s="450">
        <v>0</v>
      </c>
      <c r="J58" s="450">
        <v>0</v>
      </c>
      <c r="K58" s="450">
        <v>0</v>
      </c>
      <c r="L58" s="450">
        <v>0</v>
      </c>
      <c r="M58" s="450">
        <v>0</v>
      </c>
    </row>
    <row r="59" spans="2:13" ht="15" outlineLevel="1">
      <c r="B59" s="104" t="str">
        <f t="shared" si="0"/>
        <v>2112</v>
      </c>
      <c r="C59" s="448" t="s">
        <v>1762</v>
      </c>
      <c r="D59" s="449">
        <v>-65282.25</v>
      </c>
      <c r="E59" s="449">
        <v>65282.25</v>
      </c>
      <c r="F59" s="449">
        <v>0</v>
      </c>
      <c r="G59" s="449">
        <v>0</v>
      </c>
      <c r="H59" s="450">
        <v>0</v>
      </c>
      <c r="I59" s="450">
        <v>0</v>
      </c>
      <c r="J59" s="450">
        <v>0</v>
      </c>
      <c r="K59" s="450">
        <v>0</v>
      </c>
      <c r="L59" s="450">
        <v>0</v>
      </c>
      <c r="M59" s="450">
        <v>0</v>
      </c>
    </row>
    <row r="60" spans="2:13" ht="15" outlineLevel="1">
      <c r="B60" s="104" t="str">
        <f t="shared" si="0"/>
        <v>2112</v>
      </c>
      <c r="C60" s="448" t="s">
        <v>1763</v>
      </c>
      <c r="D60" s="450">
        <v>0</v>
      </c>
      <c r="E60" s="449">
        <v>170319.08</v>
      </c>
      <c r="F60" s="449">
        <v>-333109.15999999997</v>
      </c>
      <c r="G60" s="449">
        <v>-162790.07999999999</v>
      </c>
      <c r="H60" s="449">
        <v>162790.07999999999</v>
      </c>
      <c r="I60" s="449">
        <v>0</v>
      </c>
      <c r="J60" s="449">
        <v>0</v>
      </c>
      <c r="K60" s="450">
        <v>0</v>
      </c>
      <c r="L60" s="450">
        <v>0</v>
      </c>
      <c r="M60" s="450">
        <v>0</v>
      </c>
    </row>
    <row r="61" spans="2:13" ht="15" outlineLevel="1">
      <c r="B61" s="104" t="str">
        <f t="shared" si="0"/>
        <v>2112</v>
      </c>
      <c r="C61" s="448" t="s">
        <v>1764</v>
      </c>
      <c r="D61" s="450">
        <v>0</v>
      </c>
      <c r="E61" s="450">
        <v>0</v>
      </c>
      <c r="F61" s="450">
        <v>0</v>
      </c>
      <c r="G61" s="450">
        <v>0</v>
      </c>
      <c r="H61" s="450">
        <v>0</v>
      </c>
      <c r="I61" s="449">
        <v>-94852.04</v>
      </c>
      <c r="J61" s="449">
        <v>-94852.04</v>
      </c>
      <c r="K61" s="449">
        <v>94852.04</v>
      </c>
      <c r="L61" s="449">
        <v>0</v>
      </c>
      <c r="M61" s="449">
        <v>0</v>
      </c>
    </row>
    <row r="62" spans="2:13" ht="15" outlineLevel="1">
      <c r="B62" s="104" t="str">
        <f t="shared" si="0"/>
        <v>2112</v>
      </c>
      <c r="C62" s="448" t="s">
        <v>1765</v>
      </c>
      <c r="D62" s="450">
        <v>0</v>
      </c>
      <c r="E62" s="450">
        <v>0</v>
      </c>
      <c r="F62" s="450">
        <v>0</v>
      </c>
      <c r="G62" s="450">
        <v>0</v>
      </c>
      <c r="H62" s="450">
        <v>0</v>
      </c>
      <c r="I62" s="449">
        <v>-73154.559999999998</v>
      </c>
      <c r="J62" s="449">
        <v>-73154.559999999998</v>
      </c>
      <c r="K62" s="449">
        <v>73154.559999999998</v>
      </c>
      <c r="L62" s="449">
        <v>0</v>
      </c>
      <c r="M62" s="449">
        <v>0</v>
      </c>
    </row>
    <row r="63" spans="2:13" ht="15" outlineLevel="1">
      <c r="B63" s="104" t="str">
        <f t="shared" si="0"/>
        <v>2112</v>
      </c>
      <c r="C63" s="448" t="s">
        <v>2971</v>
      </c>
      <c r="D63" s="450">
        <v>0</v>
      </c>
      <c r="E63" s="450">
        <v>0</v>
      </c>
      <c r="F63" s="450">
        <v>0</v>
      </c>
      <c r="G63" s="450">
        <v>0</v>
      </c>
      <c r="H63" s="450">
        <v>0</v>
      </c>
      <c r="I63" s="450">
        <v>0</v>
      </c>
      <c r="J63" s="450">
        <v>0</v>
      </c>
      <c r="K63" s="450">
        <v>0</v>
      </c>
      <c r="L63" s="449">
        <v>-135009</v>
      </c>
      <c r="M63" s="449">
        <v>-135009</v>
      </c>
    </row>
    <row r="64" spans="2:13" ht="15" outlineLevel="1">
      <c r="B64" s="104" t="str">
        <f t="shared" si="0"/>
        <v>2117</v>
      </c>
      <c r="C64" s="448" t="s">
        <v>1766</v>
      </c>
      <c r="D64" s="449">
        <v>0</v>
      </c>
      <c r="E64" s="449">
        <v>1688252.76</v>
      </c>
      <c r="F64" s="449">
        <v>-1688362.12</v>
      </c>
      <c r="G64" s="449">
        <v>-109.36</v>
      </c>
      <c r="H64" s="449">
        <v>2309311.71</v>
      </c>
      <c r="I64" s="449">
        <v>-2309202.35</v>
      </c>
      <c r="J64" s="449">
        <v>0</v>
      </c>
      <c r="K64" s="449">
        <v>2385419.0499999998</v>
      </c>
      <c r="L64" s="449">
        <v>-2385419.0499999998</v>
      </c>
      <c r="M64" s="449">
        <v>0</v>
      </c>
    </row>
    <row r="65" spans="2:13" ht="15" outlineLevel="1">
      <c r="B65" s="104" t="str">
        <f t="shared" si="0"/>
        <v>2117</v>
      </c>
      <c r="C65" s="448" t="s">
        <v>1767</v>
      </c>
      <c r="D65" s="449">
        <v>0</v>
      </c>
      <c r="E65" s="449">
        <v>339543.21</v>
      </c>
      <c r="F65" s="449">
        <v>-339564.24</v>
      </c>
      <c r="G65" s="449">
        <v>-21.03</v>
      </c>
      <c r="H65" s="449">
        <v>435722.14</v>
      </c>
      <c r="I65" s="449">
        <v>-435701.11</v>
      </c>
      <c r="J65" s="449">
        <v>0</v>
      </c>
      <c r="K65" s="449">
        <v>438056.84</v>
      </c>
      <c r="L65" s="449">
        <v>-438056.84</v>
      </c>
      <c r="M65" s="449">
        <v>0</v>
      </c>
    </row>
    <row r="66" spans="2:13" ht="15" outlineLevel="1">
      <c r="B66" s="104" t="str">
        <f t="shared" si="0"/>
        <v>2117</v>
      </c>
      <c r="C66" s="448" t="s">
        <v>1768</v>
      </c>
      <c r="D66" s="449">
        <v>0</v>
      </c>
      <c r="E66" s="449">
        <v>63729</v>
      </c>
      <c r="F66" s="449">
        <v>-63729</v>
      </c>
      <c r="G66" s="449">
        <v>0</v>
      </c>
      <c r="H66" s="449">
        <v>102020</v>
      </c>
      <c r="I66" s="449">
        <v>-102020</v>
      </c>
      <c r="J66" s="449">
        <v>0</v>
      </c>
      <c r="K66" s="449">
        <v>53350.5</v>
      </c>
      <c r="L66" s="449">
        <v>-53350.5</v>
      </c>
      <c r="M66" s="449">
        <v>0</v>
      </c>
    </row>
    <row r="67" spans="2:13" ht="15" outlineLevel="1">
      <c r="B67" s="104" t="str">
        <f t="shared" si="0"/>
        <v>2117</v>
      </c>
      <c r="C67" s="448" t="s">
        <v>1769</v>
      </c>
      <c r="D67" s="449">
        <v>0</v>
      </c>
      <c r="E67" s="449">
        <v>820563.96</v>
      </c>
      <c r="F67" s="449">
        <v>-820614.78</v>
      </c>
      <c r="G67" s="449">
        <v>-50.82</v>
      </c>
      <c r="H67" s="449">
        <v>1052987.31</v>
      </c>
      <c r="I67" s="449">
        <v>-1052936.49</v>
      </c>
      <c r="J67" s="449">
        <v>0</v>
      </c>
      <c r="K67" s="449">
        <v>1058617.6000000001</v>
      </c>
      <c r="L67" s="449">
        <v>-1058617.6000000001</v>
      </c>
      <c r="M67" s="449">
        <v>0</v>
      </c>
    </row>
    <row r="68" spans="2:13" ht="15" outlineLevel="1">
      <c r="B68" s="104" t="str">
        <f t="shared" ref="B68:B131" si="1">MID(C68,3,4)</f>
        <v>2117</v>
      </c>
      <c r="C68" s="448" t="s">
        <v>1770</v>
      </c>
      <c r="D68" s="449">
        <v>-5998.9</v>
      </c>
      <c r="E68" s="449">
        <v>2326764.1</v>
      </c>
      <c r="F68" s="449">
        <v>-2326914.8199999998</v>
      </c>
      <c r="G68" s="449">
        <v>-6149.62</v>
      </c>
      <c r="H68" s="449">
        <v>3231581.26</v>
      </c>
      <c r="I68" s="449">
        <v>-3231430.55</v>
      </c>
      <c r="J68" s="449">
        <v>-5998.91</v>
      </c>
      <c r="K68" s="449">
        <v>3386714.64</v>
      </c>
      <c r="L68" s="449">
        <v>-3386714.64</v>
      </c>
      <c r="M68" s="449">
        <v>-5998.91</v>
      </c>
    </row>
    <row r="69" spans="2:13" ht="15" outlineLevel="1">
      <c r="B69" s="104" t="str">
        <f t="shared" si="1"/>
        <v>2117</v>
      </c>
      <c r="C69" s="448" t="s">
        <v>1771</v>
      </c>
      <c r="D69" s="449">
        <v>-2082120.62</v>
      </c>
      <c r="E69" s="449">
        <v>8992826.2100000009</v>
      </c>
      <c r="F69" s="449">
        <v>-10015036.82</v>
      </c>
      <c r="G69" s="449">
        <v>-3104331.23</v>
      </c>
      <c r="H69" s="449">
        <v>12957295.960000001</v>
      </c>
      <c r="I69" s="449">
        <v>-12734075.619999999</v>
      </c>
      <c r="J69" s="449">
        <v>-2881110.89</v>
      </c>
      <c r="K69" s="449">
        <v>12020435.27</v>
      </c>
      <c r="L69" s="449">
        <v>-12547549.74</v>
      </c>
      <c r="M69" s="449">
        <v>-3408225.36</v>
      </c>
    </row>
    <row r="70" spans="2:13" ht="15" outlineLevel="1">
      <c r="B70" s="104" t="str">
        <f t="shared" si="1"/>
        <v>2117</v>
      </c>
      <c r="C70" s="448" t="s">
        <v>1772</v>
      </c>
      <c r="D70" s="449">
        <v>-25401.63</v>
      </c>
      <c r="E70" s="449">
        <v>271265.53000000003</v>
      </c>
      <c r="F70" s="449">
        <v>-257277.3</v>
      </c>
      <c r="G70" s="449">
        <v>-11413.4</v>
      </c>
      <c r="H70" s="449">
        <v>239092.42</v>
      </c>
      <c r="I70" s="449">
        <v>-251547.98</v>
      </c>
      <c r="J70" s="449">
        <v>-23868.959999999999</v>
      </c>
      <c r="K70" s="449">
        <v>452454.6</v>
      </c>
      <c r="L70" s="449">
        <v>-444413.19</v>
      </c>
      <c r="M70" s="449">
        <v>-15827.55</v>
      </c>
    </row>
    <row r="71" spans="2:13" ht="15" outlineLevel="1">
      <c r="B71" s="104" t="str">
        <f t="shared" si="1"/>
        <v>2117</v>
      </c>
      <c r="C71" s="448" t="s">
        <v>1773</v>
      </c>
      <c r="D71" s="449">
        <v>-5685.71</v>
      </c>
      <c r="E71" s="449">
        <v>15257</v>
      </c>
      <c r="F71" s="449">
        <v>-15916.06</v>
      </c>
      <c r="G71" s="449">
        <v>-6344.77</v>
      </c>
      <c r="H71" s="449">
        <v>8422</v>
      </c>
      <c r="I71" s="449">
        <v>-10127</v>
      </c>
      <c r="J71" s="449">
        <v>-8049.77</v>
      </c>
      <c r="K71" s="449">
        <v>12653</v>
      </c>
      <c r="L71" s="449">
        <v>-11252.5</v>
      </c>
      <c r="M71" s="449">
        <v>-6649.27</v>
      </c>
    </row>
    <row r="72" spans="2:13" ht="15" outlineLevel="1">
      <c r="B72" s="104" t="str">
        <f t="shared" si="1"/>
        <v>2117</v>
      </c>
      <c r="C72" s="448" t="s">
        <v>1774</v>
      </c>
      <c r="D72" s="449">
        <v>-2249.9699999999998</v>
      </c>
      <c r="E72" s="449">
        <v>34594</v>
      </c>
      <c r="F72" s="449">
        <v>-36974.160000000003</v>
      </c>
      <c r="G72" s="449">
        <v>-4630.13</v>
      </c>
      <c r="H72" s="449">
        <v>53435</v>
      </c>
      <c r="I72" s="449">
        <v>-53278.61</v>
      </c>
      <c r="J72" s="449">
        <v>-4473.74</v>
      </c>
      <c r="K72" s="449">
        <v>56610</v>
      </c>
      <c r="L72" s="449">
        <v>-55553.94</v>
      </c>
      <c r="M72" s="449">
        <v>-3417.68</v>
      </c>
    </row>
    <row r="73" spans="2:13" ht="15" outlineLevel="1">
      <c r="B73" s="104" t="str">
        <f t="shared" si="1"/>
        <v>2117</v>
      </c>
      <c r="C73" s="448" t="s">
        <v>1775</v>
      </c>
      <c r="D73" s="449">
        <v>-246.59</v>
      </c>
      <c r="E73" s="449">
        <v>6003</v>
      </c>
      <c r="F73" s="449">
        <v>-6620.88</v>
      </c>
      <c r="G73" s="449">
        <v>-864.47</v>
      </c>
      <c r="H73" s="449">
        <v>7775</v>
      </c>
      <c r="I73" s="449">
        <v>-7755.39</v>
      </c>
      <c r="J73" s="449">
        <v>-844.86</v>
      </c>
      <c r="K73" s="449">
        <v>8386</v>
      </c>
      <c r="L73" s="449">
        <v>-8171.88</v>
      </c>
      <c r="M73" s="449">
        <v>-630.74</v>
      </c>
    </row>
    <row r="74" spans="2:13" ht="15" outlineLevel="1">
      <c r="B74" s="104" t="str">
        <f t="shared" si="1"/>
        <v>2117</v>
      </c>
      <c r="C74" s="448" t="s">
        <v>1776</v>
      </c>
      <c r="D74" s="449">
        <v>-153173.54</v>
      </c>
      <c r="E74" s="449">
        <v>864345.26</v>
      </c>
      <c r="F74" s="449">
        <v>-886986.23999999999</v>
      </c>
      <c r="G74" s="449">
        <v>-175814.52</v>
      </c>
      <c r="H74" s="449">
        <v>1168166.1100000001</v>
      </c>
      <c r="I74" s="449">
        <v>-1197405.95</v>
      </c>
      <c r="J74" s="449">
        <v>-205054.36</v>
      </c>
      <c r="K74" s="449">
        <v>1135025.21</v>
      </c>
      <c r="L74" s="449">
        <v>-1178940.26</v>
      </c>
      <c r="M74" s="449">
        <v>-248969.41</v>
      </c>
    </row>
    <row r="75" spans="2:13" ht="15" outlineLevel="1">
      <c r="B75" s="104" t="str">
        <f t="shared" si="1"/>
        <v>2117</v>
      </c>
      <c r="C75" s="448" t="s">
        <v>1777</v>
      </c>
      <c r="D75" s="449">
        <v>-2339.9499999999998</v>
      </c>
      <c r="E75" s="449">
        <v>217757.63</v>
      </c>
      <c r="F75" s="449">
        <v>-217757.63</v>
      </c>
      <c r="G75" s="449">
        <v>-2339.9499999999998</v>
      </c>
      <c r="H75" s="449">
        <v>248679.07</v>
      </c>
      <c r="I75" s="449">
        <v>-248679.07</v>
      </c>
      <c r="J75" s="449">
        <v>-2339.9499999999998</v>
      </c>
      <c r="K75" s="449">
        <v>191375.35999999999</v>
      </c>
      <c r="L75" s="449">
        <v>-191375.35999999999</v>
      </c>
      <c r="M75" s="449">
        <v>-2339.9499999999998</v>
      </c>
    </row>
    <row r="76" spans="2:13" ht="15" outlineLevel="1">
      <c r="B76" s="104" t="str">
        <f t="shared" si="1"/>
        <v>2117</v>
      </c>
      <c r="C76" s="448" t="s">
        <v>1778</v>
      </c>
      <c r="D76" s="450">
        <v>0</v>
      </c>
      <c r="E76" s="450">
        <v>0</v>
      </c>
      <c r="F76" s="450">
        <v>0</v>
      </c>
      <c r="G76" s="450">
        <v>0</v>
      </c>
      <c r="H76" s="450">
        <v>0</v>
      </c>
      <c r="I76" s="450">
        <v>0</v>
      </c>
      <c r="J76" s="450">
        <v>0</v>
      </c>
      <c r="K76" s="449">
        <v>502804.1</v>
      </c>
      <c r="L76" s="449">
        <v>-502804.1</v>
      </c>
      <c r="M76" s="449">
        <v>0</v>
      </c>
    </row>
    <row r="77" spans="2:13" ht="15" outlineLevel="1">
      <c r="B77" s="104" t="str">
        <f t="shared" si="1"/>
        <v>2117</v>
      </c>
      <c r="C77" s="448" t="s">
        <v>1779</v>
      </c>
      <c r="D77" s="450">
        <v>0</v>
      </c>
      <c r="E77" s="450">
        <v>0</v>
      </c>
      <c r="F77" s="450">
        <v>0</v>
      </c>
      <c r="G77" s="450">
        <v>0</v>
      </c>
      <c r="H77" s="450">
        <v>0</v>
      </c>
      <c r="I77" s="450">
        <v>0</v>
      </c>
      <c r="J77" s="450">
        <v>0</v>
      </c>
      <c r="K77" s="450">
        <v>0</v>
      </c>
      <c r="L77" s="450">
        <v>0</v>
      </c>
      <c r="M77" s="450">
        <v>0</v>
      </c>
    </row>
    <row r="78" spans="2:13" ht="15" outlineLevel="1">
      <c r="B78" s="104" t="str">
        <f t="shared" si="1"/>
        <v>2117</v>
      </c>
      <c r="C78" s="448" t="s">
        <v>1780</v>
      </c>
      <c r="D78" s="449">
        <v>-5590.8</v>
      </c>
      <c r="E78" s="449">
        <v>3867247.8</v>
      </c>
      <c r="F78" s="449">
        <v>-3867247.8</v>
      </c>
      <c r="G78" s="449">
        <v>-5590.8</v>
      </c>
      <c r="H78" s="449">
        <v>5176751.0199999996</v>
      </c>
      <c r="I78" s="449">
        <v>-5176751.0199999996</v>
      </c>
      <c r="J78" s="449">
        <v>-5590.8</v>
      </c>
      <c r="K78" s="449">
        <v>5599320.46</v>
      </c>
      <c r="L78" s="449">
        <v>-5599320.46</v>
      </c>
      <c r="M78" s="449">
        <v>-5590.8</v>
      </c>
    </row>
    <row r="79" spans="2:13" ht="15" outlineLevel="1">
      <c r="B79" s="104" t="str">
        <f t="shared" si="1"/>
        <v>2117</v>
      </c>
      <c r="C79" s="448" t="s">
        <v>1781</v>
      </c>
      <c r="D79" s="449">
        <v>0</v>
      </c>
      <c r="E79" s="449">
        <v>139258.63</v>
      </c>
      <c r="F79" s="449">
        <v>-139258.63</v>
      </c>
      <c r="G79" s="449">
        <v>0</v>
      </c>
      <c r="H79" s="449">
        <v>177218.51</v>
      </c>
      <c r="I79" s="449">
        <v>-177218.49</v>
      </c>
      <c r="J79" s="449">
        <v>0.02</v>
      </c>
      <c r="K79" s="449">
        <v>115594.16</v>
      </c>
      <c r="L79" s="449">
        <v>-115594.16</v>
      </c>
      <c r="M79" s="449">
        <v>0.02</v>
      </c>
    </row>
    <row r="80" spans="2:13" ht="15" outlineLevel="1">
      <c r="B80" s="104" t="str">
        <f t="shared" si="1"/>
        <v>2117</v>
      </c>
      <c r="C80" s="448" t="s">
        <v>1782</v>
      </c>
      <c r="D80" s="449">
        <v>-0.02</v>
      </c>
      <c r="E80" s="449">
        <v>9076.15</v>
      </c>
      <c r="F80" s="449">
        <v>-9076.16</v>
      </c>
      <c r="G80" s="449">
        <v>-0.03</v>
      </c>
      <c r="H80" s="449">
        <v>9463.81</v>
      </c>
      <c r="I80" s="449">
        <v>-9463.85</v>
      </c>
      <c r="J80" s="449">
        <v>-7.0000000000000007E-2</v>
      </c>
      <c r="K80" s="449">
        <v>7675.03</v>
      </c>
      <c r="L80" s="449">
        <v>-7675.03</v>
      </c>
      <c r="M80" s="449">
        <v>-7.0000000000000007E-2</v>
      </c>
    </row>
    <row r="81" spans="2:13" ht="15" outlineLevel="1">
      <c r="B81" s="104" t="str">
        <f t="shared" si="1"/>
        <v>2117</v>
      </c>
      <c r="C81" s="448" t="s">
        <v>1783</v>
      </c>
      <c r="D81" s="449">
        <v>0</v>
      </c>
      <c r="E81" s="450">
        <v>0</v>
      </c>
      <c r="F81" s="450">
        <v>0</v>
      </c>
      <c r="G81" s="450">
        <v>0</v>
      </c>
      <c r="H81" s="450">
        <v>0</v>
      </c>
      <c r="I81" s="450">
        <v>0</v>
      </c>
      <c r="J81" s="450">
        <v>0</v>
      </c>
      <c r="K81" s="450">
        <v>0</v>
      </c>
      <c r="L81" s="450">
        <v>0</v>
      </c>
      <c r="M81" s="450">
        <v>0</v>
      </c>
    </row>
    <row r="82" spans="2:13" ht="15" outlineLevel="1">
      <c r="B82" s="104" t="str">
        <f t="shared" si="1"/>
        <v>2117</v>
      </c>
      <c r="C82" s="448" t="s">
        <v>1784</v>
      </c>
      <c r="D82" s="450">
        <v>0</v>
      </c>
      <c r="E82" s="449">
        <v>30090.34</v>
      </c>
      <c r="F82" s="449">
        <v>-30090.34</v>
      </c>
      <c r="G82" s="449">
        <v>0</v>
      </c>
      <c r="H82" s="449">
        <v>54932.85</v>
      </c>
      <c r="I82" s="449">
        <v>-54932.85</v>
      </c>
      <c r="J82" s="449">
        <v>0</v>
      </c>
      <c r="K82" s="449">
        <v>6848.38</v>
      </c>
      <c r="L82" s="449">
        <v>-6848.38</v>
      </c>
      <c r="M82" s="449">
        <v>0</v>
      </c>
    </row>
    <row r="83" spans="2:13" ht="15" outlineLevel="1">
      <c r="B83" s="104" t="str">
        <f t="shared" si="1"/>
        <v>2117</v>
      </c>
      <c r="C83" s="448" t="s">
        <v>1785</v>
      </c>
      <c r="D83" s="450">
        <v>0</v>
      </c>
      <c r="E83" s="450">
        <v>0</v>
      </c>
      <c r="F83" s="450">
        <v>0</v>
      </c>
      <c r="G83" s="450">
        <v>0</v>
      </c>
      <c r="H83" s="450">
        <v>0</v>
      </c>
      <c r="I83" s="450">
        <v>0</v>
      </c>
      <c r="J83" s="450">
        <v>0</v>
      </c>
      <c r="K83" s="450">
        <v>0</v>
      </c>
      <c r="L83" s="450">
        <v>0</v>
      </c>
      <c r="M83" s="450">
        <v>0</v>
      </c>
    </row>
    <row r="84" spans="2:13" ht="15" outlineLevel="1">
      <c r="B84" s="104" t="str">
        <f t="shared" si="1"/>
        <v>2117</v>
      </c>
      <c r="C84" s="448" t="s">
        <v>1786</v>
      </c>
      <c r="D84" s="450">
        <v>0</v>
      </c>
      <c r="E84" s="449">
        <v>11401.91</v>
      </c>
      <c r="F84" s="449">
        <v>-11401.91</v>
      </c>
      <c r="G84" s="449">
        <v>0</v>
      </c>
      <c r="H84" s="449">
        <v>26270.09</v>
      </c>
      <c r="I84" s="449">
        <v>-26270.09</v>
      </c>
      <c r="J84" s="449">
        <v>0</v>
      </c>
      <c r="K84" s="449">
        <v>11178.2</v>
      </c>
      <c r="L84" s="449">
        <v>-11178.2</v>
      </c>
      <c r="M84" s="449">
        <v>0</v>
      </c>
    </row>
    <row r="85" spans="2:13" ht="15" outlineLevel="1">
      <c r="B85" s="104" t="str">
        <f t="shared" si="1"/>
        <v>2119</v>
      </c>
      <c r="C85" s="448" t="s">
        <v>1787</v>
      </c>
      <c r="D85" s="449">
        <v>-1.1000000000000001</v>
      </c>
      <c r="E85" s="449">
        <v>34131612.689999998</v>
      </c>
      <c r="F85" s="449">
        <v>-34308997.710000001</v>
      </c>
      <c r="G85" s="449">
        <v>-177386.12</v>
      </c>
      <c r="H85" s="449">
        <v>36519366.25</v>
      </c>
      <c r="I85" s="449">
        <v>-36341980.130000003</v>
      </c>
      <c r="J85" s="449">
        <v>0</v>
      </c>
      <c r="K85" s="449">
        <v>40705440.030000001</v>
      </c>
      <c r="L85" s="449">
        <v>-40705440.030000001</v>
      </c>
      <c r="M85" s="449">
        <v>0</v>
      </c>
    </row>
    <row r="86" spans="2:13" ht="15" outlineLevel="1">
      <c r="B86" s="104" t="str">
        <f t="shared" si="1"/>
        <v>2119</v>
      </c>
      <c r="C86" s="448" t="s">
        <v>1788</v>
      </c>
      <c r="D86" s="449">
        <v>0</v>
      </c>
      <c r="E86" s="450">
        <v>0</v>
      </c>
      <c r="F86" s="450">
        <v>0</v>
      </c>
      <c r="G86" s="450">
        <v>0</v>
      </c>
      <c r="H86" s="450">
        <v>0</v>
      </c>
      <c r="I86" s="450">
        <v>0</v>
      </c>
      <c r="J86" s="450">
        <v>0</v>
      </c>
      <c r="K86" s="450">
        <v>0</v>
      </c>
      <c r="L86" s="450">
        <v>0</v>
      </c>
      <c r="M86" s="450">
        <v>0</v>
      </c>
    </row>
    <row r="87" spans="2:13" ht="15" outlineLevel="1">
      <c r="B87" s="104" t="str">
        <f t="shared" si="1"/>
        <v>2119</v>
      </c>
      <c r="C87" s="448" t="s">
        <v>1789</v>
      </c>
      <c r="D87" s="449">
        <v>0</v>
      </c>
      <c r="E87" s="450">
        <v>0</v>
      </c>
      <c r="F87" s="449">
        <v>-634.73</v>
      </c>
      <c r="G87" s="449">
        <v>-634.73</v>
      </c>
      <c r="H87" s="450">
        <v>0</v>
      </c>
      <c r="I87" s="449">
        <v>-18735.13</v>
      </c>
      <c r="J87" s="449">
        <v>-19369.86</v>
      </c>
      <c r="K87" s="449">
        <v>23148.86</v>
      </c>
      <c r="L87" s="449">
        <v>-3779</v>
      </c>
      <c r="M87" s="449">
        <v>0</v>
      </c>
    </row>
    <row r="88" spans="2:13" ht="15" outlineLevel="1">
      <c r="B88" s="104" t="str">
        <f t="shared" si="1"/>
        <v>2119</v>
      </c>
      <c r="C88" s="448" t="s">
        <v>1790</v>
      </c>
      <c r="D88" s="450">
        <v>0</v>
      </c>
      <c r="E88" s="450">
        <v>0</v>
      </c>
      <c r="F88" s="450">
        <v>0</v>
      </c>
      <c r="G88" s="450">
        <v>0</v>
      </c>
      <c r="H88" s="449">
        <v>10000</v>
      </c>
      <c r="I88" s="449">
        <v>-10000</v>
      </c>
      <c r="J88" s="449">
        <v>0</v>
      </c>
      <c r="K88" s="450">
        <v>0</v>
      </c>
      <c r="L88" s="450">
        <v>0</v>
      </c>
      <c r="M88" s="450">
        <v>0</v>
      </c>
    </row>
    <row r="89" spans="2:13" ht="15" outlineLevel="1">
      <c r="B89" s="104" t="str">
        <f t="shared" si="1"/>
        <v>2119</v>
      </c>
      <c r="C89" s="448" t="s">
        <v>1791</v>
      </c>
      <c r="D89" s="449">
        <v>0</v>
      </c>
      <c r="E89" s="449">
        <v>4098.34</v>
      </c>
      <c r="F89" s="449">
        <v>-10701.62</v>
      </c>
      <c r="G89" s="449">
        <v>-6603.28</v>
      </c>
      <c r="H89" s="449">
        <v>3209.28</v>
      </c>
      <c r="I89" s="449">
        <v>-7817.38</v>
      </c>
      <c r="J89" s="449">
        <v>-11211.38</v>
      </c>
      <c r="K89" s="449">
        <v>18966.72</v>
      </c>
      <c r="L89" s="449">
        <v>-7755.34</v>
      </c>
      <c r="M89" s="449">
        <v>0</v>
      </c>
    </row>
    <row r="90" spans="2:13" ht="15" outlineLevel="1">
      <c r="B90" s="104" t="str">
        <f t="shared" si="1"/>
        <v>2119</v>
      </c>
      <c r="C90" s="448" t="s">
        <v>1792</v>
      </c>
      <c r="D90" s="449">
        <v>-331667</v>
      </c>
      <c r="E90" s="449">
        <v>810965</v>
      </c>
      <c r="F90" s="449">
        <v>-479298</v>
      </c>
      <c r="G90" s="449">
        <v>0</v>
      </c>
      <c r="H90" s="450">
        <v>0</v>
      </c>
      <c r="I90" s="450">
        <v>0</v>
      </c>
      <c r="J90" s="450">
        <v>0</v>
      </c>
      <c r="K90" s="450">
        <v>0</v>
      </c>
      <c r="L90" s="450">
        <v>0</v>
      </c>
      <c r="M90" s="450">
        <v>0</v>
      </c>
    </row>
    <row r="91" spans="2:13" ht="15" outlineLevel="1">
      <c r="B91" s="104" t="str">
        <f t="shared" si="1"/>
        <v>2159</v>
      </c>
      <c r="C91" s="448" t="s">
        <v>1793</v>
      </c>
      <c r="D91" s="450">
        <v>0</v>
      </c>
      <c r="E91" s="449">
        <v>33250</v>
      </c>
      <c r="F91" s="449">
        <v>-53500</v>
      </c>
      <c r="G91" s="449">
        <v>-20250</v>
      </c>
      <c r="H91" s="449">
        <v>1750</v>
      </c>
      <c r="I91" s="449">
        <v>0</v>
      </c>
      <c r="J91" s="449">
        <v>-18500</v>
      </c>
      <c r="K91" s="450">
        <v>0</v>
      </c>
      <c r="L91" s="449">
        <v>0</v>
      </c>
      <c r="M91" s="449">
        <v>-18500</v>
      </c>
    </row>
    <row r="92" spans="2:13" ht="15" outlineLevel="1">
      <c r="B92" s="104" t="str">
        <f t="shared" si="1"/>
        <v>2269</v>
      </c>
      <c r="C92" s="448" t="s">
        <v>1794</v>
      </c>
      <c r="D92" s="449">
        <v>-1880478.35</v>
      </c>
      <c r="E92" s="449">
        <v>419.58</v>
      </c>
      <c r="F92" s="449">
        <v>-107870.31</v>
      </c>
      <c r="G92" s="449">
        <v>-1987929.08</v>
      </c>
      <c r="H92" s="450">
        <v>0</v>
      </c>
      <c r="I92" s="449">
        <v>-70484.600000000006</v>
      </c>
      <c r="J92" s="449">
        <v>-2058413.68</v>
      </c>
      <c r="K92" s="449">
        <v>707.21</v>
      </c>
      <c r="L92" s="449">
        <v>-176265.92</v>
      </c>
      <c r="M92" s="449">
        <v>-2233972.39</v>
      </c>
    </row>
    <row r="93" spans="2:13" ht="15" outlineLevel="1">
      <c r="B93" s="104" t="str">
        <f t="shared" si="1"/>
        <v>3110</v>
      </c>
      <c r="C93" s="448" t="s">
        <v>1795</v>
      </c>
      <c r="D93" s="449">
        <v>-4520532.63</v>
      </c>
      <c r="E93" s="449">
        <v>5040233.6100000003</v>
      </c>
      <c r="F93" s="449">
        <v>-7531788.8399999999</v>
      </c>
      <c r="G93" s="449">
        <v>-7012087.8600000003</v>
      </c>
      <c r="H93" s="449">
        <v>8318510.29</v>
      </c>
      <c r="I93" s="449">
        <v>-4315329.33</v>
      </c>
      <c r="J93" s="449">
        <v>-3008906.9</v>
      </c>
      <c r="K93" s="449">
        <v>3117258.79</v>
      </c>
      <c r="L93" s="449">
        <v>-2570857.13</v>
      </c>
      <c r="M93" s="449">
        <v>-2462505.2400000002</v>
      </c>
    </row>
    <row r="94" spans="2:13" ht="15" outlineLevel="1">
      <c r="B94" s="104" t="str">
        <f t="shared" si="1"/>
        <v>3110</v>
      </c>
      <c r="C94" s="448" t="s">
        <v>1796</v>
      </c>
      <c r="D94" s="449">
        <v>-10573694.07</v>
      </c>
      <c r="E94" s="450">
        <v>0</v>
      </c>
      <c r="F94" s="449">
        <v>-4520532.63</v>
      </c>
      <c r="G94" s="449">
        <v>-15094226.699999999</v>
      </c>
      <c r="H94" s="450">
        <v>0</v>
      </c>
      <c r="I94" s="449">
        <v>-7012087.8600000003</v>
      </c>
      <c r="J94" s="449">
        <v>-22106314.559999999</v>
      </c>
      <c r="K94" s="450">
        <v>0</v>
      </c>
      <c r="L94" s="449">
        <v>-3008906.9</v>
      </c>
      <c r="M94" s="449">
        <v>-25115221.460000001</v>
      </c>
    </row>
    <row r="95" spans="2:13" ht="15" outlineLevel="1">
      <c r="B95" s="104" t="str">
        <f t="shared" si="1"/>
        <v>3110</v>
      </c>
      <c r="C95" s="448" t="s">
        <v>1797</v>
      </c>
      <c r="D95" s="449">
        <v>-1019452.44</v>
      </c>
      <c r="E95" s="449">
        <v>185325</v>
      </c>
      <c r="F95" s="449">
        <v>-330000</v>
      </c>
      <c r="G95" s="449">
        <v>-1164127.44</v>
      </c>
      <c r="H95" s="450">
        <v>0</v>
      </c>
      <c r="I95" s="449">
        <v>-444916.66</v>
      </c>
      <c r="J95" s="449">
        <v>-1609044.1</v>
      </c>
      <c r="K95" s="449">
        <v>1609044.1</v>
      </c>
      <c r="L95" s="449">
        <v>0</v>
      </c>
      <c r="M95" s="449">
        <v>0</v>
      </c>
    </row>
    <row r="96" spans="2:13" ht="15" outlineLevel="1">
      <c r="B96" s="104" t="str">
        <f t="shared" si="1"/>
        <v>3220</v>
      </c>
      <c r="C96" s="448" t="s">
        <v>1798</v>
      </c>
      <c r="D96" s="449">
        <v>22077.06</v>
      </c>
      <c r="E96" s="449">
        <v>0</v>
      </c>
      <c r="F96" s="450">
        <v>0</v>
      </c>
      <c r="G96" s="449">
        <v>22077.06</v>
      </c>
      <c r="H96" s="449">
        <v>0</v>
      </c>
      <c r="I96" s="450">
        <v>0</v>
      </c>
      <c r="J96" s="449">
        <v>22077.06</v>
      </c>
      <c r="K96" s="449">
        <v>0</v>
      </c>
      <c r="L96" s="450">
        <v>0</v>
      </c>
      <c r="M96" s="449">
        <v>22077.06</v>
      </c>
    </row>
    <row r="97" spans="2:13" ht="15" outlineLevel="1">
      <c r="B97" s="104" t="str">
        <f t="shared" si="1"/>
        <v>3220</v>
      </c>
      <c r="C97" s="448" t="s">
        <v>1799</v>
      </c>
      <c r="D97" s="449">
        <v>118830.46</v>
      </c>
      <c r="E97" s="449">
        <v>0</v>
      </c>
      <c r="F97" s="450">
        <v>0</v>
      </c>
      <c r="G97" s="449">
        <v>118830.46</v>
      </c>
      <c r="H97" s="449">
        <v>0</v>
      </c>
      <c r="I97" s="450">
        <v>0</v>
      </c>
      <c r="J97" s="449">
        <v>118830.46</v>
      </c>
      <c r="K97" s="449">
        <v>0</v>
      </c>
      <c r="L97" s="450">
        <v>0</v>
      </c>
      <c r="M97" s="449">
        <v>118830.46</v>
      </c>
    </row>
    <row r="98" spans="2:13" ht="15" outlineLevel="1">
      <c r="B98" s="104" t="str">
        <f t="shared" si="1"/>
        <v>3220</v>
      </c>
      <c r="C98" s="448" t="s">
        <v>1800</v>
      </c>
      <c r="D98" s="449">
        <v>920176.59</v>
      </c>
      <c r="E98" s="449">
        <v>0</v>
      </c>
      <c r="F98" s="450">
        <v>0</v>
      </c>
      <c r="G98" s="449">
        <v>920176.59</v>
      </c>
      <c r="H98" s="449">
        <v>0</v>
      </c>
      <c r="I98" s="450">
        <v>0</v>
      </c>
      <c r="J98" s="449">
        <v>920176.59</v>
      </c>
      <c r="K98" s="449">
        <v>0</v>
      </c>
      <c r="L98" s="450">
        <v>0</v>
      </c>
      <c r="M98" s="449">
        <v>920176.59</v>
      </c>
    </row>
    <row r="99" spans="2:13" ht="15" outlineLevel="1">
      <c r="B99" s="104" t="str">
        <f t="shared" si="1"/>
        <v>3220</v>
      </c>
      <c r="C99" s="448" t="s">
        <v>1801</v>
      </c>
      <c r="D99" s="449">
        <v>965800.64</v>
      </c>
      <c r="E99" s="449">
        <v>0</v>
      </c>
      <c r="F99" s="450">
        <v>0</v>
      </c>
      <c r="G99" s="449">
        <v>965800.64</v>
      </c>
      <c r="H99" s="449">
        <v>0</v>
      </c>
      <c r="I99" s="450">
        <v>0</v>
      </c>
      <c r="J99" s="449">
        <v>965800.64</v>
      </c>
      <c r="K99" s="449">
        <v>0</v>
      </c>
      <c r="L99" s="450">
        <v>0</v>
      </c>
      <c r="M99" s="449">
        <v>965800.64</v>
      </c>
    </row>
    <row r="100" spans="2:13" ht="15" outlineLevel="1">
      <c r="B100" s="104" t="str">
        <f t="shared" si="1"/>
        <v>3220</v>
      </c>
      <c r="C100" s="448" t="s">
        <v>1802</v>
      </c>
      <c r="D100" s="449">
        <v>780734.41</v>
      </c>
      <c r="E100" s="449">
        <v>4681.6000000000004</v>
      </c>
      <c r="F100" s="450">
        <v>0</v>
      </c>
      <c r="G100" s="449">
        <v>785416.01</v>
      </c>
      <c r="H100" s="449">
        <v>0</v>
      </c>
      <c r="I100" s="450">
        <v>0</v>
      </c>
      <c r="J100" s="449">
        <v>785416.01</v>
      </c>
      <c r="K100" s="449">
        <v>0</v>
      </c>
      <c r="L100" s="450">
        <v>0</v>
      </c>
      <c r="M100" s="449">
        <v>785416.01</v>
      </c>
    </row>
    <row r="101" spans="2:13" ht="15" outlineLevel="1">
      <c r="B101" s="104" t="str">
        <f t="shared" si="1"/>
        <v>3220</v>
      </c>
      <c r="C101" s="448" t="s">
        <v>1803</v>
      </c>
      <c r="D101" s="449">
        <v>1304007.5900000001</v>
      </c>
      <c r="E101" s="449">
        <v>738</v>
      </c>
      <c r="F101" s="449">
        <v>0</v>
      </c>
      <c r="G101" s="449">
        <v>1304745.5900000001</v>
      </c>
      <c r="H101" s="449">
        <v>0</v>
      </c>
      <c r="I101" s="449">
        <v>0</v>
      </c>
      <c r="J101" s="449">
        <v>1304745.5900000001</v>
      </c>
      <c r="K101" s="449">
        <v>0</v>
      </c>
      <c r="L101" s="449">
        <v>0</v>
      </c>
      <c r="M101" s="449">
        <v>1304745.5900000001</v>
      </c>
    </row>
    <row r="102" spans="2:13" ht="15" outlineLevel="1">
      <c r="B102" s="104" t="str">
        <f t="shared" si="1"/>
        <v>3220</v>
      </c>
      <c r="C102" s="448" t="s">
        <v>1804</v>
      </c>
      <c r="D102" s="449">
        <v>226745.04</v>
      </c>
      <c r="E102" s="449">
        <v>45159.41</v>
      </c>
      <c r="F102" s="450">
        <v>0</v>
      </c>
      <c r="G102" s="449">
        <v>271904.45</v>
      </c>
      <c r="H102" s="449">
        <v>0</v>
      </c>
      <c r="I102" s="450">
        <v>0</v>
      </c>
      <c r="J102" s="449">
        <v>271904.45</v>
      </c>
      <c r="K102" s="449">
        <v>0</v>
      </c>
      <c r="L102" s="449">
        <v>-684258.34</v>
      </c>
      <c r="M102" s="449">
        <v>-412353.89</v>
      </c>
    </row>
    <row r="103" spans="2:13" ht="15" outlineLevel="1">
      <c r="B103" s="104" t="str">
        <f t="shared" si="1"/>
        <v>3220</v>
      </c>
      <c r="C103" s="448" t="s">
        <v>1805</v>
      </c>
      <c r="D103" s="449">
        <v>556049.84</v>
      </c>
      <c r="E103" s="449">
        <v>0</v>
      </c>
      <c r="F103" s="450">
        <v>0</v>
      </c>
      <c r="G103" s="449">
        <v>556049.84</v>
      </c>
      <c r="H103" s="449">
        <v>0</v>
      </c>
      <c r="I103" s="450">
        <v>0</v>
      </c>
      <c r="J103" s="449">
        <v>556049.84</v>
      </c>
      <c r="K103" s="449">
        <v>0</v>
      </c>
      <c r="L103" s="449">
        <v>-64264.17</v>
      </c>
      <c r="M103" s="449">
        <v>491785.67</v>
      </c>
    </row>
    <row r="104" spans="2:13" ht="15" outlineLevel="1">
      <c r="B104" s="104" t="str">
        <f t="shared" si="1"/>
        <v>3220</v>
      </c>
      <c r="C104" s="448" t="s">
        <v>1806</v>
      </c>
      <c r="D104" s="449">
        <v>-4048007.42</v>
      </c>
      <c r="E104" s="450">
        <v>0</v>
      </c>
      <c r="F104" s="449">
        <v>0</v>
      </c>
      <c r="G104" s="449">
        <v>-4048007.42</v>
      </c>
      <c r="H104" s="450">
        <v>0</v>
      </c>
      <c r="I104" s="449">
        <v>0</v>
      </c>
      <c r="J104" s="449">
        <v>-4048007.42</v>
      </c>
      <c r="K104" s="450">
        <v>0</v>
      </c>
      <c r="L104" s="449">
        <v>-110000</v>
      </c>
      <c r="M104" s="449">
        <v>-4158007.42</v>
      </c>
    </row>
    <row r="105" spans="2:13" ht="15" outlineLevel="1">
      <c r="B105" s="104" t="str">
        <f t="shared" si="1"/>
        <v>3220</v>
      </c>
      <c r="C105" s="448" t="s">
        <v>1807</v>
      </c>
      <c r="D105" s="449">
        <v>0</v>
      </c>
      <c r="E105" s="449">
        <v>116983.27</v>
      </c>
      <c r="F105" s="449">
        <v>-16983.27</v>
      </c>
      <c r="G105" s="449">
        <v>631199.18999999994</v>
      </c>
      <c r="H105" s="449">
        <v>0</v>
      </c>
      <c r="I105" s="449">
        <v>0</v>
      </c>
      <c r="J105" s="449">
        <v>631199.18999999994</v>
      </c>
      <c r="K105" s="449">
        <v>0</v>
      </c>
      <c r="L105" s="449">
        <v>-160929.93</v>
      </c>
      <c r="M105" s="449">
        <v>470269.26</v>
      </c>
    </row>
    <row r="106" spans="2:13" ht="15" outlineLevel="1">
      <c r="B106" s="104" t="str">
        <f t="shared" si="1"/>
        <v>3220</v>
      </c>
      <c r="C106" s="448" t="s">
        <v>1808</v>
      </c>
      <c r="D106" s="450">
        <v>0</v>
      </c>
      <c r="E106" s="450">
        <v>0</v>
      </c>
      <c r="F106" s="450">
        <v>0</v>
      </c>
      <c r="G106" s="450">
        <v>0</v>
      </c>
      <c r="H106" s="449">
        <v>25565.48</v>
      </c>
      <c r="I106" s="449">
        <v>-25565.48</v>
      </c>
      <c r="J106" s="449">
        <v>1332152.8400000001</v>
      </c>
      <c r="K106" s="449">
        <v>0</v>
      </c>
      <c r="L106" s="449">
        <v>-144675</v>
      </c>
      <c r="M106" s="449">
        <v>1187477.8400000001</v>
      </c>
    </row>
    <row r="107" spans="2:13" ht="15" outlineLevel="1">
      <c r="B107" s="104" t="str">
        <f t="shared" si="1"/>
        <v>3220</v>
      </c>
      <c r="C107" s="448" t="s">
        <v>1809</v>
      </c>
      <c r="D107" s="450">
        <v>0</v>
      </c>
      <c r="E107" s="450">
        <v>0</v>
      </c>
      <c r="F107" s="450">
        <v>0</v>
      </c>
      <c r="G107" s="450">
        <v>0</v>
      </c>
      <c r="H107" s="450">
        <v>0</v>
      </c>
      <c r="I107" s="450">
        <v>0</v>
      </c>
      <c r="J107" s="450">
        <v>0</v>
      </c>
      <c r="K107" s="449">
        <v>3779</v>
      </c>
      <c r="L107" s="449">
        <v>-448695.66</v>
      </c>
      <c r="M107" s="449">
        <v>1039709.02</v>
      </c>
    </row>
    <row r="108" spans="2:13" ht="15" outlineLevel="1">
      <c r="B108" s="104" t="str">
        <f t="shared" si="1"/>
        <v>3220</v>
      </c>
      <c r="C108" s="448" t="s">
        <v>1810</v>
      </c>
      <c r="D108" s="449">
        <v>-3291388.56</v>
      </c>
      <c r="E108" s="450">
        <v>0</v>
      </c>
      <c r="F108" s="449">
        <v>-100000</v>
      </c>
      <c r="G108" s="449">
        <v>-3391388.56</v>
      </c>
      <c r="H108" s="450">
        <v>0</v>
      </c>
      <c r="I108" s="449">
        <v>0</v>
      </c>
      <c r="J108" s="449">
        <v>-3391388.56</v>
      </c>
      <c r="K108" s="450">
        <v>0</v>
      </c>
      <c r="L108" s="449">
        <v>0</v>
      </c>
      <c r="M108" s="449">
        <v>-3391388.56</v>
      </c>
    </row>
    <row r="109" spans="2:13" ht="15" outlineLevel="1">
      <c r="B109" s="104" t="str">
        <f t="shared" si="1"/>
        <v>3220</v>
      </c>
      <c r="C109" s="448" t="s">
        <v>1811</v>
      </c>
      <c r="D109" s="449">
        <v>1143346.4099999999</v>
      </c>
      <c r="E109" s="449">
        <v>0</v>
      </c>
      <c r="F109" s="450">
        <v>0</v>
      </c>
      <c r="G109" s="449">
        <v>1143346.4099999999</v>
      </c>
      <c r="H109" s="449">
        <v>0</v>
      </c>
      <c r="I109" s="450">
        <v>0</v>
      </c>
      <c r="J109" s="449">
        <v>1143346.4099999999</v>
      </c>
      <c r="K109" s="449">
        <v>0</v>
      </c>
      <c r="L109" s="450">
        <v>0</v>
      </c>
      <c r="M109" s="449">
        <v>1143346.4099999999</v>
      </c>
    </row>
    <row r="110" spans="2:13" ht="15" outlineLevel="1">
      <c r="B110" s="104" t="str">
        <f t="shared" si="1"/>
        <v>3220</v>
      </c>
      <c r="C110" s="448" t="s">
        <v>1812</v>
      </c>
      <c r="D110" s="449">
        <v>-1143346.4099999999</v>
      </c>
      <c r="E110" s="450">
        <v>0</v>
      </c>
      <c r="F110" s="449">
        <v>0</v>
      </c>
      <c r="G110" s="449">
        <v>-1143346.4099999999</v>
      </c>
      <c r="H110" s="450">
        <v>0</v>
      </c>
      <c r="I110" s="449">
        <v>0</v>
      </c>
      <c r="J110" s="449">
        <v>-1143346.4099999999</v>
      </c>
      <c r="K110" s="450">
        <v>0</v>
      </c>
      <c r="L110" s="449">
        <v>0</v>
      </c>
      <c r="M110" s="449">
        <v>-1143346.4099999999</v>
      </c>
    </row>
    <row r="111" spans="2:13" ht="15" outlineLevel="1">
      <c r="B111" s="104" t="str">
        <f t="shared" si="1"/>
        <v>4172</v>
      </c>
      <c r="C111" s="448" t="s">
        <v>1813</v>
      </c>
      <c r="D111" s="450">
        <v>0</v>
      </c>
      <c r="E111" s="450">
        <v>0</v>
      </c>
      <c r="F111" s="450">
        <v>0</v>
      </c>
      <c r="G111" s="450">
        <v>0</v>
      </c>
      <c r="H111" s="450">
        <v>0</v>
      </c>
      <c r="I111" s="450">
        <v>0</v>
      </c>
      <c r="J111" s="450">
        <v>0</v>
      </c>
      <c r="K111" s="450">
        <v>0</v>
      </c>
      <c r="L111" s="450">
        <v>0</v>
      </c>
      <c r="M111" s="450">
        <v>0</v>
      </c>
    </row>
    <row r="112" spans="2:13" ht="15" outlineLevel="1">
      <c r="B112" s="104" t="str">
        <f t="shared" si="1"/>
        <v>4172</v>
      </c>
      <c r="C112" s="448" t="s">
        <v>1814</v>
      </c>
      <c r="D112" s="450">
        <v>0</v>
      </c>
      <c r="E112" s="450">
        <v>0</v>
      </c>
      <c r="F112" s="450">
        <v>0</v>
      </c>
      <c r="G112" s="450">
        <v>0</v>
      </c>
      <c r="H112" s="450">
        <v>0</v>
      </c>
      <c r="I112" s="450">
        <v>0</v>
      </c>
      <c r="J112" s="450">
        <v>0</v>
      </c>
      <c r="K112" s="450">
        <v>0</v>
      </c>
      <c r="L112" s="450">
        <v>0</v>
      </c>
      <c r="M112" s="450">
        <v>0</v>
      </c>
    </row>
    <row r="113" spans="2:13" ht="15" outlineLevel="1">
      <c r="B113" s="104" t="str">
        <f t="shared" si="1"/>
        <v>4172</v>
      </c>
      <c r="C113" s="448" t="s">
        <v>1815</v>
      </c>
      <c r="D113" s="450">
        <v>0</v>
      </c>
      <c r="E113" s="450">
        <v>0</v>
      </c>
      <c r="F113" s="450">
        <v>0</v>
      </c>
      <c r="G113" s="450">
        <v>0</v>
      </c>
      <c r="H113" s="450">
        <v>0</v>
      </c>
      <c r="I113" s="450">
        <v>0</v>
      </c>
      <c r="J113" s="450">
        <v>0</v>
      </c>
      <c r="K113" s="450">
        <v>0</v>
      </c>
      <c r="L113" s="450">
        <v>0</v>
      </c>
      <c r="M113" s="450">
        <v>0</v>
      </c>
    </row>
    <row r="114" spans="2:13" ht="15" outlineLevel="1">
      <c r="B114" s="104" t="str">
        <f t="shared" si="1"/>
        <v>4172</v>
      </c>
      <c r="C114" s="448" t="s">
        <v>1816</v>
      </c>
      <c r="D114" s="450">
        <v>0</v>
      </c>
      <c r="E114" s="450">
        <v>0</v>
      </c>
      <c r="F114" s="450">
        <v>0</v>
      </c>
      <c r="G114" s="450">
        <v>0</v>
      </c>
      <c r="H114" s="450">
        <v>0</v>
      </c>
      <c r="I114" s="450">
        <v>0</v>
      </c>
      <c r="J114" s="450">
        <v>0</v>
      </c>
      <c r="K114" s="450">
        <v>0</v>
      </c>
      <c r="L114" s="450">
        <v>0</v>
      </c>
      <c r="M114" s="450">
        <v>0</v>
      </c>
    </row>
    <row r="115" spans="2:13" ht="15" outlineLevel="1">
      <c r="B115" s="104" t="str">
        <f t="shared" si="1"/>
        <v>4173</v>
      </c>
      <c r="C115" s="448" t="s">
        <v>1817</v>
      </c>
      <c r="D115" s="449">
        <v>-1206650</v>
      </c>
      <c r="E115" s="450">
        <v>0</v>
      </c>
      <c r="F115" s="449">
        <v>-504557</v>
      </c>
      <c r="G115" s="449">
        <v>-504557</v>
      </c>
      <c r="H115" s="449">
        <v>4000</v>
      </c>
      <c r="I115" s="449">
        <v>-680001.07</v>
      </c>
      <c r="J115" s="449">
        <v>-676001.07</v>
      </c>
      <c r="K115" s="449">
        <v>68500</v>
      </c>
      <c r="L115" s="449">
        <v>-1965000</v>
      </c>
      <c r="M115" s="449">
        <v>-1896500</v>
      </c>
    </row>
    <row r="116" spans="2:13" ht="15" outlineLevel="1">
      <c r="B116" s="104" t="str">
        <f t="shared" si="1"/>
        <v>4173</v>
      </c>
      <c r="C116" s="448" t="s">
        <v>1818</v>
      </c>
      <c r="D116" s="449">
        <v>-2530</v>
      </c>
      <c r="E116" s="450">
        <v>0</v>
      </c>
      <c r="F116" s="449">
        <v>-960</v>
      </c>
      <c r="G116" s="449">
        <v>-960</v>
      </c>
      <c r="H116" s="450">
        <v>0</v>
      </c>
      <c r="I116" s="449">
        <v>-420</v>
      </c>
      <c r="J116" s="449">
        <v>-420</v>
      </c>
      <c r="K116" s="450">
        <v>0</v>
      </c>
      <c r="L116" s="449">
        <v>-880</v>
      </c>
      <c r="M116" s="449">
        <v>-880</v>
      </c>
    </row>
    <row r="117" spans="2:13" ht="15" outlineLevel="1">
      <c r="B117" s="104" t="str">
        <f t="shared" si="1"/>
        <v>4173</v>
      </c>
      <c r="C117" s="448" t="s">
        <v>1819</v>
      </c>
      <c r="D117" s="449">
        <v>-126943.79</v>
      </c>
      <c r="E117" s="449">
        <v>96021.18</v>
      </c>
      <c r="F117" s="449">
        <v>-243823.92</v>
      </c>
      <c r="G117" s="449">
        <v>-147802.74</v>
      </c>
      <c r="H117" s="449">
        <v>16300.51</v>
      </c>
      <c r="I117" s="449">
        <v>-245820.61</v>
      </c>
      <c r="J117" s="449">
        <v>-229520.1</v>
      </c>
      <c r="K117" s="449">
        <v>2263.42</v>
      </c>
      <c r="L117" s="449">
        <v>-1030417.73</v>
      </c>
      <c r="M117" s="449">
        <v>-1028154.31</v>
      </c>
    </row>
    <row r="118" spans="2:13" ht="15" outlineLevel="1">
      <c r="B118" s="104" t="str">
        <f t="shared" si="1"/>
        <v>4173</v>
      </c>
      <c r="C118" s="448" t="s">
        <v>1820</v>
      </c>
      <c r="D118" s="449">
        <v>0</v>
      </c>
      <c r="E118" s="450">
        <v>0</v>
      </c>
      <c r="F118" s="450">
        <v>0</v>
      </c>
      <c r="G118" s="450">
        <v>0</v>
      </c>
      <c r="H118" s="450">
        <v>0</v>
      </c>
      <c r="I118" s="450">
        <v>0</v>
      </c>
      <c r="J118" s="450">
        <v>0</v>
      </c>
      <c r="K118" s="450">
        <v>0</v>
      </c>
      <c r="L118" s="450">
        <v>0</v>
      </c>
      <c r="M118" s="450">
        <v>0</v>
      </c>
    </row>
    <row r="119" spans="2:13" ht="15" outlineLevel="1">
      <c r="B119" s="104" t="str">
        <f t="shared" si="1"/>
        <v>4221</v>
      </c>
      <c r="C119" s="448" t="s">
        <v>1821</v>
      </c>
      <c r="D119" s="449">
        <v>-44229045</v>
      </c>
      <c r="E119" s="449">
        <v>4945805.08</v>
      </c>
      <c r="F119" s="449">
        <v>-57784298.950000003</v>
      </c>
      <c r="G119" s="449">
        <v>-52838493.869999997</v>
      </c>
      <c r="H119" s="449">
        <v>311391.06</v>
      </c>
      <c r="I119" s="449">
        <v>-56903462.380000003</v>
      </c>
      <c r="J119" s="449">
        <v>-56592071.32</v>
      </c>
      <c r="K119" s="449">
        <v>830172.23</v>
      </c>
      <c r="L119" s="449">
        <v>-66754296.420000002</v>
      </c>
      <c r="M119" s="449">
        <v>-65924124.189999998</v>
      </c>
    </row>
    <row r="120" spans="2:13" ht="15" outlineLevel="1">
      <c r="B120" s="104" t="str">
        <f t="shared" si="1"/>
        <v>4221</v>
      </c>
      <c r="C120" s="448" t="s">
        <v>1822</v>
      </c>
      <c r="D120" s="449">
        <v>-1291024.31</v>
      </c>
      <c r="E120" s="449">
        <v>688163.06</v>
      </c>
      <c r="F120" s="449">
        <v>-2115642.87</v>
      </c>
      <c r="G120" s="449">
        <v>-1427479.81</v>
      </c>
      <c r="H120" s="449">
        <v>280925.37</v>
      </c>
      <c r="I120" s="449">
        <v>-2165462.36</v>
      </c>
      <c r="J120" s="449">
        <v>-1884536.99</v>
      </c>
      <c r="K120" s="449">
        <v>360752.79</v>
      </c>
      <c r="L120" s="449">
        <v>-2260191.36</v>
      </c>
      <c r="M120" s="449">
        <v>-1899438.57</v>
      </c>
    </row>
    <row r="121" spans="2:13" ht="15" outlineLevel="1">
      <c r="B121" s="104" t="str">
        <f t="shared" si="1"/>
        <v>4221</v>
      </c>
      <c r="C121" s="448" t="s">
        <v>1823</v>
      </c>
      <c r="D121" s="449">
        <v>-12421440.689999999</v>
      </c>
      <c r="E121" s="449">
        <v>3384234.85</v>
      </c>
      <c r="F121" s="449">
        <v>-15610617.75</v>
      </c>
      <c r="G121" s="449">
        <v>-12226382.9</v>
      </c>
      <c r="H121" s="449">
        <v>1554764.71</v>
      </c>
      <c r="I121" s="449">
        <v>-15447934.25</v>
      </c>
      <c r="J121" s="449">
        <v>-13893169.539999999</v>
      </c>
      <c r="K121" s="449">
        <v>1307600.98</v>
      </c>
      <c r="L121" s="449">
        <v>-16959738.09</v>
      </c>
      <c r="M121" s="449">
        <v>-15652137.109999999</v>
      </c>
    </row>
    <row r="122" spans="2:13" ht="15" outlineLevel="1">
      <c r="B122" s="104" t="str">
        <f t="shared" si="1"/>
        <v>4221</v>
      </c>
      <c r="C122" s="448" t="s">
        <v>1824</v>
      </c>
      <c r="D122" s="449">
        <v>0</v>
      </c>
      <c r="E122" s="449">
        <v>309948.26</v>
      </c>
      <c r="F122" s="449">
        <v>-309948.26</v>
      </c>
      <c r="G122" s="449">
        <v>0</v>
      </c>
      <c r="H122" s="450">
        <v>0</v>
      </c>
      <c r="I122" s="450">
        <v>0</v>
      </c>
      <c r="J122" s="450">
        <v>0</v>
      </c>
      <c r="K122" s="450">
        <v>0</v>
      </c>
      <c r="L122" s="450">
        <v>0</v>
      </c>
      <c r="M122" s="450">
        <v>0</v>
      </c>
    </row>
    <row r="123" spans="2:13" ht="15" outlineLevel="1">
      <c r="B123" s="104" t="str">
        <f t="shared" si="1"/>
        <v>4221</v>
      </c>
      <c r="C123" s="448" t="s">
        <v>1825</v>
      </c>
      <c r="D123" s="449">
        <v>0</v>
      </c>
      <c r="E123" s="449">
        <v>6292983.71</v>
      </c>
      <c r="F123" s="449">
        <v>-6292983.71</v>
      </c>
      <c r="G123" s="449">
        <v>0</v>
      </c>
      <c r="H123" s="449">
        <v>2902240.83</v>
      </c>
      <c r="I123" s="449">
        <v>-2902240.83</v>
      </c>
      <c r="J123" s="449">
        <v>0</v>
      </c>
      <c r="K123" s="449">
        <v>250000</v>
      </c>
      <c r="L123" s="449">
        <v>-250000</v>
      </c>
      <c r="M123" s="449">
        <v>0</v>
      </c>
    </row>
    <row r="124" spans="2:13" ht="15" outlineLevel="1">
      <c r="B124" s="104" t="str">
        <f t="shared" si="1"/>
        <v>5111</v>
      </c>
      <c r="C124" s="448" t="s">
        <v>1826</v>
      </c>
      <c r="D124" s="449">
        <v>10822415.970000001</v>
      </c>
      <c r="E124" s="449">
        <v>12052287.33</v>
      </c>
      <c r="F124" s="449">
        <v>-25769.09</v>
      </c>
      <c r="G124" s="449">
        <v>12026518.24</v>
      </c>
      <c r="H124" s="449">
        <v>15947730.199999999</v>
      </c>
      <c r="I124" s="449">
        <v>-2207347.17</v>
      </c>
      <c r="J124" s="449">
        <v>13740383.029999999</v>
      </c>
      <c r="K124" s="449">
        <v>16023349.42</v>
      </c>
      <c r="L124" s="449">
        <v>-602686.42000000004</v>
      </c>
      <c r="M124" s="449">
        <v>15420663</v>
      </c>
    </row>
    <row r="125" spans="2:13" ht="15" outlineLevel="1">
      <c r="B125" s="104" t="str">
        <f t="shared" si="1"/>
        <v>5112</v>
      </c>
      <c r="C125" s="448" t="s">
        <v>1827</v>
      </c>
      <c r="D125" s="450">
        <v>0</v>
      </c>
      <c r="E125" s="449">
        <v>2088</v>
      </c>
      <c r="F125" s="450">
        <v>0</v>
      </c>
      <c r="G125" s="449">
        <v>2088</v>
      </c>
      <c r="H125" s="449">
        <v>17400</v>
      </c>
      <c r="I125" s="450">
        <v>0</v>
      </c>
      <c r="J125" s="449">
        <v>17400</v>
      </c>
      <c r="K125" s="450">
        <v>0</v>
      </c>
      <c r="L125" s="450">
        <v>0</v>
      </c>
      <c r="M125" s="450">
        <v>0</v>
      </c>
    </row>
    <row r="126" spans="2:13" ht="15" outlineLevel="1">
      <c r="B126" s="104" t="str">
        <f t="shared" si="1"/>
        <v>5112</v>
      </c>
      <c r="C126" s="448" t="s">
        <v>1828</v>
      </c>
      <c r="D126" s="449">
        <v>1870772.9</v>
      </c>
      <c r="E126" s="449">
        <v>2231658.08</v>
      </c>
      <c r="F126" s="449">
        <v>-6903.49</v>
      </c>
      <c r="G126" s="449">
        <v>2224754.59</v>
      </c>
      <c r="H126" s="449">
        <v>2204666.3199999998</v>
      </c>
      <c r="I126" s="449">
        <v>-34226.82</v>
      </c>
      <c r="J126" s="449">
        <v>2170439.5</v>
      </c>
      <c r="K126" s="449">
        <v>2555732.5299999998</v>
      </c>
      <c r="L126" s="449">
        <v>-36195.089999999997</v>
      </c>
      <c r="M126" s="449">
        <v>2519537.44</v>
      </c>
    </row>
    <row r="127" spans="2:13" ht="15" outlineLevel="1">
      <c r="B127" s="104" t="str">
        <f t="shared" si="1"/>
        <v>5113</v>
      </c>
      <c r="C127" s="448" t="s">
        <v>1829</v>
      </c>
      <c r="D127" s="449">
        <v>27769.75</v>
      </c>
      <c r="E127" s="449">
        <v>29364.42</v>
      </c>
      <c r="F127" s="449">
        <v>-163.26</v>
      </c>
      <c r="G127" s="449">
        <v>29201.16</v>
      </c>
      <c r="H127" s="449">
        <v>34747.56</v>
      </c>
      <c r="I127" s="449">
        <v>-4872.67</v>
      </c>
      <c r="J127" s="449">
        <v>29874.89</v>
      </c>
      <c r="K127" s="449">
        <v>34919.68</v>
      </c>
      <c r="L127" s="449">
        <v>-1541.14</v>
      </c>
      <c r="M127" s="449">
        <v>33378.54</v>
      </c>
    </row>
    <row r="128" spans="2:13" ht="15" outlineLevel="1">
      <c r="B128" s="104" t="str">
        <f t="shared" si="1"/>
        <v>5113</v>
      </c>
      <c r="C128" s="448" t="s">
        <v>1830</v>
      </c>
      <c r="D128" s="449">
        <v>899995.44</v>
      </c>
      <c r="E128" s="449">
        <v>1181176.94</v>
      </c>
      <c r="F128" s="449">
        <v>-55191.73</v>
      </c>
      <c r="G128" s="449">
        <v>1125985.21</v>
      </c>
      <c r="H128" s="449">
        <v>1753105.6</v>
      </c>
      <c r="I128" s="449">
        <v>-570135.27</v>
      </c>
      <c r="J128" s="449">
        <v>1182970.33</v>
      </c>
      <c r="K128" s="449">
        <v>1365731.7</v>
      </c>
      <c r="L128" s="450">
        <v>0</v>
      </c>
      <c r="M128" s="449">
        <v>1365731.7</v>
      </c>
    </row>
    <row r="129" spans="2:13" ht="15" outlineLevel="1">
      <c r="B129" s="104" t="str">
        <f t="shared" si="1"/>
        <v>5113</v>
      </c>
      <c r="C129" s="448" t="s">
        <v>1831</v>
      </c>
      <c r="D129" s="449">
        <v>4102116.35</v>
      </c>
      <c r="E129" s="449">
        <v>4726287.72</v>
      </c>
      <c r="F129" s="449">
        <v>-120285.27</v>
      </c>
      <c r="G129" s="449">
        <v>4606002.45</v>
      </c>
      <c r="H129" s="449">
        <v>7704904.7400000002</v>
      </c>
      <c r="I129" s="449">
        <v>-2476256.2000000002</v>
      </c>
      <c r="J129" s="449">
        <v>5228648.54</v>
      </c>
      <c r="K129" s="449">
        <v>6000623.5800000001</v>
      </c>
      <c r="L129" s="450">
        <v>0</v>
      </c>
      <c r="M129" s="449">
        <v>6000623.5800000001</v>
      </c>
    </row>
    <row r="130" spans="2:13" ht="15" outlineLevel="1">
      <c r="B130" s="104" t="str">
        <f t="shared" si="1"/>
        <v>5113</v>
      </c>
      <c r="C130" s="448" t="s">
        <v>1832</v>
      </c>
      <c r="D130" s="449">
        <v>124563.05</v>
      </c>
      <c r="E130" s="449">
        <v>112978.96</v>
      </c>
      <c r="F130" s="450">
        <v>0</v>
      </c>
      <c r="G130" s="449">
        <v>112978.96</v>
      </c>
      <c r="H130" s="449">
        <v>97256.35</v>
      </c>
      <c r="I130" s="449">
        <v>-24971.73</v>
      </c>
      <c r="J130" s="449">
        <v>72284.62</v>
      </c>
      <c r="K130" s="449">
        <v>336865.65</v>
      </c>
      <c r="L130" s="449">
        <v>-7719.63</v>
      </c>
      <c r="M130" s="449">
        <v>329146.02</v>
      </c>
    </row>
    <row r="131" spans="2:13" ht="15" outlineLevel="1">
      <c r="B131" s="104" t="str">
        <f t="shared" si="1"/>
        <v>5114</v>
      </c>
      <c r="C131" s="448" t="s">
        <v>1833</v>
      </c>
      <c r="D131" s="449">
        <v>2032142.46</v>
      </c>
      <c r="E131" s="449">
        <v>2365289.11</v>
      </c>
      <c r="F131" s="449">
        <v>-2352.75</v>
      </c>
      <c r="G131" s="449">
        <v>2362936.36</v>
      </c>
      <c r="H131" s="449">
        <v>3283640.65</v>
      </c>
      <c r="I131" s="449">
        <v>-448172.5</v>
      </c>
      <c r="J131" s="449">
        <v>2835468.15</v>
      </c>
      <c r="K131" s="449">
        <v>3442397.5</v>
      </c>
      <c r="L131" s="449">
        <v>-127679.78</v>
      </c>
      <c r="M131" s="449">
        <v>3314717.72</v>
      </c>
    </row>
    <row r="132" spans="2:13" ht="15" outlineLevel="1">
      <c r="B132" s="104" t="str">
        <f t="shared" ref="B132:B195" si="2">MID(C132,3,4)</f>
        <v>5114</v>
      </c>
      <c r="C132" s="448" t="s">
        <v>1834</v>
      </c>
      <c r="D132" s="449">
        <v>701757.72</v>
      </c>
      <c r="E132" s="449">
        <v>787494.63</v>
      </c>
      <c r="F132" s="449">
        <v>-813.16</v>
      </c>
      <c r="G132" s="449">
        <v>786681.47</v>
      </c>
      <c r="H132" s="449">
        <v>1052936.49</v>
      </c>
      <c r="I132" s="449">
        <v>-146033.93</v>
      </c>
      <c r="J132" s="449">
        <v>906902.56</v>
      </c>
      <c r="K132" s="449">
        <v>1058655.97</v>
      </c>
      <c r="L132" s="449">
        <v>-39949.94</v>
      </c>
      <c r="M132" s="449">
        <v>1018706.03</v>
      </c>
    </row>
    <row r="133" spans="2:13" ht="15" outlineLevel="1">
      <c r="B133" s="104" t="str">
        <f t="shared" si="2"/>
        <v>5114</v>
      </c>
      <c r="C133" s="448" t="s">
        <v>1835</v>
      </c>
      <c r="D133" s="449">
        <v>218459.31</v>
      </c>
      <c r="E133" s="449">
        <v>221420.01</v>
      </c>
      <c r="F133" s="450">
        <v>0</v>
      </c>
      <c r="G133" s="449">
        <v>221420.01</v>
      </c>
      <c r="H133" s="449">
        <v>467922.35</v>
      </c>
      <c r="I133" s="449">
        <v>-181031.09</v>
      </c>
      <c r="J133" s="449">
        <v>286891.26</v>
      </c>
      <c r="K133" s="449">
        <v>288965.49</v>
      </c>
      <c r="L133" s="449">
        <v>-19164</v>
      </c>
      <c r="M133" s="449">
        <v>269801.49</v>
      </c>
    </row>
    <row r="134" spans="2:13" ht="15" outlineLevel="1">
      <c r="B134" s="104" t="str">
        <f t="shared" si="2"/>
        <v>5115</v>
      </c>
      <c r="C134" s="448" t="s">
        <v>1836</v>
      </c>
      <c r="D134" s="449">
        <v>2394850.11</v>
      </c>
      <c r="E134" s="449">
        <v>3211567.09</v>
      </c>
      <c r="F134" s="450">
        <v>0</v>
      </c>
      <c r="G134" s="449">
        <v>3211567.09</v>
      </c>
      <c r="H134" s="449">
        <v>725269.39</v>
      </c>
      <c r="I134" s="449">
        <v>-5374.72</v>
      </c>
      <c r="J134" s="449">
        <v>719894.67</v>
      </c>
      <c r="K134" s="449">
        <v>1612956.6</v>
      </c>
      <c r="L134" s="450">
        <v>0</v>
      </c>
      <c r="M134" s="449">
        <v>1612956.6</v>
      </c>
    </row>
    <row r="135" spans="2:13" ht="15" outlineLevel="1">
      <c r="B135" s="104" t="str">
        <f t="shared" si="2"/>
        <v>5115</v>
      </c>
      <c r="C135" s="448" t="s">
        <v>1837</v>
      </c>
      <c r="D135" s="449">
        <v>9308157.1600000001</v>
      </c>
      <c r="E135" s="449">
        <v>11188290.199999999</v>
      </c>
      <c r="F135" s="449">
        <v>-22472.87</v>
      </c>
      <c r="G135" s="449">
        <v>11165817.33</v>
      </c>
      <c r="H135" s="449">
        <v>15115218.75</v>
      </c>
      <c r="I135" s="449">
        <v>-2060278.75</v>
      </c>
      <c r="J135" s="449">
        <v>13054940</v>
      </c>
      <c r="K135" s="449">
        <v>16169371.92</v>
      </c>
      <c r="L135" s="449">
        <v>-610456.56000000006</v>
      </c>
      <c r="M135" s="449">
        <v>15558915.359999999</v>
      </c>
    </row>
    <row r="136" spans="2:13" ht="15" outlineLevel="1">
      <c r="B136" s="104" t="str">
        <f t="shared" si="2"/>
        <v>5115</v>
      </c>
      <c r="C136" s="448" t="s">
        <v>1838</v>
      </c>
      <c r="D136" s="449">
        <v>21367.200000000001</v>
      </c>
      <c r="E136" s="450">
        <v>0</v>
      </c>
      <c r="F136" s="450">
        <v>0</v>
      </c>
      <c r="G136" s="450">
        <v>0</v>
      </c>
      <c r="H136" s="450">
        <v>0</v>
      </c>
      <c r="I136" s="450">
        <v>0</v>
      </c>
      <c r="J136" s="450">
        <v>0</v>
      </c>
      <c r="K136" s="450">
        <v>0</v>
      </c>
      <c r="L136" s="450">
        <v>0</v>
      </c>
      <c r="M136" s="450">
        <v>0</v>
      </c>
    </row>
    <row r="137" spans="2:13" ht="15" outlineLevel="1">
      <c r="B137" s="104" t="str">
        <f t="shared" si="2"/>
        <v>5115</v>
      </c>
      <c r="C137" s="448" t="s">
        <v>1839</v>
      </c>
      <c r="D137" s="449">
        <v>10497597.800000001</v>
      </c>
      <c r="E137" s="449">
        <v>13665487.449999999</v>
      </c>
      <c r="F137" s="449">
        <v>-48366.66</v>
      </c>
      <c r="G137" s="449">
        <v>13617120.789999999</v>
      </c>
      <c r="H137" s="449">
        <v>17322849.949999999</v>
      </c>
      <c r="I137" s="449">
        <v>-2445609.71</v>
      </c>
      <c r="J137" s="449">
        <v>14877240.24</v>
      </c>
      <c r="K137" s="449">
        <v>17451992.48</v>
      </c>
      <c r="L137" s="449">
        <v>-649795.13</v>
      </c>
      <c r="M137" s="449">
        <v>16802197.350000001</v>
      </c>
    </row>
    <row r="138" spans="2:13" ht="15" outlineLevel="1">
      <c r="B138" s="104" t="str">
        <f t="shared" si="2"/>
        <v>5115</v>
      </c>
      <c r="C138" s="448" t="s">
        <v>1840</v>
      </c>
      <c r="D138" s="449">
        <v>325968.02</v>
      </c>
      <c r="E138" s="449">
        <v>303474.06</v>
      </c>
      <c r="F138" s="449">
        <v>-1495.73</v>
      </c>
      <c r="G138" s="449">
        <v>301978.33</v>
      </c>
      <c r="H138" s="449">
        <v>345087.75</v>
      </c>
      <c r="I138" s="449">
        <v>-55027.38</v>
      </c>
      <c r="J138" s="449">
        <v>290060.37</v>
      </c>
      <c r="K138" s="449">
        <v>342512.54</v>
      </c>
      <c r="L138" s="449">
        <v>-10290.959999999999</v>
      </c>
      <c r="M138" s="449">
        <v>332221.58</v>
      </c>
    </row>
    <row r="139" spans="2:13" ht="15" outlineLevel="1">
      <c r="B139" s="104" t="str">
        <f t="shared" si="2"/>
        <v>5116</v>
      </c>
      <c r="C139" s="448" t="s">
        <v>1841</v>
      </c>
      <c r="D139" s="449">
        <v>860610.48</v>
      </c>
      <c r="E139" s="449">
        <v>1019833.76</v>
      </c>
      <c r="F139" s="450">
        <v>0</v>
      </c>
      <c r="G139" s="449">
        <v>1019833.76</v>
      </c>
      <c r="H139" s="449">
        <v>2300201.6</v>
      </c>
      <c r="I139" s="449">
        <v>-1150100.8</v>
      </c>
      <c r="J139" s="449">
        <v>1150100.8</v>
      </c>
      <c r="K139" s="449">
        <v>1317362.1599999999</v>
      </c>
      <c r="L139" s="449">
        <v>-661.5</v>
      </c>
      <c r="M139" s="449">
        <v>1316700.6599999999</v>
      </c>
    </row>
    <row r="140" spans="2:13" ht="15" outlineLevel="1">
      <c r="B140" s="104" t="str">
        <f t="shared" si="2"/>
        <v>5116</v>
      </c>
      <c r="C140" s="448" t="s">
        <v>1842</v>
      </c>
      <c r="D140" s="449">
        <v>20501.28</v>
      </c>
      <c r="E140" s="449">
        <v>23610.12</v>
      </c>
      <c r="F140" s="450">
        <v>0</v>
      </c>
      <c r="G140" s="449">
        <v>23610.12</v>
      </c>
      <c r="H140" s="449">
        <v>28572.36</v>
      </c>
      <c r="I140" s="450">
        <v>0</v>
      </c>
      <c r="J140" s="449">
        <v>28572.36</v>
      </c>
      <c r="K140" s="449">
        <v>28827.119999999999</v>
      </c>
      <c r="L140" s="450">
        <v>0</v>
      </c>
      <c r="M140" s="449">
        <v>28827.119999999999</v>
      </c>
    </row>
    <row r="141" spans="2:13" ht="15" outlineLevel="1">
      <c r="B141" s="104" t="str">
        <f t="shared" si="2"/>
        <v>5121</v>
      </c>
      <c r="C141" s="448" t="s">
        <v>1843</v>
      </c>
      <c r="D141" s="449">
        <v>168119.56</v>
      </c>
      <c r="E141" s="449">
        <v>251507.66</v>
      </c>
      <c r="F141" s="449">
        <v>-2296</v>
      </c>
      <c r="G141" s="449">
        <v>249211.66</v>
      </c>
      <c r="H141" s="449">
        <v>263825.24</v>
      </c>
      <c r="I141" s="450">
        <v>0</v>
      </c>
      <c r="J141" s="449">
        <v>263825.24</v>
      </c>
      <c r="K141" s="449">
        <v>256155.42</v>
      </c>
      <c r="L141" s="450">
        <v>0</v>
      </c>
      <c r="M141" s="449">
        <v>256155.42</v>
      </c>
    </row>
    <row r="142" spans="2:13" ht="15" outlineLevel="1">
      <c r="B142" s="104" t="str">
        <f t="shared" si="2"/>
        <v>5121</v>
      </c>
      <c r="C142" s="448" t="s">
        <v>1844</v>
      </c>
      <c r="D142" s="449">
        <v>1890.42</v>
      </c>
      <c r="E142" s="449">
        <v>8865.09</v>
      </c>
      <c r="F142" s="450">
        <v>0</v>
      </c>
      <c r="G142" s="449">
        <v>8865.09</v>
      </c>
      <c r="H142" s="449">
        <v>124546.97</v>
      </c>
      <c r="I142" s="450">
        <v>0</v>
      </c>
      <c r="J142" s="449">
        <v>124546.97</v>
      </c>
      <c r="K142" s="449">
        <v>25295.599999999999</v>
      </c>
      <c r="L142" s="450">
        <v>0</v>
      </c>
      <c r="M142" s="449">
        <v>25295.599999999999</v>
      </c>
    </row>
    <row r="143" spans="2:13" ht="15" outlineLevel="1">
      <c r="B143" s="104" t="str">
        <f t="shared" si="2"/>
        <v>5121</v>
      </c>
      <c r="C143" s="448" t="s">
        <v>1845</v>
      </c>
      <c r="D143" s="450">
        <v>0</v>
      </c>
      <c r="E143" s="450">
        <v>0</v>
      </c>
      <c r="F143" s="450">
        <v>0</v>
      </c>
      <c r="G143" s="450">
        <v>0</v>
      </c>
      <c r="H143" s="450">
        <v>0</v>
      </c>
      <c r="I143" s="450">
        <v>0</v>
      </c>
      <c r="J143" s="450">
        <v>0</v>
      </c>
      <c r="K143" s="450">
        <v>0</v>
      </c>
      <c r="L143" s="450">
        <v>0</v>
      </c>
      <c r="M143" s="450">
        <v>0</v>
      </c>
    </row>
    <row r="144" spans="2:13" ht="15" outlineLevel="1">
      <c r="B144" s="104" t="str">
        <f t="shared" si="2"/>
        <v>5121</v>
      </c>
      <c r="C144" s="448" t="s">
        <v>1846</v>
      </c>
      <c r="D144" s="449">
        <v>376915.3</v>
      </c>
      <c r="E144" s="449">
        <v>355452.8</v>
      </c>
      <c r="F144" s="449">
        <v>-1299</v>
      </c>
      <c r="G144" s="449">
        <v>354153.8</v>
      </c>
      <c r="H144" s="449">
        <v>524898.28</v>
      </c>
      <c r="I144" s="449">
        <v>-290</v>
      </c>
      <c r="J144" s="449">
        <v>524608.28</v>
      </c>
      <c r="K144" s="449">
        <v>383130.03</v>
      </c>
      <c r="L144" s="450">
        <v>0</v>
      </c>
      <c r="M144" s="449">
        <v>383130.03</v>
      </c>
    </row>
    <row r="145" spans="2:13" ht="15" outlineLevel="1">
      <c r="B145" s="104" t="str">
        <f t="shared" si="2"/>
        <v>5121</v>
      </c>
      <c r="C145" s="448" t="s">
        <v>1847</v>
      </c>
      <c r="D145" s="449">
        <v>15823.26</v>
      </c>
      <c r="E145" s="449">
        <v>6223.26</v>
      </c>
      <c r="F145" s="450">
        <v>0</v>
      </c>
      <c r="G145" s="449">
        <v>6223.26</v>
      </c>
      <c r="H145" s="449">
        <v>23889.75</v>
      </c>
      <c r="I145" s="450">
        <v>0</v>
      </c>
      <c r="J145" s="449">
        <v>23889.75</v>
      </c>
      <c r="K145" s="449">
        <v>77563</v>
      </c>
      <c r="L145" s="450">
        <v>0</v>
      </c>
      <c r="M145" s="449">
        <v>77563</v>
      </c>
    </row>
    <row r="146" spans="2:13" ht="15" outlineLevel="1">
      <c r="B146" s="104" t="str">
        <f t="shared" si="2"/>
        <v>5121</v>
      </c>
      <c r="C146" s="448" t="s">
        <v>1848</v>
      </c>
      <c r="D146" s="449">
        <v>60627.38</v>
      </c>
      <c r="E146" s="449">
        <v>99679.71</v>
      </c>
      <c r="F146" s="450">
        <v>0</v>
      </c>
      <c r="G146" s="449">
        <v>99679.71</v>
      </c>
      <c r="H146" s="449">
        <v>125826.82</v>
      </c>
      <c r="I146" s="450">
        <v>0</v>
      </c>
      <c r="J146" s="449">
        <v>125826.82</v>
      </c>
      <c r="K146" s="449">
        <v>158187.99</v>
      </c>
      <c r="L146" s="450">
        <v>0</v>
      </c>
      <c r="M146" s="449">
        <v>158187.99</v>
      </c>
    </row>
    <row r="147" spans="2:13" ht="15" outlineLevel="1">
      <c r="B147" s="104" t="str">
        <f t="shared" si="2"/>
        <v>5122</v>
      </c>
      <c r="C147" s="448" t="s">
        <v>1849</v>
      </c>
      <c r="D147" s="449">
        <v>14005.3</v>
      </c>
      <c r="E147" s="449">
        <v>9074.49</v>
      </c>
      <c r="F147" s="449">
        <v>-116</v>
      </c>
      <c r="G147" s="449">
        <v>8958.49</v>
      </c>
      <c r="H147" s="449">
        <v>15807.72</v>
      </c>
      <c r="I147" s="450">
        <v>0</v>
      </c>
      <c r="J147" s="449">
        <v>15807.72</v>
      </c>
      <c r="K147" s="449">
        <v>16466.810000000001</v>
      </c>
      <c r="L147" s="450">
        <v>0</v>
      </c>
      <c r="M147" s="449">
        <v>16466.810000000001</v>
      </c>
    </row>
    <row r="148" spans="2:13" ht="15" outlineLevel="1">
      <c r="B148" s="104" t="str">
        <f t="shared" si="2"/>
        <v>5124</v>
      </c>
      <c r="C148" s="448" t="s">
        <v>1850</v>
      </c>
      <c r="D148" s="449">
        <v>6145.74</v>
      </c>
      <c r="E148" s="449">
        <v>5449.01</v>
      </c>
      <c r="F148" s="449">
        <v>-712.26</v>
      </c>
      <c r="G148" s="449">
        <v>4736.75</v>
      </c>
      <c r="H148" s="449">
        <v>3107.03</v>
      </c>
      <c r="I148" s="450">
        <v>0</v>
      </c>
      <c r="J148" s="449">
        <v>3107.03</v>
      </c>
      <c r="K148" s="449">
        <v>925.6</v>
      </c>
      <c r="L148" s="450">
        <v>0</v>
      </c>
      <c r="M148" s="449">
        <v>925.6</v>
      </c>
    </row>
    <row r="149" spans="2:13" ht="15" outlineLevel="1">
      <c r="B149" s="104" t="str">
        <f t="shared" si="2"/>
        <v>5124</v>
      </c>
      <c r="C149" s="448" t="s">
        <v>1851</v>
      </c>
      <c r="D149" s="449">
        <v>3885</v>
      </c>
      <c r="E149" s="449">
        <v>3837.95</v>
      </c>
      <c r="F149" s="450">
        <v>0</v>
      </c>
      <c r="G149" s="449">
        <v>3837.95</v>
      </c>
      <c r="H149" s="449">
        <v>15002.66</v>
      </c>
      <c r="I149" s="450">
        <v>0</v>
      </c>
      <c r="J149" s="449">
        <v>15002.66</v>
      </c>
      <c r="K149" s="449">
        <v>15736.17</v>
      </c>
      <c r="L149" s="450">
        <v>0</v>
      </c>
      <c r="M149" s="449">
        <v>15736.17</v>
      </c>
    </row>
    <row r="150" spans="2:13" ht="15" outlineLevel="1">
      <c r="B150" s="104" t="str">
        <f t="shared" si="2"/>
        <v>5124</v>
      </c>
      <c r="C150" s="448" t="s">
        <v>1852</v>
      </c>
      <c r="D150" s="450">
        <v>0</v>
      </c>
      <c r="E150" s="449">
        <v>250</v>
      </c>
      <c r="F150" s="449">
        <v>-125</v>
      </c>
      <c r="G150" s="449">
        <v>125</v>
      </c>
      <c r="H150" s="449">
        <v>220</v>
      </c>
      <c r="I150" s="450">
        <v>0</v>
      </c>
      <c r="J150" s="449">
        <v>220</v>
      </c>
      <c r="K150" s="449">
        <v>14758.4</v>
      </c>
      <c r="L150" s="450">
        <v>0</v>
      </c>
      <c r="M150" s="449">
        <v>14758.4</v>
      </c>
    </row>
    <row r="151" spans="2:13" ht="15" outlineLevel="1">
      <c r="B151" s="104" t="str">
        <f t="shared" si="2"/>
        <v>5125</v>
      </c>
      <c r="C151" s="448" t="s">
        <v>1853</v>
      </c>
      <c r="D151" s="449">
        <v>981.5</v>
      </c>
      <c r="E151" s="449">
        <v>2371.5</v>
      </c>
      <c r="F151" s="450">
        <v>0</v>
      </c>
      <c r="G151" s="449">
        <v>2371.5</v>
      </c>
      <c r="H151" s="449">
        <v>991</v>
      </c>
      <c r="I151" s="450">
        <v>0</v>
      </c>
      <c r="J151" s="449">
        <v>991</v>
      </c>
      <c r="K151" s="449">
        <v>1564.5</v>
      </c>
      <c r="L151" s="450">
        <v>0</v>
      </c>
      <c r="M151" s="449">
        <v>1564.5</v>
      </c>
    </row>
    <row r="152" spans="2:13" ht="15" outlineLevel="1">
      <c r="B152" s="104" t="str">
        <f t="shared" si="2"/>
        <v>5126</v>
      </c>
      <c r="C152" s="448" t="s">
        <v>1854</v>
      </c>
      <c r="D152" s="449">
        <v>518056</v>
      </c>
      <c r="E152" s="449">
        <v>550297.66</v>
      </c>
      <c r="F152" s="450">
        <v>0</v>
      </c>
      <c r="G152" s="449">
        <v>550297.66</v>
      </c>
      <c r="H152" s="449">
        <v>673826.03</v>
      </c>
      <c r="I152" s="449">
        <v>-22812.2</v>
      </c>
      <c r="J152" s="449">
        <v>651013.82999999996</v>
      </c>
      <c r="K152" s="449">
        <v>802967.54</v>
      </c>
      <c r="L152" s="449">
        <v>-26185.5</v>
      </c>
      <c r="M152" s="449">
        <v>776782.04</v>
      </c>
    </row>
    <row r="153" spans="2:13" ht="15" outlineLevel="1">
      <c r="B153" s="104" t="str">
        <f t="shared" si="2"/>
        <v>5127</v>
      </c>
      <c r="C153" s="448" t="s">
        <v>1855</v>
      </c>
      <c r="D153" s="449">
        <v>31975.4</v>
      </c>
      <c r="E153" s="449">
        <v>56495.83</v>
      </c>
      <c r="F153" s="450">
        <v>0</v>
      </c>
      <c r="G153" s="449">
        <v>56495.83</v>
      </c>
      <c r="H153" s="449">
        <v>70406.2</v>
      </c>
      <c r="I153" s="450">
        <v>0</v>
      </c>
      <c r="J153" s="449">
        <v>70406.2</v>
      </c>
      <c r="K153" s="449">
        <v>82033.850000000006</v>
      </c>
      <c r="L153" s="450">
        <v>0</v>
      </c>
      <c r="M153" s="449">
        <v>82033.850000000006</v>
      </c>
    </row>
    <row r="154" spans="2:13" ht="15" outlineLevel="1">
      <c r="B154" s="104" t="str">
        <f t="shared" si="2"/>
        <v>5127</v>
      </c>
      <c r="C154" s="448" t="s">
        <v>1856</v>
      </c>
      <c r="D154" s="450">
        <v>0</v>
      </c>
      <c r="E154" s="450">
        <v>0</v>
      </c>
      <c r="F154" s="450">
        <v>0</v>
      </c>
      <c r="G154" s="450">
        <v>0</v>
      </c>
      <c r="H154" s="449">
        <v>1682</v>
      </c>
      <c r="I154" s="450">
        <v>0</v>
      </c>
      <c r="J154" s="449">
        <v>1682</v>
      </c>
      <c r="K154" s="450">
        <v>0</v>
      </c>
      <c r="L154" s="450">
        <v>0</v>
      </c>
      <c r="M154" s="450">
        <v>0</v>
      </c>
    </row>
    <row r="155" spans="2:13" ht="15" outlineLevel="1">
      <c r="B155" s="104" t="str">
        <f t="shared" si="2"/>
        <v>5129</v>
      </c>
      <c r="C155" s="448" t="s">
        <v>1857</v>
      </c>
      <c r="D155" s="450">
        <v>0</v>
      </c>
      <c r="E155" s="449">
        <v>644</v>
      </c>
      <c r="F155" s="450">
        <v>0</v>
      </c>
      <c r="G155" s="449">
        <v>644</v>
      </c>
      <c r="H155" s="450">
        <v>0</v>
      </c>
      <c r="I155" s="450">
        <v>0</v>
      </c>
      <c r="J155" s="450">
        <v>0</v>
      </c>
      <c r="K155" s="449">
        <v>7749.35</v>
      </c>
      <c r="L155" s="450">
        <v>0</v>
      </c>
      <c r="M155" s="449">
        <v>7749.35</v>
      </c>
    </row>
    <row r="156" spans="2:13" ht="15" outlineLevel="1">
      <c r="B156" s="104" t="str">
        <f t="shared" si="2"/>
        <v>5129</v>
      </c>
      <c r="C156" s="448" t="s">
        <v>1858</v>
      </c>
      <c r="D156" s="450">
        <v>0</v>
      </c>
      <c r="E156" s="450">
        <v>0</v>
      </c>
      <c r="F156" s="450">
        <v>0</v>
      </c>
      <c r="G156" s="450">
        <v>0</v>
      </c>
      <c r="H156" s="449">
        <v>821.6</v>
      </c>
      <c r="I156" s="450">
        <v>0</v>
      </c>
      <c r="J156" s="449">
        <v>821.6</v>
      </c>
      <c r="K156" s="449">
        <v>1801.01</v>
      </c>
      <c r="L156" s="450">
        <v>0</v>
      </c>
      <c r="M156" s="449">
        <v>1801.01</v>
      </c>
    </row>
    <row r="157" spans="2:13" ht="15" outlineLevel="1">
      <c r="B157" s="104" t="str">
        <f t="shared" si="2"/>
        <v>5129</v>
      </c>
      <c r="C157" s="448" t="s">
        <v>1859</v>
      </c>
      <c r="D157" s="450">
        <v>0</v>
      </c>
      <c r="E157" s="450">
        <v>0</v>
      </c>
      <c r="F157" s="450">
        <v>0</v>
      </c>
      <c r="G157" s="450">
        <v>0</v>
      </c>
      <c r="H157" s="449">
        <v>27631.200000000001</v>
      </c>
      <c r="I157" s="450">
        <v>0</v>
      </c>
      <c r="J157" s="449">
        <v>27631.200000000001</v>
      </c>
      <c r="K157" s="450">
        <v>0</v>
      </c>
      <c r="L157" s="450">
        <v>0</v>
      </c>
      <c r="M157" s="450">
        <v>0</v>
      </c>
    </row>
    <row r="158" spans="2:13" ht="15" outlineLevel="1">
      <c r="B158" s="104" t="str">
        <f t="shared" si="2"/>
        <v>5129</v>
      </c>
      <c r="C158" s="448" t="s">
        <v>1860</v>
      </c>
      <c r="D158" s="449">
        <v>92599.45</v>
      </c>
      <c r="E158" s="449">
        <v>81879.11</v>
      </c>
      <c r="F158" s="450">
        <v>0</v>
      </c>
      <c r="G158" s="449">
        <v>81879.11</v>
      </c>
      <c r="H158" s="449">
        <v>35156.69</v>
      </c>
      <c r="I158" s="450">
        <v>0</v>
      </c>
      <c r="J158" s="449">
        <v>35156.69</v>
      </c>
      <c r="K158" s="449">
        <v>81288.800000000003</v>
      </c>
      <c r="L158" s="450">
        <v>0</v>
      </c>
      <c r="M158" s="449">
        <v>81288.800000000003</v>
      </c>
    </row>
    <row r="159" spans="2:13" ht="15" outlineLevel="1">
      <c r="B159" s="104" t="str">
        <f t="shared" si="2"/>
        <v>5131</v>
      </c>
      <c r="C159" s="448" t="s">
        <v>1861</v>
      </c>
      <c r="D159" s="449">
        <v>201888</v>
      </c>
      <c r="E159" s="449">
        <v>194045</v>
      </c>
      <c r="F159" s="449">
        <v>-430</v>
      </c>
      <c r="G159" s="449">
        <v>193615</v>
      </c>
      <c r="H159" s="449">
        <v>240379</v>
      </c>
      <c r="I159" s="449">
        <v>-599</v>
      </c>
      <c r="J159" s="449">
        <v>239780</v>
      </c>
      <c r="K159" s="449">
        <v>348899</v>
      </c>
      <c r="L159" s="449">
        <v>-35000</v>
      </c>
      <c r="M159" s="449">
        <v>313899</v>
      </c>
    </row>
    <row r="160" spans="2:13" ht="15" outlineLevel="1">
      <c r="B160" s="104" t="str">
        <f t="shared" si="2"/>
        <v>5131</v>
      </c>
      <c r="C160" s="448" t="s">
        <v>1862</v>
      </c>
      <c r="D160" s="449">
        <v>42447</v>
      </c>
      <c r="E160" s="449">
        <v>21088</v>
      </c>
      <c r="F160" s="450">
        <v>0</v>
      </c>
      <c r="G160" s="449">
        <v>21088</v>
      </c>
      <c r="H160" s="449">
        <v>10334</v>
      </c>
      <c r="I160" s="450">
        <v>0</v>
      </c>
      <c r="J160" s="449">
        <v>10334</v>
      </c>
      <c r="K160" s="449">
        <v>10124</v>
      </c>
      <c r="L160" s="449">
        <v>-692</v>
      </c>
      <c r="M160" s="449">
        <v>9432</v>
      </c>
    </row>
    <row r="161" spans="2:13" ht="15" outlineLevel="1">
      <c r="B161" s="104" t="str">
        <f t="shared" si="2"/>
        <v>5131</v>
      </c>
      <c r="C161" s="448" t="s">
        <v>1863</v>
      </c>
      <c r="D161" s="449">
        <v>160811.43</v>
      </c>
      <c r="E161" s="449">
        <v>110657.28</v>
      </c>
      <c r="F161" s="450">
        <v>0</v>
      </c>
      <c r="G161" s="449">
        <v>110657.28</v>
      </c>
      <c r="H161" s="449">
        <v>92720.85</v>
      </c>
      <c r="I161" s="450">
        <v>0</v>
      </c>
      <c r="J161" s="449">
        <v>92720.85</v>
      </c>
      <c r="K161" s="449">
        <v>104871.99</v>
      </c>
      <c r="L161" s="449">
        <v>-13439</v>
      </c>
      <c r="M161" s="449">
        <v>91432.99</v>
      </c>
    </row>
    <row r="162" spans="2:13" ht="15" outlineLevel="1">
      <c r="B162" s="104" t="str">
        <f t="shared" si="2"/>
        <v>5131</v>
      </c>
      <c r="C162" s="448" t="s">
        <v>1864</v>
      </c>
      <c r="D162" s="449">
        <v>89437</v>
      </c>
      <c r="E162" s="449">
        <v>111459</v>
      </c>
      <c r="F162" s="449">
        <v>-21223</v>
      </c>
      <c r="G162" s="449">
        <v>90236</v>
      </c>
      <c r="H162" s="449">
        <v>86927.5</v>
      </c>
      <c r="I162" s="450">
        <v>0</v>
      </c>
      <c r="J162" s="449">
        <v>86927.5</v>
      </c>
      <c r="K162" s="449">
        <v>80598</v>
      </c>
      <c r="L162" s="449">
        <v>-8000</v>
      </c>
      <c r="M162" s="449">
        <v>72598</v>
      </c>
    </row>
    <row r="163" spans="2:13" ht="15" outlineLevel="1">
      <c r="B163" s="104" t="str">
        <f t="shared" si="2"/>
        <v>5131</v>
      </c>
      <c r="C163" s="448" t="s">
        <v>1865</v>
      </c>
      <c r="D163" s="449">
        <v>260510.74</v>
      </c>
      <c r="E163" s="449">
        <v>293102.26</v>
      </c>
      <c r="F163" s="449">
        <v>-5916</v>
      </c>
      <c r="G163" s="449">
        <v>287186.26</v>
      </c>
      <c r="H163" s="449">
        <v>308428.5</v>
      </c>
      <c r="I163" s="450">
        <v>0</v>
      </c>
      <c r="J163" s="449">
        <v>308428.5</v>
      </c>
      <c r="K163" s="449">
        <v>363066.33</v>
      </c>
      <c r="L163" s="449">
        <v>-29500</v>
      </c>
      <c r="M163" s="449">
        <v>333566.33</v>
      </c>
    </row>
    <row r="164" spans="2:13" ht="15" outlineLevel="1">
      <c r="B164" s="104" t="str">
        <f t="shared" si="2"/>
        <v>5131</v>
      </c>
      <c r="C164" s="448" t="s">
        <v>1866</v>
      </c>
      <c r="D164" s="449">
        <v>0</v>
      </c>
      <c r="E164" s="450">
        <v>0</v>
      </c>
      <c r="F164" s="450">
        <v>0</v>
      </c>
      <c r="G164" s="450">
        <v>0</v>
      </c>
      <c r="H164" s="450">
        <v>0</v>
      </c>
      <c r="I164" s="450">
        <v>0</v>
      </c>
      <c r="J164" s="450">
        <v>0</v>
      </c>
      <c r="K164" s="450">
        <v>0</v>
      </c>
      <c r="L164" s="450">
        <v>0</v>
      </c>
      <c r="M164" s="450">
        <v>0</v>
      </c>
    </row>
    <row r="165" spans="2:13" ht="15" outlineLevel="1">
      <c r="B165" s="104" t="str">
        <f t="shared" si="2"/>
        <v>5131</v>
      </c>
      <c r="C165" s="448" t="s">
        <v>1867</v>
      </c>
      <c r="D165" s="449">
        <v>172299</v>
      </c>
      <c r="E165" s="449">
        <v>197185.5</v>
      </c>
      <c r="F165" s="450">
        <v>0</v>
      </c>
      <c r="G165" s="449">
        <v>197185.5</v>
      </c>
      <c r="H165" s="449">
        <v>160250.5</v>
      </c>
      <c r="I165" s="449">
        <v>-4634.5</v>
      </c>
      <c r="J165" s="449">
        <v>155616</v>
      </c>
      <c r="K165" s="449">
        <v>176525.5</v>
      </c>
      <c r="L165" s="450">
        <v>0</v>
      </c>
      <c r="M165" s="449">
        <v>176525.5</v>
      </c>
    </row>
    <row r="166" spans="2:13" ht="15" outlineLevel="1">
      <c r="B166" s="104" t="str">
        <f t="shared" si="2"/>
        <v>5132</v>
      </c>
      <c r="C166" s="448" t="s">
        <v>1868</v>
      </c>
      <c r="D166" s="449">
        <v>955809.88</v>
      </c>
      <c r="E166" s="449">
        <v>1102949.52</v>
      </c>
      <c r="F166" s="450">
        <v>0</v>
      </c>
      <c r="G166" s="449">
        <v>1102949.52</v>
      </c>
      <c r="H166" s="449">
        <v>1308533.8500000001</v>
      </c>
      <c r="I166" s="449">
        <v>-8584</v>
      </c>
      <c r="J166" s="449">
        <v>1299949.8500000001</v>
      </c>
      <c r="K166" s="449">
        <v>1462897.36</v>
      </c>
      <c r="L166" s="450">
        <v>0</v>
      </c>
      <c r="M166" s="449">
        <v>1462897.36</v>
      </c>
    </row>
    <row r="167" spans="2:13" ht="15" outlineLevel="1">
      <c r="B167" s="104" t="str">
        <f t="shared" si="2"/>
        <v>5132</v>
      </c>
      <c r="C167" s="448" t="s">
        <v>1869</v>
      </c>
      <c r="D167" s="449">
        <v>40368</v>
      </c>
      <c r="E167" s="449">
        <v>23548</v>
      </c>
      <c r="F167" s="450">
        <v>0</v>
      </c>
      <c r="G167" s="449">
        <v>23548</v>
      </c>
      <c r="H167" s="449">
        <v>77372</v>
      </c>
      <c r="I167" s="450">
        <v>0</v>
      </c>
      <c r="J167" s="449">
        <v>77372</v>
      </c>
      <c r="K167" s="449">
        <v>74008</v>
      </c>
      <c r="L167" s="450">
        <v>0</v>
      </c>
      <c r="M167" s="449">
        <v>74008</v>
      </c>
    </row>
    <row r="168" spans="2:13" ht="15" outlineLevel="1">
      <c r="B168" s="104" t="str">
        <f t="shared" si="2"/>
        <v>5132</v>
      </c>
      <c r="C168" s="448" t="s">
        <v>2972</v>
      </c>
      <c r="D168" s="450">
        <v>0</v>
      </c>
      <c r="E168" s="450">
        <v>0</v>
      </c>
      <c r="F168" s="450">
        <v>0</v>
      </c>
      <c r="G168" s="450">
        <v>0</v>
      </c>
      <c r="H168" s="450">
        <v>0</v>
      </c>
      <c r="I168" s="450">
        <v>0</v>
      </c>
      <c r="J168" s="450">
        <v>0</v>
      </c>
      <c r="K168" s="449">
        <v>13456</v>
      </c>
      <c r="L168" s="449">
        <v>-6728</v>
      </c>
      <c r="M168" s="449">
        <v>6728</v>
      </c>
    </row>
    <row r="169" spans="2:13" ht="15" outlineLevel="1">
      <c r="B169" s="104" t="str">
        <f t="shared" si="2"/>
        <v>5132</v>
      </c>
      <c r="C169" s="448" t="s">
        <v>1870</v>
      </c>
      <c r="D169" s="449">
        <v>54842.64</v>
      </c>
      <c r="E169" s="449">
        <v>66798.600000000006</v>
      </c>
      <c r="F169" s="450">
        <v>0</v>
      </c>
      <c r="G169" s="449">
        <v>66798.600000000006</v>
      </c>
      <c r="H169" s="449">
        <v>65549.23</v>
      </c>
      <c r="I169" s="450">
        <v>0</v>
      </c>
      <c r="J169" s="449">
        <v>65549.23</v>
      </c>
      <c r="K169" s="449">
        <v>135242.96</v>
      </c>
      <c r="L169" s="450">
        <v>0</v>
      </c>
      <c r="M169" s="449">
        <v>135242.96</v>
      </c>
    </row>
    <row r="170" spans="2:13" ht="15" outlineLevel="1">
      <c r="B170" s="104" t="str">
        <f t="shared" si="2"/>
        <v>5133</v>
      </c>
      <c r="C170" s="448" t="s">
        <v>1871</v>
      </c>
      <c r="D170" s="449">
        <v>92800</v>
      </c>
      <c r="E170" s="449">
        <v>92800</v>
      </c>
      <c r="F170" s="450">
        <v>0</v>
      </c>
      <c r="G170" s="449">
        <v>92800</v>
      </c>
      <c r="H170" s="449">
        <v>92800</v>
      </c>
      <c r="I170" s="450">
        <v>0</v>
      </c>
      <c r="J170" s="449">
        <v>92800</v>
      </c>
      <c r="K170" s="449">
        <v>319000</v>
      </c>
      <c r="L170" s="449">
        <v>-40600</v>
      </c>
      <c r="M170" s="449">
        <v>278400</v>
      </c>
    </row>
    <row r="171" spans="2:13" ht="15" outlineLevel="1">
      <c r="B171" s="104" t="str">
        <f t="shared" si="2"/>
        <v>5133</v>
      </c>
      <c r="C171" s="448" t="s">
        <v>1872</v>
      </c>
      <c r="D171" s="450">
        <v>0</v>
      </c>
      <c r="E171" s="449">
        <v>29638</v>
      </c>
      <c r="F171" s="450">
        <v>0</v>
      </c>
      <c r="G171" s="449">
        <v>29638</v>
      </c>
      <c r="H171" s="450">
        <v>0</v>
      </c>
      <c r="I171" s="450">
        <v>0</v>
      </c>
      <c r="J171" s="450">
        <v>0</v>
      </c>
      <c r="K171" s="450">
        <v>0</v>
      </c>
      <c r="L171" s="450">
        <v>0</v>
      </c>
      <c r="M171" s="450">
        <v>0</v>
      </c>
    </row>
    <row r="172" spans="2:13" ht="15" outlineLevel="1">
      <c r="B172" s="104" t="str">
        <f t="shared" si="2"/>
        <v>5133</v>
      </c>
      <c r="C172" s="448" t="s">
        <v>1873</v>
      </c>
      <c r="D172" s="450">
        <v>0</v>
      </c>
      <c r="E172" s="450">
        <v>0</v>
      </c>
      <c r="F172" s="450">
        <v>0</v>
      </c>
      <c r="G172" s="450">
        <v>0</v>
      </c>
      <c r="H172" s="449">
        <v>1319680.3999999999</v>
      </c>
      <c r="I172" s="450">
        <v>0</v>
      </c>
      <c r="J172" s="449">
        <v>1319680.3999999999</v>
      </c>
      <c r="K172" s="449">
        <v>1315380</v>
      </c>
      <c r="L172" s="450">
        <v>0</v>
      </c>
      <c r="M172" s="449">
        <v>1315380</v>
      </c>
    </row>
    <row r="173" spans="2:13" ht="15" outlineLevel="1">
      <c r="B173" s="104" t="str">
        <f t="shared" si="2"/>
        <v>5133</v>
      </c>
      <c r="C173" s="448" t="s">
        <v>1874</v>
      </c>
      <c r="D173" s="449">
        <v>1044045.46</v>
      </c>
      <c r="E173" s="449">
        <v>1273093.3400000001</v>
      </c>
      <c r="F173" s="449">
        <v>-135784.60999999999</v>
      </c>
      <c r="G173" s="449">
        <v>1137308.73</v>
      </c>
      <c r="H173" s="449">
        <v>933738.45</v>
      </c>
      <c r="I173" s="449">
        <v>-15679.13</v>
      </c>
      <c r="J173" s="449">
        <v>918059.32</v>
      </c>
      <c r="K173" s="449">
        <v>1962879.48</v>
      </c>
      <c r="L173" s="449">
        <v>-84996.74</v>
      </c>
      <c r="M173" s="449">
        <v>1877882.74</v>
      </c>
    </row>
    <row r="174" spans="2:13" ht="15" outlineLevel="1">
      <c r="B174" s="104" t="str">
        <f t="shared" si="2"/>
        <v>5133</v>
      </c>
      <c r="C174" s="448" t="s">
        <v>1875</v>
      </c>
      <c r="D174" s="449">
        <v>258636.13</v>
      </c>
      <c r="E174" s="449">
        <v>490690.09</v>
      </c>
      <c r="F174" s="450">
        <v>0</v>
      </c>
      <c r="G174" s="449">
        <v>490690.09</v>
      </c>
      <c r="H174" s="449">
        <v>212219.95</v>
      </c>
      <c r="I174" s="449">
        <v>-35995.980000000003</v>
      </c>
      <c r="J174" s="449">
        <v>176223.97</v>
      </c>
      <c r="K174" s="449">
        <v>683249.64</v>
      </c>
      <c r="L174" s="450">
        <v>0</v>
      </c>
      <c r="M174" s="449">
        <v>683249.64</v>
      </c>
    </row>
    <row r="175" spans="2:13" ht="15" outlineLevel="1">
      <c r="B175" s="104" t="str">
        <f t="shared" si="2"/>
        <v>5133</v>
      </c>
      <c r="C175" s="448" t="s">
        <v>1876</v>
      </c>
      <c r="D175" s="449">
        <v>46149.29</v>
      </c>
      <c r="E175" s="449">
        <v>297252.2</v>
      </c>
      <c r="F175" s="450">
        <v>0</v>
      </c>
      <c r="G175" s="449">
        <v>297252.2</v>
      </c>
      <c r="H175" s="449">
        <v>310360.12</v>
      </c>
      <c r="I175" s="449">
        <v>-9000</v>
      </c>
      <c r="J175" s="449">
        <v>301360.12</v>
      </c>
      <c r="K175" s="449">
        <v>312567.46999999997</v>
      </c>
      <c r="L175" s="450">
        <v>0</v>
      </c>
      <c r="M175" s="449">
        <v>312567.46999999997</v>
      </c>
    </row>
    <row r="176" spans="2:13" ht="15" outlineLevel="1">
      <c r="B176" s="104" t="str">
        <f t="shared" si="2"/>
        <v>5133</v>
      </c>
      <c r="C176" s="448" t="s">
        <v>1877</v>
      </c>
      <c r="D176" s="449">
        <v>30160</v>
      </c>
      <c r="E176" s="449">
        <v>8523.7999999999993</v>
      </c>
      <c r="F176" s="450">
        <v>0</v>
      </c>
      <c r="G176" s="449">
        <v>8523.7999999999993</v>
      </c>
      <c r="H176" s="450">
        <v>0</v>
      </c>
      <c r="I176" s="450">
        <v>0</v>
      </c>
      <c r="J176" s="450">
        <v>0</v>
      </c>
      <c r="K176" s="450">
        <v>0</v>
      </c>
      <c r="L176" s="450">
        <v>0</v>
      </c>
      <c r="M176" s="450">
        <v>0</v>
      </c>
    </row>
    <row r="177" spans="2:13" ht="15" outlineLevel="1">
      <c r="B177" s="104" t="str">
        <f t="shared" si="2"/>
        <v>5134</v>
      </c>
      <c r="C177" s="448" t="s">
        <v>1878</v>
      </c>
      <c r="D177" s="449">
        <v>208.8</v>
      </c>
      <c r="E177" s="449">
        <v>6920.05</v>
      </c>
      <c r="F177" s="449">
        <v>-1125.2</v>
      </c>
      <c r="G177" s="449">
        <v>5794.85</v>
      </c>
      <c r="H177" s="449">
        <v>1037.04</v>
      </c>
      <c r="I177" s="449">
        <v>-716.82</v>
      </c>
      <c r="J177" s="449">
        <v>320.22000000000003</v>
      </c>
      <c r="K177" s="449">
        <v>29318.34</v>
      </c>
      <c r="L177" s="449">
        <v>-26027.21</v>
      </c>
      <c r="M177" s="449">
        <v>3291.13</v>
      </c>
    </row>
    <row r="178" spans="2:13" ht="15" outlineLevel="1">
      <c r="B178" s="104" t="str">
        <f t="shared" si="2"/>
        <v>5134</v>
      </c>
      <c r="C178" s="448" t="s">
        <v>1879</v>
      </c>
      <c r="D178" s="449">
        <v>97769.37</v>
      </c>
      <c r="E178" s="449">
        <v>108284.83</v>
      </c>
      <c r="F178" s="450">
        <v>0</v>
      </c>
      <c r="G178" s="449">
        <v>108284.83</v>
      </c>
      <c r="H178" s="449">
        <v>106628.44</v>
      </c>
      <c r="I178" s="449">
        <v>-3837.86</v>
      </c>
      <c r="J178" s="449">
        <v>102790.58</v>
      </c>
      <c r="K178" s="449">
        <v>147767.1</v>
      </c>
      <c r="L178" s="449">
        <v>-3576.23</v>
      </c>
      <c r="M178" s="449">
        <v>144190.87</v>
      </c>
    </row>
    <row r="179" spans="2:13" ht="15">
      <c r="B179" s="104" t="str">
        <f t="shared" si="2"/>
        <v>5134</v>
      </c>
      <c r="C179" s="448" t="s">
        <v>1880</v>
      </c>
      <c r="D179" s="449">
        <v>26627.21</v>
      </c>
      <c r="E179" s="449">
        <v>35892.53</v>
      </c>
      <c r="F179" s="449">
        <v>-2668</v>
      </c>
      <c r="G179" s="449">
        <v>33224.53</v>
      </c>
      <c r="H179" s="449">
        <v>43674.81</v>
      </c>
      <c r="I179" s="450">
        <v>0</v>
      </c>
      <c r="J179" s="449">
        <v>43674.81</v>
      </c>
      <c r="K179" s="449">
        <v>43258.11</v>
      </c>
      <c r="L179" s="450">
        <v>0</v>
      </c>
      <c r="M179" s="449">
        <v>43258.11</v>
      </c>
    </row>
    <row r="180" spans="2:13" ht="15">
      <c r="B180" s="104" t="str">
        <f t="shared" si="2"/>
        <v>5135</v>
      </c>
      <c r="C180" s="448" t="s">
        <v>1881</v>
      </c>
      <c r="D180" s="449">
        <v>295620.51</v>
      </c>
      <c r="E180" s="449">
        <v>180925.93</v>
      </c>
      <c r="F180" s="449">
        <v>-8990</v>
      </c>
      <c r="G180" s="449">
        <v>171935.93</v>
      </c>
      <c r="H180" s="449">
        <v>220621.61</v>
      </c>
      <c r="I180" s="449">
        <v>-140012</v>
      </c>
      <c r="J180" s="449">
        <v>80609.61</v>
      </c>
      <c r="K180" s="449">
        <v>71118.880000000005</v>
      </c>
      <c r="L180" s="450">
        <v>0</v>
      </c>
      <c r="M180" s="449">
        <v>71118.880000000005</v>
      </c>
    </row>
    <row r="181" spans="2:13" ht="15">
      <c r="B181" s="104" t="str">
        <f t="shared" si="2"/>
        <v>5135</v>
      </c>
      <c r="C181" s="448" t="s">
        <v>1882</v>
      </c>
      <c r="D181" s="449">
        <v>39580.04</v>
      </c>
      <c r="E181" s="449">
        <v>150815.35999999999</v>
      </c>
      <c r="F181" s="450">
        <v>0</v>
      </c>
      <c r="G181" s="449">
        <v>150815.35999999999</v>
      </c>
      <c r="H181" s="449">
        <v>87916.03</v>
      </c>
      <c r="I181" s="450">
        <v>0</v>
      </c>
      <c r="J181" s="449">
        <v>87916.03</v>
      </c>
      <c r="K181" s="449">
        <v>8990</v>
      </c>
      <c r="L181" s="450">
        <v>0</v>
      </c>
      <c r="M181" s="449">
        <v>8990</v>
      </c>
    </row>
    <row r="182" spans="2:13" ht="15">
      <c r="B182" s="104" t="str">
        <f t="shared" si="2"/>
        <v>5135</v>
      </c>
      <c r="C182" s="448" t="s">
        <v>1883</v>
      </c>
      <c r="D182" s="449">
        <v>47597.24</v>
      </c>
      <c r="E182" s="449">
        <v>73218.92</v>
      </c>
      <c r="F182" s="449">
        <v>-20634.59</v>
      </c>
      <c r="G182" s="449">
        <v>52584.33</v>
      </c>
      <c r="H182" s="449">
        <v>47966</v>
      </c>
      <c r="I182" s="449">
        <v>-406</v>
      </c>
      <c r="J182" s="449">
        <v>47560</v>
      </c>
      <c r="K182" s="449">
        <v>32154.12</v>
      </c>
      <c r="L182" s="450">
        <v>0</v>
      </c>
      <c r="M182" s="449">
        <v>32154.12</v>
      </c>
    </row>
    <row r="183" spans="2:13" ht="15">
      <c r="B183" s="104" t="str">
        <f t="shared" si="2"/>
        <v>5135</v>
      </c>
      <c r="C183" s="448" t="s">
        <v>1884</v>
      </c>
      <c r="D183" s="449">
        <v>36054.75</v>
      </c>
      <c r="E183" s="449">
        <v>148454.26</v>
      </c>
      <c r="F183" s="449">
        <v>-118709.24</v>
      </c>
      <c r="G183" s="449">
        <v>29745.02</v>
      </c>
      <c r="H183" s="449">
        <v>29670</v>
      </c>
      <c r="I183" s="450">
        <v>0</v>
      </c>
      <c r="J183" s="449">
        <v>29670</v>
      </c>
      <c r="K183" s="449">
        <v>10041.81</v>
      </c>
      <c r="L183" s="450">
        <v>0</v>
      </c>
      <c r="M183" s="449">
        <v>10041.81</v>
      </c>
    </row>
    <row r="184" spans="2:13" ht="15">
      <c r="B184" s="104" t="str">
        <f t="shared" si="2"/>
        <v>5135</v>
      </c>
      <c r="C184" s="448" t="s">
        <v>1885</v>
      </c>
      <c r="D184" s="449">
        <v>230324.44</v>
      </c>
      <c r="E184" s="449">
        <v>231459.72</v>
      </c>
      <c r="F184" s="450">
        <v>0</v>
      </c>
      <c r="G184" s="449">
        <v>231459.72</v>
      </c>
      <c r="H184" s="449">
        <v>278760.38</v>
      </c>
      <c r="I184" s="449">
        <v>-470.36</v>
      </c>
      <c r="J184" s="449">
        <v>278290.02</v>
      </c>
      <c r="K184" s="449">
        <v>311660.21999999997</v>
      </c>
      <c r="L184" s="449">
        <v>-6198.99</v>
      </c>
      <c r="M184" s="449">
        <v>305461.23</v>
      </c>
    </row>
    <row r="185" spans="2:13" ht="15">
      <c r="B185" s="104" t="str">
        <f t="shared" si="2"/>
        <v>5135</v>
      </c>
      <c r="C185" s="448" t="s">
        <v>1886</v>
      </c>
      <c r="D185" s="449">
        <v>25520</v>
      </c>
      <c r="E185" s="449">
        <v>12760</v>
      </c>
      <c r="F185" s="450">
        <v>0</v>
      </c>
      <c r="G185" s="449">
        <v>12760</v>
      </c>
      <c r="H185" s="449">
        <v>16240</v>
      </c>
      <c r="I185" s="450">
        <v>0</v>
      </c>
      <c r="J185" s="449">
        <v>16240</v>
      </c>
      <c r="K185" s="449">
        <v>12760</v>
      </c>
      <c r="L185" s="450">
        <v>0</v>
      </c>
      <c r="M185" s="449">
        <v>12760</v>
      </c>
    </row>
    <row r="186" spans="2:13" ht="15">
      <c r="B186" s="104" t="str">
        <f t="shared" si="2"/>
        <v>5135</v>
      </c>
      <c r="C186" s="448" t="s">
        <v>1887</v>
      </c>
      <c r="D186" s="449">
        <v>10058.959999999999</v>
      </c>
      <c r="E186" s="449">
        <v>16982.009999999998</v>
      </c>
      <c r="F186" s="450">
        <v>0</v>
      </c>
      <c r="G186" s="449">
        <v>16982.009999999998</v>
      </c>
      <c r="H186" s="449">
        <v>22094.02</v>
      </c>
      <c r="I186" s="450">
        <v>0</v>
      </c>
      <c r="J186" s="449">
        <v>22094.02</v>
      </c>
      <c r="K186" s="449">
        <v>13091.33</v>
      </c>
      <c r="L186" s="449">
        <v>-10000.32</v>
      </c>
      <c r="M186" s="449">
        <v>3091.01</v>
      </c>
    </row>
    <row r="187" spans="2:13" ht="15">
      <c r="B187" s="104" t="str">
        <f t="shared" si="2"/>
        <v>5135</v>
      </c>
      <c r="C187" s="448" t="s">
        <v>1888</v>
      </c>
      <c r="D187" s="450">
        <v>0</v>
      </c>
      <c r="E187" s="450">
        <v>0</v>
      </c>
      <c r="F187" s="450">
        <v>0</v>
      </c>
      <c r="G187" s="450">
        <v>0</v>
      </c>
      <c r="H187" s="449">
        <v>1135</v>
      </c>
      <c r="I187" s="450">
        <v>0</v>
      </c>
      <c r="J187" s="449">
        <v>1135</v>
      </c>
      <c r="K187" s="449">
        <v>23592.48</v>
      </c>
      <c r="L187" s="450">
        <v>0</v>
      </c>
      <c r="M187" s="449">
        <v>23592.48</v>
      </c>
    </row>
    <row r="188" spans="2:13" ht="15">
      <c r="B188" s="104" t="str">
        <f t="shared" si="2"/>
        <v>5136</v>
      </c>
      <c r="C188" s="448" t="s">
        <v>1889</v>
      </c>
      <c r="D188" s="449">
        <v>4803113.34</v>
      </c>
      <c r="E188" s="449">
        <v>5172314.26</v>
      </c>
      <c r="F188" s="449">
        <v>-611040.34</v>
      </c>
      <c r="G188" s="449">
        <v>4561273.92</v>
      </c>
      <c r="H188" s="449">
        <v>5693188</v>
      </c>
      <c r="I188" s="449">
        <v>-511831.59</v>
      </c>
      <c r="J188" s="449">
        <v>5181356.41</v>
      </c>
      <c r="K188" s="449">
        <v>5448509.1900000004</v>
      </c>
      <c r="L188" s="449">
        <v>-369481.84</v>
      </c>
      <c r="M188" s="449">
        <v>5079027.3499999996</v>
      </c>
    </row>
    <row r="189" spans="2:13" ht="15">
      <c r="B189" s="104" t="str">
        <f t="shared" si="2"/>
        <v>5136</v>
      </c>
      <c r="C189" s="448" t="s">
        <v>1890</v>
      </c>
      <c r="D189" s="449">
        <v>62176</v>
      </c>
      <c r="E189" s="449">
        <v>1102</v>
      </c>
      <c r="F189" s="450">
        <v>0</v>
      </c>
      <c r="G189" s="449">
        <v>1102</v>
      </c>
      <c r="H189" s="450">
        <v>0</v>
      </c>
      <c r="I189" s="450">
        <v>0</v>
      </c>
      <c r="J189" s="450">
        <v>0</v>
      </c>
      <c r="K189" s="449">
        <v>68586.92</v>
      </c>
      <c r="L189" s="450">
        <v>0</v>
      </c>
      <c r="M189" s="449">
        <v>68586.92</v>
      </c>
    </row>
    <row r="190" spans="2:13" ht="15">
      <c r="B190" s="104" t="str">
        <f t="shared" si="2"/>
        <v>5136</v>
      </c>
      <c r="C190" s="448" t="s">
        <v>1891</v>
      </c>
      <c r="D190" s="450">
        <v>0</v>
      </c>
      <c r="E190" s="450">
        <v>0</v>
      </c>
      <c r="F190" s="450">
        <v>0</v>
      </c>
      <c r="G190" s="450">
        <v>0</v>
      </c>
      <c r="H190" s="450">
        <v>0</v>
      </c>
      <c r="I190" s="450">
        <v>0</v>
      </c>
      <c r="J190" s="450">
        <v>0</v>
      </c>
      <c r="K190" s="450">
        <v>0</v>
      </c>
      <c r="L190" s="450">
        <v>0</v>
      </c>
      <c r="M190" s="450">
        <v>0</v>
      </c>
    </row>
    <row r="191" spans="2:13" ht="15">
      <c r="B191" s="104" t="str">
        <f t="shared" si="2"/>
        <v>5136</v>
      </c>
      <c r="C191" s="448" t="s">
        <v>1892</v>
      </c>
      <c r="D191" s="450">
        <v>0</v>
      </c>
      <c r="E191" s="450">
        <v>0</v>
      </c>
      <c r="F191" s="450">
        <v>0</v>
      </c>
      <c r="G191" s="450">
        <v>0</v>
      </c>
      <c r="H191" s="450">
        <v>0</v>
      </c>
      <c r="I191" s="450">
        <v>0</v>
      </c>
      <c r="J191" s="450">
        <v>0</v>
      </c>
      <c r="K191" s="450">
        <v>0</v>
      </c>
      <c r="L191" s="450">
        <v>0</v>
      </c>
      <c r="M191" s="450">
        <v>0</v>
      </c>
    </row>
    <row r="192" spans="2:13" ht="15">
      <c r="B192" s="104" t="str">
        <f t="shared" si="2"/>
        <v>5136</v>
      </c>
      <c r="C192" s="448" t="s">
        <v>1893</v>
      </c>
      <c r="D192" s="449">
        <v>1241199.94</v>
      </c>
      <c r="E192" s="449">
        <v>358036.32</v>
      </c>
      <c r="F192" s="450">
        <v>0</v>
      </c>
      <c r="G192" s="449">
        <v>358036.32</v>
      </c>
      <c r="H192" s="449">
        <v>139200</v>
      </c>
      <c r="I192" s="450">
        <v>0</v>
      </c>
      <c r="J192" s="449">
        <v>139200</v>
      </c>
      <c r="K192" s="450">
        <v>0</v>
      </c>
      <c r="L192" s="450">
        <v>0</v>
      </c>
      <c r="M192" s="450">
        <v>0</v>
      </c>
    </row>
    <row r="193" spans="2:13" ht="15">
      <c r="B193" s="104" t="str">
        <f t="shared" si="2"/>
        <v>5137</v>
      </c>
      <c r="C193" s="448" t="s">
        <v>1894</v>
      </c>
      <c r="D193" s="449">
        <v>47323.01</v>
      </c>
      <c r="E193" s="449">
        <v>108190</v>
      </c>
      <c r="F193" s="449">
        <v>-6652</v>
      </c>
      <c r="G193" s="449">
        <v>101538</v>
      </c>
      <c r="H193" s="449">
        <v>57176</v>
      </c>
      <c r="I193" s="449">
        <v>-21214</v>
      </c>
      <c r="J193" s="449">
        <v>35962</v>
      </c>
      <c r="K193" s="449">
        <v>25926</v>
      </c>
      <c r="L193" s="450">
        <v>0</v>
      </c>
      <c r="M193" s="449">
        <v>25926</v>
      </c>
    </row>
    <row r="194" spans="2:13" ht="15">
      <c r="B194" s="104" t="str">
        <f t="shared" si="2"/>
        <v>5137</v>
      </c>
      <c r="C194" s="448" t="s">
        <v>1895</v>
      </c>
      <c r="D194" s="449">
        <v>54767.7</v>
      </c>
      <c r="E194" s="449">
        <v>49384.91</v>
      </c>
      <c r="F194" s="450">
        <v>0</v>
      </c>
      <c r="G194" s="449">
        <v>49384.91</v>
      </c>
      <c r="H194" s="450">
        <v>0</v>
      </c>
      <c r="I194" s="450">
        <v>0</v>
      </c>
      <c r="J194" s="450">
        <v>0</v>
      </c>
      <c r="K194" s="450">
        <v>0</v>
      </c>
      <c r="L194" s="450">
        <v>0</v>
      </c>
      <c r="M194" s="450">
        <v>0</v>
      </c>
    </row>
    <row r="195" spans="2:13" ht="15">
      <c r="B195" s="104" t="str">
        <f t="shared" si="2"/>
        <v>5137</v>
      </c>
      <c r="C195" s="448" t="s">
        <v>1896</v>
      </c>
      <c r="D195" s="449">
        <v>82693.649999999994</v>
      </c>
      <c r="E195" s="449">
        <v>92748</v>
      </c>
      <c r="F195" s="449">
        <v>-3018</v>
      </c>
      <c r="G195" s="449">
        <v>89730</v>
      </c>
      <c r="H195" s="449">
        <v>119633.33</v>
      </c>
      <c r="I195" s="449">
        <v>-5813</v>
      </c>
      <c r="J195" s="449">
        <v>113820.33</v>
      </c>
      <c r="K195" s="449">
        <v>94048.5</v>
      </c>
      <c r="L195" s="449">
        <v>-1050</v>
      </c>
      <c r="M195" s="449">
        <v>92998.5</v>
      </c>
    </row>
    <row r="196" spans="2:13" ht="15">
      <c r="B196" s="104" t="str">
        <f t="shared" ref="B196:B215" si="3">MID(C196,3,4)</f>
        <v>5137</v>
      </c>
      <c r="C196" s="448" t="s">
        <v>1897</v>
      </c>
      <c r="D196" s="449">
        <v>2683.83</v>
      </c>
      <c r="E196" s="449">
        <v>1865.07</v>
      </c>
      <c r="F196" s="450">
        <v>0</v>
      </c>
      <c r="G196" s="449">
        <v>1865.07</v>
      </c>
      <c r="H196" s="450">
        <v>0</v>
      </c>
      <c r="I196" s="450">
        <v>0</v>
      </c>
      <c r="J196" s="450">
        <v>0</v>
      </c>
      <c r="K196" s="450">
        <v>0</v>
      </c>
      <c r="L196" s="450">
        <v>0</v>
      </c>
      <c r="M196" s="450">
        <v>0</v>
      </c>
    </row>
    <row r="197" spans="2:13" ht="15">
      <c r="B197" s="104" t="str">
        <f t="shared" si="3"/>
        <v>5137</v>
      </c>
      <c r="C197" s="448" t="s">
        <v>1898</v>
      </c>
      <c r="D197" s="449">
        <v>49404.24</v>
      </c>
      <c r="E197" s="449">
        <v>67472.179999999993</v>
      </c>
      <c r="F197" s="450">
        <v>0</v>
      </c>
      <c r="G197" s="449">
        <v>67472.179999999993</v>
      </c>
      <c r="H197" s="449">
        <v>96570.48</v>
      </c>
      <c r="I197" s="449">
        <v>-41.05</v>
      </c>
      <c r="J197" s="449">
        <v>96529.43</v>
      </c>
      <c r="K197" s="449">
        <v>55077.82</v>
      </c>
      <c r="L197" s="449">
        <v>-540</v>
      </c>
      <c r="M197" s="449">
        <v>54537.82</v>
      </c>
    </row>
    <row r="198" spans="2:13" ht="15">
      <c r="B198" s="104" t="str">
        <f t="shared" si="3"/>
        <v>5137</v>
      </c>
      <c r="C198" s="448" t="s">
        <v>1899</v>
      </c>
      <c r="D198" s="449">
        <v>53788.800000000003</v>
      </c>
      <c r="E198" s="449">
        <v>42160.68</v>
      </c>
      <c r="F198" s="450">
        <v>0</v>
      </c>
      <c r="G198" s="449">
        <v>42160.68</v>
      </c>
      <c r="H198" s="450">
        <v>0</v>
      </c>
      <c r="I198" s="450">
        <v>0</v>
      </c>
      <c r="J198" s="450">
        <v>0</v>
      </c>
      <c r="K198" s="450">
        <v>0</v>
      </c>
      <c r="L198" s="450">
        <v>0</v>
      </c>
      <c r="M198" s="450">
        <v>0</v>
      </c>
    </row>
    <row r="199" spans="2:13" ht="15">
      <c r="B199" s="104" t="str">
        <f t="shared" si="3"/>
        <v>5138</v>
      </c>
      <c r="C199" s="448" t="s">
        <v>1900</v>
      </c>
      <c r="D199" s="449">
        <v>356467.63</v>
      </c>
      <c r="E199" s="449">
        <v>469854.49</v>
      </c>
      <c r="F199" s="449">
        <v>-2181.6</v>
      </c>
      <c r="G199" s="449">
        <v>467672.89</v>
      </c>
      <c r="H199" s="449">
        <v>518937.55</v>
      </c>
      <c r="I199" s="449">
        <v>-29617.58</v>
      </c>
      <c r="J199" s="449">
        <v>489319.97</v>
      </c>
      <c r="K199" s="449">
        <v>831198.11</v>
      </c>
      <c r="L199" s="449">
        <v>-8140</v>
      </c>
      <c r="M199" s="449">
        <v>823058.11</v>
      </c>
    </row>
    <row r="200" spans="2:13" ht="15">
      <c r="B200" s="104" t="str">
        <f t="shared" si="3"/>
        <v>5138</v>
      </c>
      <c r="C200" s="448" t="s">
        <v>1901</v>
      </c>
      <c r="D200" s="449">
        <v>397168.31</v>
      </c>
      <c r="E200" s="449">
        <v>390137.46</v>
      </c>
      <c r="F200" s="449">
        <v>-10769</v>
      </c>
      <c r="G200" s="449">
        <v>379368.46</v>
      </c>
      <c r="H200" s="449">
        <v>737150.77</v>
      </c>
      <c r="I200" s="449">
        <v>-3704.27</v>
      </c>
      <c r="J200" s="449">
        <v>733446.5</v>
      </c>
      <c r="K200" s="449">
        <v>359462.40000000002</v>
      </c>
      <c r="L200" s="449">
        <v>-4078.64</v>
      </c>
      <c r="M200" s="449">
        <v>355383.76</v>
      </c>
    </row>
    <row r="201" spans="2:13" ht="15">
      <c r="B201" s="104" t="str">
        <f t="shared" si="3"/>
        <v>5138</v>
      </c>
      <c r="C201" s="448" t="s">
        <v>1902</v>
      </c>
      <c r="D201" s="449">
        <v>162802.57999999999</v>
      </c>
      <c r="E201" s="449">
        <v>167844.06</v>
      </c>
      <c r="F201" s="450">
        <v>0</v>
      </c>
      <c r="G201" s="449">
        <v>167844.06</v>
      </c>
      <c r="H201" s="449">
        <v>194030.34</v>
      </c>
      <c r="I201" s="449">
        <v>-29598.89</v>
      </c>
      <c r="J201" s="449">
        <v>164431.45000000001</v>
      </c>
      <c r="K201" s="449">
        <v>162788.44</v>
      </c>
      <c r="L201" s="450">
        <v>0</v>
      </c>
      <c r="M201" s="449">
        <v>162788.44</v>
      </c>
    </row>
    <row r="202" spans="2:13" ht="15">
      <c r="B202" s="104" t="str">
        <f t="shared" si="3"/>
        <v>5138</v>
      </c>
      <c r="C202" s="448" t="s">
        <v>1903</v>
      </c>
      <c r="D202" s="449">
        <v>89948.76</v>
      </c>
      <c r="E202" s="449">
        <v>67799.87</v>
      </c>
      <c r="F202" s="449">
        <v>-256</v>
      </c>
      <c r="G202" s="449">
        <v>67543.87</v>
      </c>
      <c r="H202" s="449">
        <v>76982.080000000002</v>
      </c>
      <c r="I202" s="449">
        <v>-445.5</v>
      </c>
      <c r="J202" s="449">
        <v>76536.58</v>
      </c>
      <c r="K202" s="449">
        <v>15056</v>
      </c>
      <c r="L202" s="450">
        <v>0</v>
      </c>
      <c r="M202" s="449">
        <v>15056</v>
      </c>
    </row>
    <row r="203" spans="2:13" ht="15">
      <c r="B203" s="104" t="str">
        <f t="shared" si="3"/>
        <v>5139</v>
      </c>
      <c r="C203" s="448" t="s">
        <v>1904</v>
      </c>
      <c r="D203" s="449">
        <v>17198</v>
      </c>
      <c r="E203" s="449">
        <v>24898</v>
      </c>
      <c r="F203" s="450">
        <v>0</v>
      </c>
      <c r="G203" s="449">
        <v>24898</v>
      </c>
      <c r="H203" s="449">
        <v>21987</v>
      </c>
      <c r="I203" s="450">
        <v>0</v>
      </c>
      <c r="J203" s="449">
        <v>21987</v>
      </c>
      <c r="K203" s="449">
        <v>32579.53</v>
      </c>
      <c r="L203" s="449">
        <v>-1624</v>
      </c>
      <c r="M203" s="449">
        <v>30955.53</v>
      </c>
    </row>
    <row r="204" spans="2:13" ht="15">
      <c r="B204" s="104" t="str">
        <f t="shared" si="3"/>
        <v>5139</v>
      </c>
      <c r="C204" s="448" t="s">
        <v>1905</v>
      </c>
      <c r="D204" s="449">
        <v>741139.01</v>
      </c>
      <c r="E204" s="449">
        <v>886986.23999999999</v>
      </c>
      <c r="F204" s="449">
        <v>-3557.26</v>
      </c>
      <c r="G204" s="449">
        <v>883428.98</v>
      </c>
      <c r="H204" s="449">
        <v>1197454.3600000001</v>
      </c>
      <c r="I204" s="449">
        <v>-211976.52</v>
      </c>
      <c r="J204" s="449">
        <v>985477.84</v>
      </c>
      <c r="K204" s="449">
        <v>1179052.02</v>
      </c>
      <c r="L204" s="449">
        <v>-36992.97</v>
      </c>
      <c r="M204" s="449">
        <v>1142059.05</v>
      </c>
    </row>
    <row r="205" spans="2:13" ht="15">
      <c r="B205" s="104" t="str">
        <f t="shared" si="3"/>
        <v>5515</v>
      </c>
      <c r="C205" s="448" t="s">
        <v>1906</v>
      </c>
      <c r="D205" s="449">
        <v>334512.53000000003</v>
      </c>
      <c r="E205" s="449">
        <v>387178.16</v>
      </c>
      <c r="F205" s="450">
        <v>0</v>
      </c>
      <c r="G205" s="449">
        <v>387178.16</v>
      </c>
      <c r="H205" s="449">
        <v>385854.24</v>
      </c>
      <c r="I205" s="450">
        <v>0</v>
      </c>
      <c r="J205" s="449">
        <v>385854.24</v>
      </c>
      <c r="K205" s="449">
        <v>379989.09</v>
      </c>
      <c r="L205" s="450">
        <v>0</v>
      </c>
      <c r="M205" s="449">
        <v>379989.09</v>
      </c>
    </row>
    <row r="206" spans="2:13" ht="15">
      <c r="B206" s="104" t="str">
        <f t="shared" si="3"/>
        <v>5515</v>
      </c>
      <c r="C206" s="448" t="s">
        <v>1907</v>
      </c>
      <c r="D206" s="449">
        <v>20026.29</v>
      </c>
      <c r="E206" s="449">
        <v>20026.3</v>
      </c>
      <c r="F206" s="450">
        <v>0</v>
      </c>
      <c r="G206" s="449">
        <v>20026.3</v>
      </c>
      <c r="H206" s="449">
        <v>15098.28</v>
      </c>
      <c r="I206" s="450">
        <v>0</v>
      </c>
      <c r="J206" s="449">
        <v>15098.28</v>
      </c>
      <c r="K206" s="449">
        <v>314.39999999999998</v>
      </c>
      <c r="L206" s="450">
        <v>0</v>
      </c>
      <c r="M206" s="449">
        <v>314.39999999999998</v>
      </c>
    </row>
    <row r="207" spans="2:13" ht="15">
      <c r="B207" s="104" t="str">
        <f t="shared" si="3"/>
        <v>5515</v>
      </c>
      <c r="C207" s="448" t="s">
        <v>1908</v>
      </c>
      <c r="D207" s="449">
        <v>743318.46</v>
      </c>
      <c r="E207" s="449">
        <v>829195.53</v>
      </c>
      <c r="F207" s="450">
        <v>0</v>
      </c>
      <c r="G207" s="449">
        <v>829195.53</v>
      </c>
      <c r="H207" s="449">
        <v>1055692.46</v>
      </c>
      <c r="I207" s="450">
        <v>0</v>
      </c>
      <c r="J207" s="449">
        <v>1055692.46</v>
      </c>
      <c r="K207" s="449">
        <v>858041.51</v>
      </c>
      <c r="L207" s="450">
        <v>0</v>
      </c>
      <c r="M207" s="449">
        <v>858041.51</v>
      </c>
    </row>
    <row r="208" spans="2:13" ht="15">
      <c r="B208" s="104" t="str">
        <f t="shared" si="3"/>
        <v>5515</v>
      </c>
      <c r="C208" s="448" t="s">
        <v>1909</v>
      </c>
      <c r="D208" s="449">
        <v>5525.74</v>
      </c>
      <c r="E208" s="449">
        <v>18237.669999999998</v>
      </c>
      <c r="F208" s="450">
        <v>0</v>
      </c>
      <c r="G208" s="449">
        <v>18237.669999999998</v>
      </c>
      <c r="H208" s="449">
        <v>19563.43</v>
      </c>
      <c r="I208" s="450">
        <v>0</v>
      </c>
      <c r="J208" s="449">
        <v>19563.43</v>
      </c>
      <c r="K208" s="449">
        <v>19916.03</v>
      </c>
      <c r="L208" s="450">
        <v>0</v>
      </c>
      <c r="M208" s="449">
        <v>19916.03</v>
      </c>
    </row>
    <row r="209" spans="2:13" ht="15">
      <c r="B209" s="104" t="str">
        <f t="shared" si="3"/>
        <v>5515</v>
      </c>
      <c r="C209" s="448" t="s">
        <v>1910</v>
      </c>
      <c r="D209" s="449">
        <v>725973.88</v>
      </c>
      <c r="E209" s="449">
        <v>709964.39</v>
      </c>
      <c r="F209" s="450">
        <v>0</v>
      </c>
      <c r="G209" s="449">
        <v>709964.39</v>
      </c>
      <c r="H209" s="449">
        <v>886443.71</v>
      </c>
      <c r="I209" s="450">
        <v>0</v>
      </c>
      <c r="J209" s="449">
        <v>886443.71</v>
      </c>
      <c r="K209" s="449">
        <v>1079051.1200000001</v>
      </c>
      <c r="L209" s="450">
        <v>0</v>
      </c>
      <c r="M209" s="449">
        <v>1079051.1200000001</v>
      </c>
    </row>
    <row r="210" spans="2:13" ht="15">
      <c r="B210" s="104" t="str">
        <f t="shared" si="3"/>
        <v>5515</v>
      </c>
      <c r="C210" s="448" t="s">
        <v>1911</v>
      </c>
      <c r="D210" s="449">
        <v>16983.27</v>
      </c>
      <c r="E210" s="450">
        <v>0</v>
      </c>
      <c r="F210" s="450">
        <v>0</v>
      </c>
      <c r="G210" s="450">
        <v>0</v>
      </c>
      <c r="H210" s="450">
        <v>0</v>
      </c>
      <c r="I210" s="450">
        <v>0</v>
      </c>
      <c r="J210" s="450">
        <v>0</v>
      </c>
      <c r="K210" s="450">
        <v>0</v>
      </c>
      <c r="L210" s="450">
        <v>0</v>
      </c>
      <c r="M210" s="450">
        <v>0</v>
      </c>
    </row>
    <row r="211" spans="2:13" ht="15">
      <c r="B211" s="104" t="str">
        <f t="shared" si="3"/>
        <v>5515</v>
      </c>
      <c r="C211" s="448" t="s">
        <v>1912</v>
      </c>
      <c r="D211" s="449">
        <v>804.35</v>
      </c>
      <c r="E211" s="449">
        <v>681.72</v>
      </c>
      <c r="F211" s="450">
        <v>0</v>
      </c>
      <c r="G211" s="449">
        <v>681.72</v>
      </c>
      <c r="H211" s="449">
        <v>510.05</v>
      </c>
      <c r="I211" s="450">
        <v>0</v>
      </c>
      <c r="J211" s="449">
        <v>510.05</v>
      </c>
      <c r="K211" s="449">
        <v>352.36</v>
      </c>
      <c r="L211" s="450">
        <v>0</v>
      </c>
      <c r="M211" s="449">
        <v>352.36</v>
      </c>
    </row>
    <row r="212" spans="2:13" ht="15">
      <c r="B212" s="104" t="str">
        <f t="shared" si="3"/>
        <v>5515</v>
      </c>
      <c r="C212" s="448" t="s">
        <v>1913</v>
      </c>
      <c r="D212" s="449">
        <v>20178.46</v>
      </c>
      <c r="E212" s="449">
        <v>3205.54</v>
      </c>
      <c r="F212" s="450">
        <v>0</v>
      </c>
      <c r="G212" s="449">
        <v>3205.54</v>
      </c>
      <c r="H212" s="449">
        <v>2484.11</v>
      </c>
      <c r="I212" s="450">
        <v>0</v>
      </c>
      <c r="J212" s="449">
        <v>2484.11</v>
      </c>
      <c r="K212" s="449">
        <v>4538.32</v>
      </c>
      <c r="L212" s="450">
        <v>0</v>
      </c>
      <c r="M212" s="449">
        <v>4538.32</v>
      </c>
    </row>
    <row r="213" spans="2:13" ht="15">
      <c r="B213" s="104" t="str">
        <f t="shared" si="3"/>
        <v>5515</v>
      </c>
      <c r="C213" s="448" t="s">
        <v>1914</v>
      </c>
      <c r="D213" s="450">
        <v>0</v>
      </c>
      <c r="E213" s="449">
        <v>16983.27</v>
      </c>
      <c r="F213" s="450">
        <v>0</v>
      </c>
      <c r="G213" s="449">
        <v>16983.27</v>
      </c>
      <c r="H213" s="449">
        <v>16983.27</v>
      </c>
      <c r="I213" s="450">
        <v>0</v>
      </c>
      <c r="J213" s="449">
        <v>16983.27</v>
      </c>
      <c r="K213" s="449">
        <v>16983.27</v>
      </c>
      <c r="L213" s="450">
        <v>0</v>
      </c>
      <c r="M213" s="449">
        <v>16983.27</v>
      </c>
    </row>
    <row r="214" spans="2:13" ht="15">
      <c r="B214" s="104" t="str">
        <f t="shared" si="3"/>
        <v>5518</v>
      </c>
      <c r="C214" s="448" t="s">
        <v>1915</v>
      </c>
      <c r="D214" s="450">
        <v>0</v>
      </c>
      <c r="E214" s="450">
        <v>0</v>
      </c>
      <c r="F214" s="450">
        <v>0</v>
      </c>
      <c r="G214" s="450">
        <v>0</v>
      </c>
      <c r="H214" s="449">
        <v>7937.3</v>
      </c>
      <c r="I214" s="450">
        <v>0</v>
      </c>
      <c r="J214" s="449">
        <v>7937.3</v>
      </c>
      <c r="K214" s="450">
        <v>0</v>
      </c>
      <c r="L214" s="450">
        <v>0</v>
      </c>
      <c r="M214" s="450">
        <v>0</v>
      </c>
    </row>
    <row r="215" spans="2:13" ht="15">
      <c r="B215" s="104" t="str">
        <f t="shared" si="3"/>
        <v>5518</v>
      </c>
      <c r="C215" s="448" t="s">
        <v>1916</v>
      </c>
      <c r="D215" s="450">
        <v>0</v>
      </c>
      <c r="E215" s="450">
        <v>0</v>
      </c>
      <c r="F215" s="450">
        <v>0</v>
      </c>
      <c r="G215" s="450">
        <v>0</v>
      </c>
      <c r="H215" s="449">
        <v>220083.34</v>
      </c>
      <c r="I215" s="449">
        <v>-220083.34</v>
      </c>
      <c r="J215" s="449">
        <v>0</v>
      </c>
      <c r="K215" s="449">
        <v>171881.25</v>
      </c>
      <c r="L215" s="450">
        <v>0</v>
      </c>
      <c r="M215" s="449">
        <v>171881.25</v>
      </c>
    </row>
  </sheetData>
  <dataConsolidate link="1"/>
  <pageMargins left="0.75" right="0.75" top="1" bottom="1" header="0.4921259845" footer="0.4921259845"/>
  <pageSetup paperSize="9" orientation="portrait" verticalDpi="0" r:id="rId1"/>
  <headerFooter alignWithMargins="0"/>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zoomScaleNormal="100" workbookViewId="0">
      <selection activeCell="B15" sqref="B15"/>
    </sheetView>
  </sheetViews>
  <sheetFormatPr baseColWidth="10" defaultColWidth="9.28515625" defaultRowHeight="11.25"/>
  <cols>
    <col min="1" max="1" width="6.85546875" style="215" customWidth="1"/>
    <col min="2" max="2" width="39.5703125" style="215" customWidth="1"/>
    <col min="3" max="9" width="13.85546875" style="215" customWidth="1"/>
    <col min="10" max="256" width="9.28515625" style="215"/>
    <col min="257" max="257" width="6.85546875" style="215" customWidth="1"/>
    <col min="258" max="258" width="39.5703125" style="215" customWidth="1"/>
    <col min="259" max="265" width="13.85546875" style="215" customWidth="1"/>
    <col min="266" max="512" width="9.28515625" style="215"/>
    <col min="513" max="513" width="6.85546875" style="215" customWidth="1"/>
    <col min="514" max="514" width="39.5703125" style="215" customWidth="1"/>
    <col min="515" max="521" width="13.85546875" style="215" customWidth="1"/>
    <col min="522" max="768" width="9.28515625" style="215"/>
    <col min="769" max="769" width="6.85546875" style="215" customWidth="1"/>
    <col min="770" max="770" width="39.5703125" style="215" customWidth="1"/>
    <col min="771" max="777" width="13.85546875" style="215" customWidth="1"/>
    <col min="778" max="1024" width="9.28515625" style="215"/>
    <col min="1025" max="1025" width="6.85546875" style="215" customWidth="1"/>
    <col min="1026" max="1026" width="39.5703125" style="215" customWidth="1"/>
    <col min="1027" max="1033" width="13.85546875" style="215" customWidth="1"/>
    <col min="1034" max="1280" width="9.28515625" style="215"/>
    <col min="1281" max="1281" width="6.85546875" style="215" customWidth="1"/>
    <col min="1282" max="1282" width="39.5703125" style="215" customWidth="1"/>
    <col min="1283" max="1289" width="13.85546875" style="215" customWidth="1"/>
    <col min="1290" max="1536" width="9.28515625" style="215"/>
    <col min="1537" max="1537" width="6.85546875" style="215" customWidth="1"/>
    <col min="1538" max="1538" width="39.5703125" style="215" customWidth="1"/>
    <col min="1539" max="1545" width="13.85546875" style="215" customWidth="1"/>
    <col min="1546" max="1792" width="9.28515625" style="215"/>
    <col min="1793" max="1793" width="6.85546875" style="215" customWidth="1"/>
    <col min="1794" max="1794" width="39.5703125" style="215" customWidth="1"/>
    <col min="1795" max="1801" width="13.85546875" style="215" customWidth="1"/>
    <col min="1802" max="2048" width="9.28515625" style="215"/>
    <col min="2049" max="2049" width="6.85546875" style="215" customWidth="1"/>
    <col min="2050" max="2050" width="39.5703125" style="215" customWidth="1"/>
    <col min="2051" max="2057" width="13.85546875" style="215" customWidth="1"/>
    <col min="2058" max="2304" width="9.28515625" style="215"/>
    <col min="2305" max="2305" width="6.85546875" style="215" customWidth="1"/>
    <col min="2306" max="2306" width="39.5703125" style="215" customWidth="1"/>
    <col min="2307" max="2313" width="13.85546875" style="215" customWidth="1"/>
    <col min="2314" max="2560" width="9.28515625" style="215"/>
    <col min="2561" max="2561" width="6.85546875" style="215" customWidth="1"/>
    <col min="2562" max="2562" width="39.5703125" style="215" customWidth="1"/>
    <col min="2563" max="2569" width="13.85546875" style="215" customWidth="1"/>
    <col min="2570" max="2816" width="9.28515625" style="215"/>
    <col min="2817" max="2817" width="6.85546875" style="215" customWidth="1"/>
    <col min="2818" max="2818" width="39.5703125" style="215" customWidth="1"/>
    <col min="2819" max="2825" width="13.85546875" style="215" customWidth="1"/>
    <col min="2826" max="3072" width="9.28515625" style="215"/>
    <col min="3073" max="3073" width="6.85546875" style="215" customWidth="1"/>
    <col min="3074" max="3074" width="39.5703125" style="215" customWidth="1"/>
    <col min="3075" max="3081" width="13.85546875" style="215" customWidth="1"/>
    <col min="3082" max="3328" width="9.28515625" style="215"/>
    <col min="3329" max="3329" width="6.85546875" style="215" customWidth="1"/>
    <col min="3330" max="3330" width="39.5703125" style="215" customWidth="1"/>
    <col min="3331" max="3337" width="13.85546875" style="215" customWidth="1"/>
    <col min="3338" max="3584" width="9.28515625" style="215"/>
    <col min="3585" max="3585" width="6.85546875" style="215" customWidth="1"/>
    <col min="3586" max="3586" width="39.5703125" style="215" customWidth="1"/>
    <col min="3587" max="3593" width="13.85546875" style="215" customWidth="1"/>
    <col min="3594" max="3840" width="9.28515625" style="215"/>
    <col min="3841" max="3841" width="6.85546875" style="215" customWidth="1"/>
    <col min="3842" max="3842" width="39.5703125" style="215" customWidth="1"/>
    <col min="3843" max="3849" width="13.85546875" style="215" customWidth="1"/>
    <col min="3850" max="4096" width="9.28515625" style="215"/>
    <col min="4097" max="4097" width="6.85546875" style="215" customWidth="1"/>
    <col min="4098" max="4098" width="39.5703125" style="215" customWidth="1"/>
    <col min="4099" max="4105" width="13.85546875" style="215" customWidth="1"/>
    <col min="4106" max="4352" width="9.28515625" style="215"/>
    <col min="4353" max="4353" width="6.85546875" style="215" customWidth="1"/>
    <col min="4354" max="4354" width="39.5703125" style="215" customWidth="1"/>
    <col min="4355" max="4361" width="13.85546875" style="215" customWidth="1"/>
    <col min="4362" max="4608" width="9.28515625" style="215"/>
    <col min="4609" max="4609" width="6.85546875" style="215" customWidth="1"/>
    <col min="4610" max="4610" width="39.5703125" style="215" customWidth="1"/>
    <col min="4611" max="4617" width="13.85546875" style="215" customWidth="1"/>
    <col min="4618" max="4864" width="9.28515625" style="215"/>
    <col min="4865" max="4865" width="6.85546875" style="215" customWidth="1"/>
    <col min="4866" max="4866" width="39.5703125" style="215" customWidth="1"/>
    <col min="4867" max="4873" width="13.85546875" style="215" customWidth="1"/>
    <col min="4874" max="5120" width="9.28515625" style="215"/>
    <col min="5121" max="5121" width="6.85546875" style="215" customWidth="1"/>
    <col min="5122" max="5122" width="39.5703125" style="215" customWidth="1"/>
    <col min="5123" max="5129" width="13.85546875" style="215" customWidth="1"/>
    <col min="5130" max="5376" width="9.28515625" style="215"/>
    <col min="5377" max="5377" width="6.85546875" style="215" customWidth="1"/>
    <col min="5378" max="5378" width="39.5703125" style="215" customWidth="1"/>
    <col min="5379" max="5385" width="13.85546875" style="215" customWidth="1"/>
    <col min="5386" max="5632" width="9.28515625" style="215"/>
    <col min="5633" max="5633" width="6.85546875" style="215" customWidth="1"/>
    <col min="5634" max="5634" width="39.5703125" style="215" customWidth="1"/>
    <col min="5635" max="5641" width="13.85546875" style="215" customWidth="1"/>
    <col min="5642" max="5888" width="9.28515625" style="215"/>
    <col min="5889" max="5889" width="6.85546875" style="215" customWidth="1"/>
    <col min="5890" max="5890" width="39.5703125" style="215" customWidth="1"/>
    <col min="5891" max="5897" width="13.85546875" style="215" customWidth="1"/>
    <col min="5898" max="6144" width="9.28515625" style="215"/>
    <col min="6145" max="6145" width="6.85546875" style="215" customWidth="1"/>
    <col min="6146" max="6146" width="39.5703125" style="215" customWidth="1"/>
    <col min="6147" max="6153" width="13.85546875" style="215" customWidth="1"/>
    <col min="6154" max="6400" width="9.28515625" style="215"/>
    <col min="6401" max="6401" width="6.85546875" style="215" customWidth="1"/>
    <col min="6402" max="6402" width="39.5703125" style="215" customWidth="1"/>
    <col min="6403" max="6409" width="13.85546875" style="215" customWidth="1"/>
    <col min="6410" max="6656" width="9.28515625" style="215"/>
    <col min="6657" max="6657" width="6.85546875" style="215" customWidth="1"/>
    <col min="6658" max="6658" width="39.5703125" style="215" customWidth="1"/>
    <col min="6659" max="6665" width="13.85546875" style="215" customWidth="1"/>
    <col min="6666" max="6912" width="9.28515625" style="215"/>
    <col min="6913" max="6913" width="6.85546875" style="215" customWidth="1"/>
    <col min="6914" max="6914" width="39.5703125" style="215" customWidth="1"/>
    <col min="6915" max="6921" width="13.85546875" style="215" customWidth="1"/>
    <col min="6922" max="7168" width="9.28515625" style="215"/>
    <col min="7169" max="7169" width="6.85546875" style="215" customWidth="1"/>
    <col min="7170" max="7170" width="39.5703125" style="215" customWidth="1"/>
    <col min="7171" max="7177" width="13.85546875" style="215" customWidth="1"/>
    <col min="7178" max="7424" width="9.28515625" style="215"/>
    <col min="7425" max="7425" width="6.85546875" style="215" customWidth="1"/>
    <col min="7426" max="7426" width="39.5703125" style="215" customWidth="1"/>
    <col min="7427" max="7433" width="13.85546875" style="215" customWidth="1"/>
    <col min="7434" max="7680" width="9.28515625" style="215"/>
    <col min="7681" max="7681" width="6.85546875" style="215" customWidth="1"/>
    <col min="7682" max="7682" width="39.5703125" style="215" customWidth="1"/>
    <col min="7683" max="7689" width="13.85546875" style="215" customWidth="1"/>
    <col min="7690" max="7936" width="9.28515625" style="215"/>
    <col min="7937" max="7937" width="6.85546875" style="215" customWidth="1"/>
    <col min="7938" max="7938" width="39.5703125" style="215" customWidth="1"/>
    <col min="7939" max="7945" width="13.85546875" style="215" customWidth="1"/>
    <col min="7946" max="8192" width="9.28515625" style="215"/>
    <col min="8193" max="8193" width="6.85546875" style="215" customWidth="1"/>
    <col min="8194" max="8194" width="39.5703125" style="215" customWidth="1"/>
    <col min="8195" max="8201" width="13.85546875" style="215" customWidth="1"/>
    <col min="8202" max="8448" width="9.28515625" style="215"/>
    <col min="8449" max="8449" width="6.85546875" style="215" customWidth="1"/>
    <col min="8450" max="8450" width="39.5703125" style="215" customWidth="1"/>
    <col min="8451" max="8457" width="13.85546875" style="215" customWidth="1"/>
    <col min="8458" max="8704" width="9.28515625" style="215"/>
    <col min="8705" max="8705" width="6.85546875" style="215" customWidth="1"/>
    <col min="8706" max="8706" width="39.5703125" style="215" customWidth="1"/>
    <col min="8707" max="8713" width="13.85546875" style="215" customWidth="1"/>
    <col min="8714" max="8960" width="9.28515625" style="215"/>
    <col min="8961" max="8961" width="6.85546875" style="215" customWidth="1"/>
    <col min="8962" max="8962" width="39.5703125" style="215" customWidth="1"/>
    <col min="8963" max="8969" width="13.85546875" style="215" customWidth="1"/>
    <col min="8970" max="9216" width="9.28515625" style="215"/>
    <col min="9217" max="9217" width="6.85546875" style="215" customWidth="1"/>
    <col min="9218" max="9218" width="39.5703125" style="215" customWidth="1"/>
    <col min="9219" max="9225" width="13.85546875" style="215" customWidth="1"/>
    <col min="9226" max="9472" width="9.28515625" style="215"/>
    <col min="9473" max="9473" width="6.85546875" style="215" customWidth="1"/>
    <col min="9474" max="9474" width="39.5703125" style="215" customWidth="1"/>
    <col min="9475" max="9481" width="13.85546875" style="215" customWidth="1"/>
    <col min="9482" max="9728" width="9.28515625" style="215"/>
    <col min="9729" max="9729" width="6.85546875" style="215" customWidth="1"/>
    <col min="9730" max="9730" width="39.5703125" style="215" customWidth="1"/>
    <col min="9731" max="9737" width="13.85546875" style="215" customWidth="1"/>
    <col min="9738" max="9984" width="9.28515625" style="215"/>
    <col min="9985" max="9985" width="6.85546875" style="215" customWidth="1"/>
    <col min="9986" max="9986" width="39.5703125" style="215" customWidth="1"/>
    <col min="9987" max="9993" width="13.85546875" style="215" customWidth="1"/>
    <col min="9994" max="10240" width="9.28515625" style="215"/>
    <col min="10241" max="10241" width="6.85546875" style="215" customWidth="1"/>
    <col min="10242" max="10242" width="39.5703125" style="215" customWidth="1"/>
    <col min="10243" max="10249" width="13.85546875" style="215" customWidth="1"/>
    <col min="10250" max="10496" width="9.28515625" style="215"/>
    <col min="10497" max="10497" width="6.85546875" style="215" customWidth="1"/>
    <col min="10498" max="10498" width="39.5703125" style="215" customWidth="1"/>
    <col min="10499" max="10505" width="13.85546875" style="215" customWidth="1"/>
    <col min="10506" max="10752" width="9.28515625" style="215"/>
    <col min="10753" max="10753" width="6.85546875" style="215" customWidth="1"/>
    <col min="10754" max="10754" width="39.5703125" style="215" customWidth="1"/>
    <col min="10755" max="10761" width="13.85546875" style="215" customWidth="1"/>
    <col min="10762" max="11008" width="9.28515625" style="215"/>
    <col min="11009" max="11009" width="6.85546875" style="215" customWidth="1"/>
    <col min="11010" max="11010" width="39.5703125" style="215" customWidth="1"/>
    <col min="11011" max="11017" width="13.85546875" style="215" customWidth="1"/>
    <col min="11018" max="11264" width="9.28515625" style="215"/>
    <col min="11265" max="11265" width="6.85546875" style="215" customWidth="1"/>
    <col min="11266" max="11266" width="39.5703125" style="215" customWidth="1"/>
    <col min="11267" max="11273" width="13.85546875" style="215" customWidth="1"/>
    <col min="11274" max="11520" width="9.28515625" style="215"/>
    <col min="11521" max="11521" width="6.85546875" style="215" customWidth="1"/>
    <col min="11522" max="11522" width="39.5703125" style="215" customWidth="1"/>
    <col min="11523" max="11529" width="13.85546875" style="215" customWidth="1"/>
    <col min="11530" max="11776" width="9.28515625" style="215"/>
    <col min="11777" max="11777" width="6.85546875" style="215" customWidth="1"/>
    <col min="11778" max="11778" width="39.5703125" style="215" customWidth="1"/>
    <col min="11779" max="11785" width="13.85546875" style="215" customWidth="1"/>
    <col min="11786" max="12032" width="9.28515625" style="215"/>
    <col min="12033" max="12033" width="6.85546875" style="215" customWidth="1"/>
    <col min="12034" max="12034" width="39.5703125" style="215" customWidth="1"/>
    <col min="12035" max="12041" width="13.85546875" style="215" customWidth="1"/>
    <col min="12042" max="12288" width="9.28515625" style="215"/>
    <col min="12289" max="12289" width="6.85546875" style="215" customWidth="1"/>
    <col min="12290" max="12290" width="39.5703125" style="215" customWidth="1"/>
    <col min="12291" max="12297" width="13.85546875" style="215" customWidth="1"/>
    <col min="12298" max="12544" width="9.28515625" style="215"/>
    <col min="12545" max="12545" width="6.85546875" style="215" customWidth="1"/>
    <col min="12546" max="12546" width="39.5703125" style="215" customWidth="1"/>
    <col min="12547" max="12553" width="13.85546875" style="215" customWidth="1"/>
    <col min="12554" max="12800" width="9.28515625" style="215"/>
    <col min="12801" max="12801" width="6.85546875" style="215" customWidth="1"/>
    <col min="12802" max="12802" width="39.5703125" style="215" customWidth="1"/>
    <col min="12803" max="12809" width="13.85546875" style="215" customWidth="1"/>
    <col min="12810" max="13056" width="9.28515625" style="215"/>
    <col min="13057" max="13057" width="6.85546875" style="215" customWidth="1"/>
    <col min="13058" max="13058" width="39.5703125" style="215" customWidth="1"/>
    <col min="13059" max="13065" width="13.85546875" style="215" customWidth="1"/>
    <col min="13066" max="13312" width="9.28515625" style="215"/>
    <col min="13313" max="13313" width="6.85546875" style="215" customWidth="1"/>
    <col min="13314" max="13314" width="39.5703125" style="215" customWidth="1"/>
    <col min="13315" max="13321" width="13.85546875" style="215" customWidth="1"/>
    <col min="13322" max="13568" width="9.28515625" style="215"/>
    <col min="13569" max="13569" width="6.85546875" style="215" customWidth="1"/>
    <col min="13570" max="13570" width="39.5703125" style="215" customWidth="1"/>
    <col min="13571" max="13577" width="13.85546875" style="215" customWidth="1"/>
    <col min="13578" max="13824" width="9.28515625" style="215"/>
    <col min="13825" max="13825" width="6.85546875" style="215" customWidth="1"/>
    <col min="13826" max="13826" width="39.5703125" style="215" customWidth="1"/>
    <col min="13827" max="13833" width="13.85546875" style="215" customWidth="1"/>
    <col min="13834" max="14080" width="9.28515625" style="215"/>
    <col min="14081" max="14081" width="6.85546875" style="215" customWidth="1"/>
    <col min="14082" max="14082" width="39.5703125" style="215" customWidth="1"/>
    <col min="14083" max="14089" width="13.85546875" style="215" customWidth="1"/>
    <col min="14090" max="14336" width="9.28515625" style="215"/>
    <col min="14337" max="14337" width="6.85546875" style="215" customWidth="1"/>
    <col min="14338" max="14338" width="39.5703125" style="215" customWidth="1"/>
    <col min="14339" max="14345" width="13.85546875" style="215" customWidth="1"/>
    <col min="14346" max="14592" width="9.28515625" style="215"/>
    <col min="14593" max="14593" width="6.85546875" style="215" customWidth="1"/>
    <col min="14594" max="14594" width="39.5703125" style="215" customWidth="1"/>
    <col min="14595" max="14601" width="13.85546875" style="215" customWidth="1"/>
    <col min="14602" max="14848" width="9.28515625" style="215"/>
    <col min="14849" max="14849" width="6.85546875" style="215" customWidth="1"/>
    <col min="14850" max="14850" width="39.5703125" style="215" customWidth="1"/>
    <col min="14851" max="14857" width="13.85546875" style="215" customWidth="1"/>
    <col min="14858" max="15104" width="9.28515625" style="215"/>
    <col min="15105" max="15105" width="6.85546875" style="215" customWidth="1"/>
    <col min="15106" max="15106" width="39.5703125" style="215" customWidth="1"/>
    <col min="15107" max="15113" width="13.85546875" style="215" customWidth="1"/>
    <col min="15114" max="15360" width="9.28515625" style="215"/>
    <col min="15361" max="15361" width="6.85546875" style="215" customWidth="1"/>
    <col min="15362" max="15362" width="39.5703125" style="215" customWidth="1"/>
    <col min="15363" max="15369" width="13.85546875" style="215" customWidth="1"/>
    <col min="15370" max="15616" width="9.28515625" style="215"/>
    <col min="15617" max="15617" width="6.85546875" style="215" customWidth="1"/>
    <col min="15618" max="15618" width="39.5703125" style="215" customWidth="1"/>
    <col min="15619" max="15625" width="13.85546875" style="215" customWidth="1"/>
    <col min="15626" max="15872" width="9.28515625" style="215"/>
    <col min="15873" max="15873" width="6.85546875" style="215" customWidth="1"/>
    <col min="15874" max="15874" width="39.5703125" style="215" customWidth="1"/>
    <col min="15875" max="15881" width="13.85546875" style="215" customWidth="1"/>
    <col min="15882" max="16128" width="9.28515625" style="215"/>
    <col min="16129" max="16129" width="6.85546875" style="215" customWidth="1"/>
    <col min="16130" max="16130" width="39.5703125" style="215" customWidth="1"/>
    <col min="16131" max="16137" width="13.85546875" style="215" customWidth="1"/>
    <col min="16138" max="16384" width="9.28515625" style="215"/>
  </cols>
  <sheetData>
    <row r="1" spans="1:9" s="209" customFormat="1" ht="35.1" customHeight="1">
      <c r="A1" s="1016" t="str">
        <f>+Títulos!$B$2&amp;"
ESTADO ANALITICO DE INGRESOS POR FUENTE DE FINANCIAMIENTO
DEL 01 DE ENERO AL "&amp;Títulos!$B$3</f>
        <v>TRIBUNAL DE JUSTICIA ADMINISTRATIVA
ESTADO ANALITICO DE INGRESOS POR FUENTE DE FINANCIAMIENTO
DEL 01 DE ENERO AL 31 DE DICIEMBRE DE 2017</v>
      </c>
      <c r="B1" s="1017"/>
      <c r="C1" s="1017"/>
      <c r="D1" s="1017"/>
      <c r="E1" s="1017"/>
      <c r="F1" s="1017"/>
      <c r="G1" s="1017"/>
      <c r="H1" s="1017"/>
      <c r="I1" s="1018"/>
    </row>
    <row r="2" spans="1:9" s="213" customFormat="1" ht="24.95" customHeight="1">
      <c r="A2" s="210" t="s">
        <v>227</v>
      </c>
      <c r="B2" s="220" t="s">
        <v>71</v>
      </c>
      <c r="C2" s="212" t="s">
        <v>228</v>
      </c>
      <c r="D2" s="211" t="s">
        <v>229</v>
      </c>
      <c r="E2" s="212" t="s">
        <v>230</v>
      </c>
      <c r="F2" s="212" t="s">
        <v>231</v>
      </c>
      <c r="G2" s="212" t="s">
        <v>232</v>
      </c>
      <c r="H2" s="212" t="s">
        <v>233</v>
      </c>
      <c r="I2" s="212" t="s">
        <v>234</v>
      </c>
    </row>
    <row r="3" spans="1:9">
      <c r="A3" s="221">
        <v>90001</v>
      </c>
      <c r="B3" s="222" t="s">
        <v>235</v>
      </c>
      <c r="C3" s="332">
        <f>+C4+C16+C20</f>
        <v>80405840.510000005</v>
      </c>
      <c r="D3" s="332">
        <f t="shared" ref="D3:I3" si="0">+D4+D16+D20</f>
        <v>8457903.8100000005</v>
      </c>
      <c r="E3" s="332">
        <f t="shared" si="0"/>
        <v>88863744.320000008</v>
      </c>
      <c r="F3" s="332">
        <f t="shared" si="0"/>
        <v>88863739.419999987</v>
      </c>
      <c r="G3" s="332">
        <f t="shared" si="0"/>
        <v>88863739.419999987</v>
      </c>
      <c r="H3" s="332">
        <f t="shared" si="0"/>
        <v>8457898.9099999797</v>
      </c>
      <c r="I3" s="332">
        <f t="shared" si="0"/>
        <v>8457898.9099999797</v>
      </c>
    </row>
    <row r="4" spans="1:9">
      <c r="A4" s="214">
        <v>90002</v>
      </c>
      <c r="B4" s="223" t="s">
        <v>246</v>
      </c>
      <c r="C4" s="335">
        <f>SUM(C5:C8)+C11+SUM(C14:C15)</f>
        <v>0</v>
      </c>
      <c r="D4" s="335">
        <f t="shared" ref="D4:I4" si="1">SUM(D5:D8)+D11+SUM(D14:D15)</f>
        <v>0</v>
      </c>
      <c r="E4" s="335">
        <f t="shared" si="1"/>
        <v>0</v>
      </c>
      <c r="F4" s="335">
        <f t="shared" si="1"/>
        <v>0</v>
      </c>
      <c r="G4" s="335">
        <f t="shared" si="1"/>
        <v>0</v>
      </c>
      <c r="H4" s="335">
        <f t="shared" si="1"/>
        <v>0</v>
      </c>
      <c r="I4" s="335">
        <f t="shared" si="1"/>
        <v>0</v>
      </c>
    </row>
    <row r="5" spans="1:9">
      <c r="A5" s="216">
        <v>10</v>
      </c>
      <c r="B5" s="224" t="s">
        <v>102</v>
      </c>
      <c r="C5" s="333">
        <f t="shared" ref="C5:C14" si="2">SUMIF(pi_cri,MID(A5,1,1)&amp;"*",pi_e)</f>
        <v>0</v>
      </c>
      <c r="D5" s="333">
        <f t="shared" ref="D5:D14" si="3">SUMIF(pi_cri,MID(A5,1,1)&amp;"*",pi_m)</f>
        <v>0</v>
      </c>
      <c r="E5" s="333">
        <f>+C5+D5</f>
        <v>0</v>
      </c>
      <c r="F5" s="333">
        <f t="shared" ref="F5:F14" si="4">SUMIF(pi_cri,MID(A5,1,1)&amp;"*",pi_d)</f>
        <v>0</v>
      </c>
      <c r="G5" s="333">
        <f t="shared" ref="G5:G14" si="5">SUMIF(pi_cri,MID(A5,1,1)&amp;"*",pi_r)</f>
        <v>0</v>
      </c>
      <c r="H5" s="333">
        <f>+G5-C5</f>
        <v>0</v>
      </c>
      <c r="I5" s="333">
        <f>IF(H5&gt;0,H5,0)</f>
        <v>0</v>
      </c>
    </row>
    <row r="6" spans="1:9">
      <c r="A6" s="216">
        <v>30</v>
      </c>
      <c r="B6" s="224" t="s">
        <v>236</v>
      </c>
      <c r="C6" s="333">
        <f t="shared" si="2"/>
        <v>0</v>
      </c>
      <c r="D6" s="333">
        <f t="shared" si="3"/>
        <v>0</v>
      </c>
      <c r="E6" s="333">
        <f t="shared" ref="E6:E21" si="6">+C6+D6</f>
        <v>0</v>
      </c>
      <c r="F6" s="333">
        <f t="shared" si="4"/>
        <v>0</v>
      </c>
      <c r="G6" s="333">
        <f t="shared" si="5"/>
        <v>0</v>
      </c>
      <c r="H6" s="333">
        <f t="shared" ref="H6:H21" si="7">+G6-C6</f>
        <v>0</v>
      </c>
      <c r="I6" s="333">
        <f t="shared" ref="I6:I21" si="8">IF(H6&gt;0,H6,0)</f>
        <v>0</v>
      </c>
    </row>
    <row r="7" spans="1:9">
      <c r="A7" s="216">
        <v>40</v>
      </c>
      <c r="B7" s="224" t="s">
        <v>105</v>
      </c>
      <c r="C7" s="333">
        <f t="shared" si="2"/>
        <v>0</v>
      </c>
      <c r="D7" s="333">
        <f t="shared" si="3"/>
        <v>0</v>
      </c>
      <c r="E7" s="333">
        <f t="shared" si="6"/>
        <v>0</v>
      </c>
      <c r="F7" s="333">
        <f t="shared" si="4"/>
        <v>0</v>
      </c>
      <c r="G7" s="333">
        <f t="shared" si="5"/>
        <v>0</v>
      </c>
      <c r="H7" s="333">
        <f t="shared" si="7"/>
        <v>0</v>
      </c>
      <c r="I7" s="333">
        <f t="shared" si="8"/>
        <v>0</v>
      </c>
    </row>
    <row r="8" spans="1:9">
      <c r="A8" s="216">
        <v>50</v>
      </c>
      <c r="B8" s="224" t="s">
        <v>237</v>
      </c>
      <c r="C8" s="333">
        <f t="shared" si="2"/>
        <v>0</v>
      </c>
      <c r="D8" s="333">
        <f t="shared" si="3"/>
        <v>0</v>
      </c>
      <c r="E8" s="333">
        <f t="shared" si="6"/>
        <v>0</v>
      </c>
      <c r="F8" s="333">
        <f t="shared" si="4"/>
        <v>0</v>
      </c>
      <c r="G8" s="333">
        <f t="shared" si="5"/>
        <v>0</v>
      </c>
      <c r="H8" s="333">
        <f t="shared" si="7"/>
        <v>0</v>
      </c>
      <c r="I8" s="333">
        <f t="shared" si="8"/>
        <v>0</v>
      </c>
    </row>
    <row r="9" spans="1:9">
      <c r="A9" s="216">
        <v>51</v>
      </c>
      <c r="B9" s="217" t="s">
        <v>238</v>
      </c>
      <c r="C9" s="333">
        <f t="shared" si="2"/>
        <v>0</v>
      </c>
      <c r="D9" s="333">
        <f t="shared" si="3"/>
        <v>0</v>
      </c>
      <c r="E9" s="333">
        <f t="shared" si="6"/>
        <v>0</v>
      </c>
      <c r="F9" s="333">
        <f t="shared" si="4"/>
        <v>0</v>
      </c>
      <c r="G9" s="333">
        <f t="shared" si="5"/>
        <v>0</v>
      </c>
      <c r="H9" s="333">
        <f t="shared" si="7"/>
        <v>0</v>
      </c>
      <c r="I9" s="333">
        <f t="shared" si="8"/>
        <v>0</v>
      </c>
    </row>
    <row r="10" spans="1:9">
      <c r="A10" s="216">
        <v>52</v>
      </c>
      <c r="B10" s="217" t="s">
        <v>239</v>
      </c>
      <c r="C10" s="333">
        <f t="shared" si="2"/>
        <v>0</v>
      </c>
      <c r="D10" s="333">
        <f t="shared" si="3"/>
        <v>0</v>
      </c>
      <c r="E10" s="333">
        <f t="shared" si="6"/>
        <v>0</v>
      </c>
      <c r="F10" s="333">
        <f t="shared" si="4"/>
        <v>0</v>
      </c>
      <c r="G10" s="333">
        <f t="shared" si="5"/>
        <v>0</v>
      </c>
      <c r="H10" s="333">
        <f t="shared" si="7"/>
        <v>0</v>
      </c>
      <c r="I10" s="333">
        <f t="shared" si="8"/>
        <v>0</v>
      </c>
    </row>
    <row r="11" spans="1:9">
      <c r="A11" s="216">
        <v>60</v>
      </c>
      <c r="B11" s="224" t="s">
        <v>240</v>
      </c>
      <c r="C11" s="333">
        <f t="shared" si="2"/>
        <v>0</v>
      </c>
      <c r="D11" s="333">
        <f t="shared" si="3"/>
        <v>0</v>
      </c>
      <c r="E11" s="333">
        <f t="shared" si="6"/>
        <v>0</v>
      </c>
      <c r="F11" s="333">
        <f t="shared" si="4"/>
        <v>0</v>
      </c>
      <c r="G11" s="333">
        <f t="shared" si="5"/>
        <v>0</v>
      </c>
      <c r="H11" s="333">
        <f t="shared" si="7"/>
        <v>0</v>
      </c>
      <c r="I11" s="333">
        <f t="shared" si="8"/>
        <v>0</v>
      </c>
    </row>
    <row r="12" spans="1:9">
      <c r="A12" s="216">
        <v>61</v>
      </c>
      <c r="B12" s="217" t="s">
        <v>238</v>
      </c>
      <c r="C12" s="333">
        <f t="shared" si="2"/>
        <v>0</v>
      </c>
      <c r="D12" s="333">
        <f t="shared" si="3"/>
        <v>0</v>
      </c>
      <c r="E12" s="333">
        <f t="shared" si="6"/>
        <v>0</v>
      </c>
      <c r="F12" s="333">
        <f t="shared" si="4"/>
        <v>0</v>
      </c>
      <c r="G12" s="333">
        <f t="shared" si="5"/>
        <v>0</v>
      </c>
      <c r="H12" s="333">
        <f t="shared" si="7"/>
        <v>0</v>
      </c>
      <c r="I12" s="333">
        <f t="shared" si="8"/>
        <v>0</v>
      </c>
    </row>
    <row r="13" spans="1:9">
      <c r="A13" s="216">
        <v>62</v>
      </c>
      <c r="B13" s="217" t="s">
        <v>239</v>
      </c>
      <c r="C13" s="333">
        <f t="shared" si="2"/>
        <v>0</v>
      </c>
      <c r="D13" s="333">
        <f t="shared" si="3"/>
        <v>0</v>
      </c>
      <c r="E13" s="333">
        <f t="shared" si="6"/>
        <v>0</v>
      </c>
      <c r="F13" s="333">
        <f t="shared" si="4"/>
        <v>0</v>
      </c>
      <c r="G13" s="333">
        <f t="shared" si="5"/>
        <v>0</v>
      </c>
      <c r="H13" s="333">
        <f t="shared" si="7"/>
        <v>0</v>
      </c>
      <c r="I13" s="333">
        <f t="shared" si="8"/>
        <v>0</v>
      </c>
    </row>
    <row r="14" spans="1:9">
      <c r="A14" s="216">
        <v>80</v>
      </c>
      <c r="B14" s="224" t="s">
        <v>242</v>
      </c>
      <c r="C14" s="333">
        <f t="shared" si="2"/>
        <v>0</v>
      </c>
      <c r="D14" s="333">
        <f t="shared" si="3"/>
        <v>0</v>
      </c>
      <c r="E14" s="333">
        <f t="shared" si="6"/>
        <v>0</v>
      </c>
      <c r="F14" s="333">
        <f t="shared" si="4"/>
        <v>0</v>
      </c>
      <c r="G14" s="333">
        <f t="shared" si="5"/>
        <v>0</v>
      </c>
      <c r="H14" s="333">
        <f t="shared" si="7"/>
        <v>0</v>
      </c>
      <c r="I14" s="333">
        <f t="shared" si="8"/>
        <v>0</v>
      </c>
    </row>
    <row r="15" spans="1:9" ht="22.5">
      <c r="A15" s="216">
        <v>90</v>
      </c>
      <c r="B15" s="224" t="s">
        <v>243</v>
      </c>
      <c r="C15" s="333">
        <v>0</v>
      </c>
      <c r="D15" s="333">
        <v>0</v>
      </c>
      <c r="E15" s="333">
        <f t="shared" si="6"/>
        <v>0</v>
      </c>
      <c r="F15" s="333">
        <v>0</v>
      </c>
      <c r="G15" s="333">
        <v>0</v>
      </c>
      <c r="H15" s="333">
        <f t="shared" si="7"/>
        <v>0</v>
      </c>
      <c r="I15" s="333">
        <f t="shared" si="8"/>
        <v>0</v>
      </c>
    </row>
    <row r="16" spans="1:9">
      <c r="A16" s="214">
        <v>90003</v>
      </c>
      <c r="B16" s="223" t="s">
        <v>247</v>
      </c>
      <c r="C16" s="335">
        <f>SUM(C17:C19)</f>
        <v>80405840.510000005</v>
      </c>
      <c r="D16" s="335">
        <f t="shared" ref="D16:I16" si="9">SUM(D17:D19)</f>
        <v>8457903.8100000005</v>
      </c>
      <c r="E16" s="335">
        <f t="shared" si="9"/>
        <v>88863744.320000008</v>
      </c>
      <c r="F16" s="335">
        <f t="shared" si="9"/>
        <v>88863739.419999987</v>
      </c>
      <c r="G16" s="335">
        <f t="shared" si="9"/>
        <v>88863739.419999987</v>
      </c>
      <c r="H16" s="335">
        <f t="shared" si="9"/>
        <v>8457898.9099999797</v>
      </c>
      <c r="I16" s="335">
        <f t="shared" si="9"/>
        <v>8457898.9099999797</v>
      </c>
    </row>
    <row r="17" spans="1:9">
      <c r="A17" s="216">
        <v>20</v>
      </c>
      <c r="B17" s="224" t="s">
        <v>103</v>
      </c>
      <c r="C17" s="333">
        <f>SUMIF(pi_cri,MID(A17,1,1)&amp;"*",pi_e)</f>
        <v>0</v>
      </c>
      <c r="D17" s="333">
        <f>SUMIF(pi_cri,MID(A17,1,1)&amp;"*",pi_m)</f>
        <v>0</v>
      </c>
      <c r="E17" s="333">
        <f t="shared" si="6"/>
        <v>0</v>
      </c>
      <c r="F17" s="333">
        <f>SUMIF(pi_cri,MID(A17,1,1)&amp;"*",pi_d)</f>
        <v>0</v>
      </c>
      <c r="G17" s="333">
        <f>SUMIF(pi_cri,MID(A17,1,1)&amp;"*",pi_r)</f>
        <v>0</v>
      </c>
      <c r="H17" s="333">
        <f t="shared" si="7"/>
        <v>0</v>
      </c>
      <c r="I17" s="333">
        <f t="shared" si="8"/>
        <v>0</v>
      </c>
    </row>
    <row r="18" spans="1:9">
      <c r="A18" s="216">
        <v>70</v>
      </c>
      <c r="B18" s="224" t="s">
        <v>241</v>
      </c>
      <c r="C18" s="333">
        <f>SUMIF(pi_cri,MID(A18,1,1)&amp;"*",pi_e)</f>
        <v>1312000</v>
      </c>
      <c r="D18" s="333">
        <f>SUMIF(pi_cri,MID(A18,1,1)&amp;"*",pi_m)</f>
        <v>1613534.31</v>
      </c>
      <c r="E18" s="333">
        <f t="shared" si="6"/>
        <v>2925534.31</v>
      </c>
      <c r="F18" s="333">
        <f>SUMIF(pi_cri,MID(A18,1,1)&amp;"*",pi_d)</f>
        <v>2925534.31</v>
      </c>
      <c r="G18" s="333">
        <f>SUMIF(pi_cri,MID(A18,1,1)&amp;"*",pi_r)</f>
        <v>2925534.31</v>
      </c>
      <c r="H18" s="333">
        <f t="shared" si="7"/>
        <v>1613534.31</v>
      </c>
      <c r="I18" s="333">
        <f t="shared" si="8"/>
        <v>1613534.31</v>
      </c>
    </row>
    <row r="19" spans="1:9" ht="22.5">
      <c r="A19" s="216">
        <v>90</v>
      </c>
      <c r="B19" s="224" t="s">
        <v>243</v>
      </c>
      <c r="C19" s="333">
        <f>SUMIF(pi_cri,MID(A19,1,1)&amp;"*",pi_e)</f>
        <v>79093840.510000005</v>
      </c>
      <c r="D19" s="333">
        <f>SUMIF(pi_cri,MID(A19,1,1)&amp;"*",pi_m)</f>
        <v>6844369.5</v>
      </c>
      <c r="E19" s="333">
        <f t="shared" si="6"/>
        <v>85938210.010000005</v>
      </c>
      <c r="F19" s="333">
        <f>SUMIF(pi_cri,MID(A19,1,1)&amp;"*",pi_d)</f>
        <v>85938205.109999985</v>
      </c>
      <c r="G19" s="333">
        <f>SUMIF(pi_cri,MID(A19,1,1)&amp;"*",pi_r)</f>
        <v>85938205.109999985</v>
      </c>
      <c r="H19" s="333">
        <f t="shared" si="7"/>
        <v>6844364.5999999791</v>
      </c>
      <c r="I19" s="333">
        <f t="shared" si="8"/>
        <v>6844364.5999999791</v>
      </c>
    </row>
    <row r="20" spans="1:9">
      <c r="A20" s="214">
        <v>90004</v>
      </c>
      <c r="B20" s="209" t="s">
        <v>248</v>
      </c>
      <c r="C20" s="335">
        <f>SUM(C21)</f>
        <v>0</v>
      </c>
      <c r="D20" s="335">
        <f t="shared" ref="D20:I20" si="10">SUM(D21)</f>
        <v>0</v>
      </c>
      <c r="E20" s="335">
        <f t="shared" si="10"/>
        <v>0</v>
      </c>
      <c r="F20" s="335">
        <f t="shared" si="10"/>
        <v>0</v>
      </c>
      <c r="G20" s="335">
        <f t="shared" si="10"/>
        <v>0</v>
      </c>
      <c r="H20" s="335">
        <f t="shared" si="10"/>
        <v>0</v>
      </c>
      <c r="I20" s="335">
        <f t="shared" si="10"/>
        <v>0</v>
      </c>
    </row>
    <row r="21" spans="1:9">
      <c r="A21" s="218" t="s">
        <v>244</v>
      </c>
      <c r="B21" s="219" t="s">
        <v>245</v>
      </c>
      <c r="C21" s="334">
        <f>SUMIF(pi_cri,MID(A21,1,1)&amp;"*",pi_e)</f>
        <v>0</v>
      </c>
      <c r="D21" s="334">
        <f>SUMIF(pi_cri,MID(A21,1,1)&amp;"*",pi_m)</f>
        <v>0</v>
      </c>
      <c r="E21" s="334">
        <f t="shared" si="6"/>
        <v>0</v>
      </c>
      <c r="F21" s="334">
        <f>SUMIF(pi_cri,MID(A21,1,1)&amp;"*",pi_d)</f>
        <v>0</v>
      </c>
      <c r="G21" s="334">
        <f>SUMIF(pi_cri,MID(A21,1,1)&amp;"*",pi_r)</f>
        <v>0</v>
      </c>
      <c r="H21" s="334">
        <f t="shared" si="7"/>
        <v>0</v>
      </c>
      <c r="I21" s="334">
        <f t="shared" si="8"/>
        <v>0</v>
      </c>
    </row>
  </sheetData>
  <sheetProtection password="C9BB" sheet="1" objects="1" scenarios="1" autoFilter="0"/>
  <mergeCells count="1">
    <mergeCell ref="A1:I1"/>
  </mergeCells>
  <dataValidations disablePrompts="1" count="9">
    <dataValidation allowBlank="1" showInputMessage="1" showErrorMessage="1" prompt="Se refiere al código asignado por el CONAC de acuerdo a la estructura del Clasificador por Rubros de Ingreso. (DOF-2-ene-13). A dos dígitos."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allowBlank="1" showInputMessage="1" showErrorMessage="1" prompt="Recaudado menos estimado"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dataValidation allowBlank="1" showInputMessage="1" showErrorMessage="1" prompt="Sólo aplica cuando el importe de la columna de diferencia sea mayor a cero" sqref="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I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I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I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I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I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I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I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I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I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I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I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I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I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I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dataValidation allowBlank="1" showInputMessage="1" showErrorMessage="1" prompt="Se refiere al nombre que se asigna a cada uno de los desagregados que se señala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 allowBlank="1" showInputMessage="1" showErrorMessage="1" prompt="En esta columna debe registrarse los &quot;abonos&quot; del devengado. Es el momento contable que se realiza cuando existe jurídicamente el derecho de cobro de los impuestos, cuotas y aportaciones de seguridad social, contribuciones de mejoras, derechos..."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dataValidation allowBlank="1" showInputMessage="1" showErrorMessage="1" prompt="En esta columna debe registrarse los &quot;abonos&quot; del recaudado. Es el momento contable que refleja el cobro en efectivo o cualquier otro medio de pago de los impuestos, cuotas y aportaciones de seguridad social, contribuciones de mejoras, derechos..._x000a_"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dataValidation allowBlank="1" showInputMessage="1" showErrorMessage="1" prompt="Son los importes que se aprueban anualmente en la Ley de Ingresos, e incluyen los Impuestos, Cuotas y Aportaciones de Seguridad Social, Contribuciones de Mejoras, Derechos, Productos, Aprovechamiento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Momento contable que refleja la asignación presupuestaria en lo relativo a la  Ley de Ingresos que resulte de incorporar en su caso, las modificaciones al ingreso estimado, previstas en la ley de ingresos."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prompt="Las modificaciones realizadas al Pronóstico de Ingresos "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s>
  <pageMargins left="0.70866141732283472" right="0.70866141732283472" top="0.74803149606299213" bottom="0.74803149606299213" header="0.31496062992125984" footer="0.31496062992125984"/>
  <pageSetup paperSize="9" scale="8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224"/>
  <sheetViews>
    <sheetView workbookViewId="0">
      <pane xSplit="9" ySplit="2" topLeftCell="P197" activePane="bottomRight" state="frozen"/>
      <selection pane="topRight" activeCell="J1" sqref="J1"/>
      <selection pane="bottomLeft" activeCell="A3" sqref="A3"/>
      <selection pane="bottomRight" activeCell="A3" sqref="A3:P224"/>
    </sheetView>
  </sheetViews>
  <sheetFormatPr baseColWidth="10" defaultRowHeight="15"/>
  <cols>
    <col min="1" max="1" width="3.85546875" customWidth="1"/>
    <col min="2" max="2" width="4.140625" customWidth="1"/>
    <col min="3" max="3" width="8.7109375" bestFit="1" customWidth="1"/>
    <col min="4" max="4" width="3.7109375" customWidth="1"/>
    <col min="5" max="5" width="8.28515625" bestFit="1" customWidth="1"/>
    <col min="6" max="6" width="3.85546875" customWidth="1"/>
    <col min="7" max="7" width="4.140625" customWidth="1"/>
    <col min="8" max="8" width="21.7109375" customWidth="1"/>
    <col min="9" max="9" width="7.85546875" customWidth="1"/>
    <col min="10" max="10" width="10.7109375" bestFit="1" customWidth="1"/>
    <col min="11" max="11" width="7.85546875" customWidth="1"/>
    <col min="12" max="12" width="10.7109375" bestFit="1" customWidth="1"/>
    <col min="13" max="13" width="13.28515625" customWidth="1"/>
    <col min="14" max="16" width="15.140625" bestFit="1" customWidth="1"/>
    <col min="17" max="17" width="12.7109375" bestFit="1" customWidth="1"/>
  </cols>
  <sheetData>
    <row r="1" spans="1:17">
      <c r="J1" s="328">
        <f>SUM(PE[Aprobado])</f>
        <v>80405840.509999976</v>
      </c>
      <c r="K1" s="328">
        <f>SUM(PE[Amp/Red])</f>
        <v>8457903.8100000042</v>
      </c>
      <c r="L1" s="328">
        <f>SUM(PE[Modificado])</f>
        <v>88863744.320000023</v>
      </c>
      <c r="M1" s="328">
        <f>SUM(PE[Comprometido])</f>
        <v>86193205.110000029</v>
      </c>
      <c r="N1" s="328">
        <f>SUM(PE[Devengado])</f>
        <v>86193205.110000029</v>
      </c>
      <c r="O1" s="328">
        <f>SUM(PE[Ejercido])</f>
        <v>86193205.110000029</v>
      </c>
      <c r="P1" s="328">
        <f>SUM(PE[Pagado])</f>
        <v>84872096.260000035</v>
      </c>
      <c r="Q1" s="960">
        <f>+N1-P1</f>
        <v>1321108.849999994</v>
      </c>
    </row>
    <row r="2" spans="1:17" s="461" customFormat="1" ht="27" customHeight="1">
      <c r="A2" s="460" t="s">
        <v>250</v>
      </c>
      <c r="B2" s="460" t="s">
        <v>249</v>
      </c>
      <c r="C2" s="460" t="s">
        <v>762</v>
      </c>
      <c r="D2" s="460" t="s">
        <v>225</v>
      </c>
      <c r="E2" s="460" t="s">
        <v>280</v>
      </c>
      <c r="F2" s="460" t="s">
        <v>251</v>
      </c>
      <c r="G2" s="460" t="s">
        <v>252</v>
      </c>
      <c r="H2" s="460" t="s">
        <v>827</v>
      </c>
      <c r="I2" s="460" t="s">
        <v>384</v>
      </c>
      <c r="J2" s="460" t="s">
        <v>357</v>
      </c>
      <c r="K2" s="460" t="s">
        <v>386</v>
      </c>
      <c r="L2" s="460" t="s">
        <v>358</v>
      </c>
      <c r="M2" s="460" t="s">
        <v>395</v>
      </c>
      <c r="N2" s="460" t="s">
        <v>359</v>
      </c>
      <c r="O2" s="460" t="s">
        <v>396</v>
      </c>
      <c r="P2" s="460" t="s">
        <v>397</v>
      </c>
    </row>
    <row r="3" spans="1:17">
      <c r="A3" s="140" t="s">
        <v>2186</v>
      </c>
      <c r="B3" s="140" t="s">
        <v>2187</v>
      </c>
      <c r="C3" s="140" t="s">
        <v>2188</v>
      </c>
      <c r="D3" s="140">
        <v>1</v>
      </c>
      <c r="E3" s="140" t="s">
        <v>2189</v>
      </c>
      <c r="F3" s="140" t="s">
        <v>739</v>
      </c>
      <c r="G3" s="140" t="s">
        <v>786</v>
      </c>
      <c r="H3" s="140" t="s">
        <v>2384</v>
      </c>
      <c r="I3" s="448" t="s">
        <v>2088</v>
      </c>
      <c r="J3" s="449">
        <v>1312000</v>
      </c>
      <c r="K3" s="449">
        <v>1358534.31</v>
      </c>
      <c r="L3" s="449">
        <v>2670534.31</v>
      </c>
      <c r="M3" s="449">
        <v>0</v>
      </c>
      <c r="N3" s="449">
        <v>0</v>
      </c>
      <c r="O3" s="449">
        <v>0</v>
      </c>
      <c r="P3" s="449">
        <v>0</v>
      </c>
    </row>
    <row r="4" spans="1:17">
      <c r="A4" s="140" t="s">
        <v>2186</v>
      </c>
      <c r="B4" s="140" t="s">
        <v>2187</v>
      </c>
      <c r="C4" s="140" t="s">
        <v>2190</v>
      </c>
      <c r="D4" s="140">
        <v>1</v>
      </c>
      <c r="E4" s="140" t="s">
        <v>2270</v>
      </c>
      <c r="F4" s="140" t="s">
        <v>754</v>
      </c>
      <c r="G4" s="140" t="s">
        <v>2259</v>
      </c>
      <c r="H4" s="140" t="s">
        <v>2608</v>
      </c>
      <c r="I4" s="448" t="s">
        <v>2163</v>
      </c>
      <c r="J4" s="449">
        <v>0</v>
      </c>
      <c r="K4" s="449">
        <v>0</v>
      </c>
      <c r="L4" s="449">
        <v>0</v>
      </c>
      <c r="M4" s="449">
        <v>0</v>
      </c>
      <c r="N4" s="449">
        <v>0</v>
      </c>
      <c r="O4" s="449">
        <v>0</v>
      </c>
      <c r="P4" s="449">
        <v>0</v>
      </c>
    </row>
    <row r="5" spans="1:17">
      <c r="A5" s="140" t="s">
        <v>2186</v>
      </c>
      <c r="B5" s="140" t="s">
        <v>2187</v>
      </c>
      <c r="C5" s="140" t="s">
        <v>2190</v>
      </c>
      <c r="D5" s="140">
        <v>1</v>
      </c>
      <c r="E5" s="140" t="s">
        <v>2189</v>
      </c>
      <c r="F5" s="140" t="s">
        <v>739</v>
      </c>
      <c r="G5" s="140" t="s">
        <v>2191</v>
      </c>
      <c r="H5" s="140" t="s">
        <v>2385</v>
      </c>
      <c r="I5" s="448" t="s">
        <v>2092</v>
      </c>
      <c r="J5" s="449">
        <v>2185633.86</v>
      </c>
      <c r="K5" s="449">
        <v>49522.010000000009</v>
      </c>
      <c r="L5" s="449">
        <v>2235155.87</v>
      </c>
      <c r="M5" s="449">
        <v>2235150.9700000002</v>
      </c>
      <c r="N5" s="449">
        <v>2235150.9700000002</v>
      </c>
      <c r="O5" s="449">
        <v>2235150.9700000002</v>
      </c>
      <c r="P5" s="449">
        <v>2235150.9700000002</v>
      </c>
    </row>
    <row r="6" spans="1:17">
      <c r="A6" s="140" t="s">
        <v>2186</v>
      </c>
      <c r="B6" s="140" t="s">
        <v>2187</v>
      </c>
      <c r="C6" s="140" t="s">
        <v>2190</v>
      </c>
      <c r="D6" s="140">
        <v>1</v>
      </c>
      <c r="E6" s="140" t="s">
        <v>2189</v>
      </c>
      <c r="F6" s="140" t="s">
        <v>739</v>
      </c>
      <c r="G6" s="140" t="s">
        <v>2192</v>
      </c>
      <c r="H6" s="140" t="s">
        <v>2386</v>
      </c>
      <c r="I6" s="448" t="s">
        <v>2093</v>
      </c>
      <c r="J6" s="449">
        <v>278260.69</v>
      </c>
      <c r="K6" s="449">
        <v>5281.429999999993</v>
      </c>
      <c r="L6" s="449">
        <v>283542.12</v>
      </c>
      <c r="M6" s="449">
        <v>283542.12</v>
      </c>
      <c r="N6" s="449">
        <v>283542.12</v>
      </c>
      <c r="O6" s="449">
        <v>283542.12</v>
      </c>
      <c r="P6" s="449">
        <v>283542.12</v>
      </c>
    </row>
    <row r="7" spans="1:17">
      <c r="A7" s="140" t="s">
        <v>2186</v>
      </c>
      <c r="B7" s="140" t="s">
        <v>2187</v>
      </c>
      <c r="C7" s="140" t="s">
        <v>2190</v>
      </c>
      <c r="D7" s="140">
        <v>1</v>
      </c>
      <c r="E7" s="140" t="s">
        <v>2189</v>
      </c>
      <c r="F7" s="140" t="s">
        <v>739</v>
      </c>
      <c r="G7" s="140" t="s">
        <v>2193</v>
      </c>
      <c r="H7" s="140" t="s">
        <v>2387</v>
      </c>
      <c r="I7" s="448" t="s">
        <v>2094</v>
      </c>
      <c r="J7" s="449">
        <v>12101</v>
      </c>
      <c r="K7" s="449">
        <v>-965.6700000000003</v>
      </c>
      <c r="L7" s="449">
        <v>11135.33</v>
      </c>
      <c r="M7" s="449">
        <v>11135.33</v>
      </c>
      <c r="N7" s="449">
        <v>11135.33</v>
      </c>
      <c r="O7" s="449">
        <v>11135.33</v>
      </c>
      <c r="P7" s="449">
        <v>11135.33</v>
      </c>
    </row>
    <row r="8" spans="1:17">
      <c r="A8" s="140" t="s">
        <v>2186</v>
      </c>
      <c r="B8" s="140" t="s">
        <v>2187</v>
      </c>
      <c r="C8" s="140" t="s">
        <v>2190</v>
      </c>
      <c r="D8" s="140">
        <v>1</v>
      </c>
      <c r="E8" s="140" t="s">
        <v>2189</v>
      </c>
      <c r="F8" s="140" t="s">
        <v>739</v>
      </c>
      <c r="G8" s="140" t="s">
        <v>2194</v>
      </c>
      <c r="H8" s="140" t="s">
        <v>2388</v>
      </c>
      <c r="I8" s="448" t="s">
        <v>2095</v>
      </c>
      <c r="J8" s="449">
        <v>170745.85</v>
      </c>
      <c r="K8" s="449">
        <v>18716.47</v>
      </c>
      <c r="L8" s="449">
        <v>189462.32</v>
      </c>
      <c r="M8" s="449">
        <v>189462.32</v>
      </c>
      <c r="N8" s="449">
        <v>189462.32</v>
      </c>
      <c r="O8" s="449">
        <v>189462.32</v>
      </c>
      <c r="P8" s="449">
        <v>189462.32</v>
      </c>
    </row>
    <row r="9" spans="1:17">
      <c r="A9" s="140" t="s">
        <v>2186</v>
      </c>
      <c r="B9" s="140" t="s">
        <v>2187</v>
      </c>
      <c r="C9" s="140" t="s">
        <v>2190</v>
      </c>
      <c r="D9" s="140">
        <v>1</v>
      </c>
      <c r="E9" s="140" t="s">
        <v>2189</v>
      </c>
      <c r="F9" s="140" t="s">
        <v>739</v>
      </c>
      <c r="G9" s="140" t="s">
        <v>2195</v>
      </c>
      <c r="H9" s="140" t="s">
        <v>2389</v>
      </c>
      <c r="I9" s="448" t="s">
        <v>2096</v>
      </c>
      <c r="J9" s="449">
        <v>768370.45</v>
      </c>
      <c r="K9" s="449">
        <v>41592.619999999995</v>
      </c>
      <c r="L9" s="449">
        <v>809963.07</v>
      </c>
      <c r="M9" s="449">
        <v>809963.07</v>
      </c>
      <c r="N9" s="449">
        <v>809963.07</v>
      </c>
      <c r="O9" s="449">
        <v>809963.07</v>
      </c>
      <c r="P9" s="449">
        <v>809963.07</v>
      </c>
    </row>
    <row r="10" spans="1:17">
      <c r="A10" s="140" t="s">
        <v>2186</v>
      </c>
      <c r="B10" s="140" t="s">
        <v>2187</v>
      </c>
      <c r="C10" s="140" t="s">
        <v>2190</v>
      </c>
      <c r="D10" s="140">
        <v>1</v>
      </c>
      <c r="E10" s="140" t="s">
        <v>2189</v>
      </c>
      <c r="F10" s="140" t="s">
        <v>739</v>
      </c>
      <c r="G10" s="140" t="s">
        <v>2196</v>
      </c>
      <c r="H10" s="140" t="s">
        <v>2390</v>
      </c>
      <c r="I10" s="448" t="s">
        <v>2097</v>
      </c>
      <c r="J10" s="449">
        <v>502696.74</v>
      </c>
      <c r="K10" s="449">
        <v>60577.869999999995</v>
      </c>
      <c r="L10" s="449">
        <v>563274.61</v>
      </c>
      <c r="M10" s="449">
        <v>563274.61</v>
      </c>
      <c r="N10" s="449">
        <v>563274.61</v>
      </c>
      <c r="O10" s="449">
        <v>563274.61</v>
      </c>
      <c r="P10" s="449">
        <v>563274.61</v>
      </c>
    </row>
    <row r="11" spans="1:17">
      <c r="A11" s="140" t="s">
        <v>2186</v>
      </c>
      <c r="B11" s="140" t="s">
        <v>2187</v>
      </c>
      <c r="C11" s="140" t="s">
        <v>2190</v>
      </c>
      <c r="D11" s="140">
        <v>1</v>
      </c>
      <c r="E11" s="140" t="s">
        <v>2189</v>
      </c>
      <c r="F11" s="140" t="s">
        <v>739</v>
      </c>
      <c r="G11" s="140" t="s">
        <v>2197</v>
      </c>
      <c r="H11" s="140" t="s">
        <v>2391</v>
      </c>
      <c r="I11" s="448" t="s">
        <v>2098</v>
      </c>
      <c r="J11" s="449">
        <v>230472</v>
      </c>
      <c r="K11" s="449">
        <v>-69905.94</v>
      </c>
      <c r="L11" s="449">
        <v>160566.06</v>
      </c>
      <c r="M11" s="449">
        <v>160566.06</v>
      </c>
      <c r="N11" s="449">
        <v>160566.06</v>
      </c>
      <c r="O11" s="449">
        <v>160566.06</v>
      </c>
      <c r="P11" s="449">
        <v>160566.06</v>
      </c>
    </row>
    <row r="12" spans="1:17">
      <c r="A12" s="140" t="s">
        <v>2186</v>
      </c>
      <c r="B12" s="140" t="s">
        <v>2187</v>
      </c>
      <c r="C12" s="140" t="s">
        <v>2190</v>
      </c>
      <c r="D12" s="140">
        <v>1</v>
      </c>
      <c r="E12" s="140" t="s">
        <v>2189</v>
      </c>
      <c r="F12" s="140" t="s">
        <v>739</v>
      </c>
      <c r="G12" s="140" t="s">
        <v>2198</v>
      </c>
      <c r="H12" s="140" t="s">
        <v>2392</v>
      </c>
      <c r="I12" s="448" t="s">
        <v>2099</v>
      </c>
      <c r="J12" s="449">
        <v>250488.93</v>
      </c>
      <c r="K12" s="450">
        <v>-60687.440000000061</v>
      </c>
      <c r="L12" s="449">
        <v>189801.49</v>
      </c>
      <c r="M12" s="449">
        <v>189801.49</v>
      </c>
      <c r="N12" s="449">
        <v>189801.49</v>
      </c>
      <c r="O12" s="449">
        <v>189801.49</v>
      </c>
      <c r="P12" s="449">
        <v>189801.49</v>
      </c>
    </row>
    <row r="13" spans="1:17">
      <c r="A13" s="140" t="s">
        <v>2186</v>
      </c>
      <c r="B13" s="140" t="s">
        <v>2187</v>
      </c>
      <c r="C13" s="140" t="s">
        <v>2190</v>
      </c>
      <c r="D13" s="140">
        <v>1</v>
      </c>
      <c r="E13" s="140" t="s">
        <v>2189</v>
      </c>
      <c r="F13" s="140" t="s">
        <v>739</v>
      </c>
      <c r="G13" s="140" t="s">
        <v>2199</v>
      </c>
      <c r="H13" s="140" t="s">
        <v>2393</v>
      </c>
      <c r="I13" s="448" t="s">
        <v>2100</v>
      </c>
      <c r="J13" s="449">
        <v>0</v>
      </c>
      <c r="K13" s="449">
        <v>1612956.5999999999</v>
      </c>
      <c r="L13" s="449">
        <v>1612956.6</v>
      </c>
      <c r="M13" s="449">
        <v>1612956.6</v>
      </c>
      <c r="N13" s="449">
        <v>1612956.6</v>
      </c>
      <c r="O13" s="449">
        <v>1612956.6</v>
      </c>
      <c r="P13" s="449">
        <v>426856.75</v>
      </c>
    </row>
    <row r="14" spans="1:17">
      <c r="A14" s="140" t="s">
        <v>2186</v>
      </c>
      <c r="B14" s="140" t="s">
        <v>2187</v>
      </c>
      <c r="C14" s="140" t="s">
        <v>2190</v>
      </c>
      <c r="D14" s="140">
        <v>1</v>
      </c>
      <c r="E14" s="140" t="s">
        <v>2189</v>
      </c>
      <c r="F14" s="140" t="s">
        <v>739</v>
      </c>
      <c r="G14" s="140" t="s">
        <v>2200</v>
      </c>
      <c r="H14" s="140" t="s">
        <v>2394</v>
      </c>
      <c r="I14" s="448" t="s">
        <v>2101</v>
      </c>
      <c r="J14" s="449">
        <v>2301773.7599999998</v>
      </c>
      <c r="K14" s="449">
        <v>214964.45</v>
      </c>
      <c r="L14" s="449">
        <v>2516738.21</v>
      </c>
      <c r="M14" s="449">
        <v>2516738.21</v>
      </c>
      <c r="N14" s="449">
        <v>2516738.21</v>
      </c>
      <c r="O14" s="449">
        <v>2516738.21</v>
      </c>
      <c r="P14" s="449">
        <v>2516738.21</v>
      </c>
    </row>
    <row r="15" spans="1:17">
      <c r="A15" s="140" t="s">
        <v>2186</v>
      </c>
      <c r="B15" s="140" t="s">
        <v>2187</v>
      </c>
      <c r="C15" s="140" t="s">
        <v>2190</v>
      </c>
      <c r="D15" s="140">
        <v>1</v>
      </c>
      <c r="E15" s="140" t="s">
        <v>2189</v>
      </c>
      <c r="F15" s="140" t="s">
        <v>739</v>
      </c>
      <c r="G15" s="140" t="s">
        <v>2201</v>
      </c>
      <c r="H15" s="140" t="s">
        <v>2395</v>
      </c>
      <c r="I15" s="448" t="s">
        <v>2102</v>
      </c>
      <c r="J15" s="449">
        <v>1764300.58</v>
      </c>
      <c r="K15" s="449">
        <v>-19735.75</v>
      </c>
      <c r="L15" s="449">
        <v>1744564.83</v>
      </c>
      <c r="M15" s="449">
        <v>1744564.83</v>
      </c>
      <c r="N15" s="449">
        <v>1744564.83</v>
      </c>
      <c r="O15" s="449">
        <v>1744564.83</v>
      </c>
      <c r="P15" s="449">
        <v>1744564.83</v>
      </c>
    </row>
    <row r="16" spans="1:17">
      <c r="A16" s="140" t="s">
        <v>2186</v>
      </c>
      <c r="B16" s="140" t="s">
        <v>2187</v>
      </c>
      <c r="C16" s="140" t="s">
        <v>2190</v>
      </c>
      <c r="D16" s="140">
        <v>1</v>
      </c>
      <c r="E16" s="140" t="s">
        <v>2189</v>
      </c>
      <c r="F16" s="140" t="s">
        <v>739</v>
      </c>
      <c r="G16" s="140" t="s">
        <v>2202</v>
      </c>
      <c r="H16" s="140" t="s">
        <v>2396</v>
      </c>
      <c r="I16" s="448" t="s">
        <v>2103</v>
      </c>
      <c r="J16" s="449">
        <v>85316.82</v>
      </c>
      <c r="K16" s="449">
        <v>22970.160000000003</v>
      </c>
      <c r="L16" s="449">
        <v>108286.98</v>
      </c>
      <c r="M16" s="449">
        <v>108286.98</v>
      </c>
      <c r="N16" s="449">
        <v>108286.98</v>
      </c>
      <c r="O16" s="449">
        <v>108286.98</v>
      </c>
      <c r="P16" s="449">
        <v>108286.98</v>
      </c>
    </row>
    <row r="17" spans="1:16">
      <c r="A17" s="140" t="s">
        <v>2186</v>
      </c>
      <c r="B17" s="140" t="s">
        <v>2187</v>
      </c>
      <c r="C17" s="140" t="s">
        <v>2190</v>
      </c>
      <c r="D17" s="140">
        <v>1</v>
      </c>
      <c r="E17" s="140" t="s">
        <v>2189</v>
      </c>
      <c r="F17" s="140" t="s">
        <v>739</v>
      </c>
      <c r="G17" s="140" t="s">
        <v>2203</v>
      </c>
      <c r="H17" s="140" t="s">
        <v>2397</v>
      </c>
      <c r="I17" s="448" t="s">
        <v>2104</v>
      </c>
      <c r="J17" s="449">
        <v>297651.51</v>
      </c>
      <c r="K17" s="449">
        <v>-297651.51</v>
      </c>
      <c r="L17" s="449">
        <v>0</v>
      </c>
      <c r="M17" s="449">
        <v>0</v>
      </c>
      <c r="N17" s="449">
        <v>0</v>
      </c>
      <c r="O17" s="449">
        <v>0</v>
      </c>
      <c r="P17" s="449">
        <v>0</v>
      </c>
    </row>
    <row r="18" spans="1:16">
      <c r="A18" s="140" t="s">
        <v>2186</v>
      </c>
      <c r="B18" s="140" t="s">
        <v>2187</v>
      </c>
      <c r="C18" s="140" t="s">
        <v>2190</v>
      </c>
      <c r="D18" s="140">
        <v>1</v>
      </c>
      <c r="E18" s="140" t="s">
        <v>2189</v>
      </c>
      <c r="F18" s="140" t="s">
        <v>739</v>
      </c>
      <c r="G18" s="140" t="s">
        <v>2204</v>
      </c>
      <c r="H18" s="140" t="s">
        <v>2398</v>
      </c>
      <c r="I18" s="448" t="s">
        <v>2105</v>
      </c>
      <c r="J18" s="449">
        <v>218424.08</v>
      </c>
      <c r="K18" s="449">
        <v>-22336.799999999988</v>
      </c>
      <c r="L18" s="449">
        <v>196087.28</v>
      </c>
      <c r="M18" s="449">
        <v>196087.28</v>
      </c>
      <c r="N18" s="449">
        <v>196087.28</v>
      </c>
      <c r="O18" s="449">
        <v>196087.28</v>
      </c>
      <c r="P18" s="449">
        <v>196087.28</v>
      </c>
    </row>
    <row r="19" spans="1:16">
      <c r="A19" s="140" t="s">
        <v>2186</v>
      </c>
      <c r="B19" s="140" t="s">
        <v>2187</v>
      </c>
      <c r="C19" s="140" t="s">
        <v>2190</v>
      </c>
      <c r="D19" s="140">
        <v>1</v>
      </c>
      <c r="E19" s="140" t="s">
        <v>2189</v>
      </c>
      <c r="F19" s="140" t="s">
        <v>739</v>
      </c>
      <c r="G19" s="140" t="s">
        <v>2205</v>
      </c>
      <c r="H19" s="140" t="s">
        <v>2399</v>
      </c>
      <c r="I19" s="448" t="s">
        <v>2106</v>
      </c>
      <c r="J19" s="449">
        <v>10555.62</v>
      </c>
      <c r="K19" s="449">
        <v>93.599999999999909</v>
      </c>
      <c r="L19" s="449">
        <v>10649.22</v>
      </c>
      <c r="M19" s="449">
        <v>10649.22</v>
      </c>
      <c r="N19" s="449">
        <v>10649.22</v>
      </c>
      <c r="O19" s="449">
        <v>10649.22</v>
      </c>
      <c r="P19" s="449">
        <v>10649.22</v>
      </c>
    </row>
    <row r="20" spans="1:16">
      <c r="A20" s="140" t="s">
        <v>2186</v>
      </c>
      <c r="B20" s="140" t="s">
        <v>2187</v>
      </c>
      <c r="C20" s="140" t="s">
        <v>2190</v>
      </c>
      <c r="D20" s="140">
        <v>1</v>
      </c>
      <c r="E20" s="140" t="s">
        <v>2189</v>
      </c>
      <c r="F20" s="140" t="s">
        <v>739</v>
      </c>
      <c r="G20" s="140" t="s">
        <v>753</v>
      </c>
      <c r="H20" s="140" t="s">
        <v>2400</v>
      </c>
      <c r="I20" s="448" t="s">
        <v>2107</v>
      </c>
      <c r="J20" s="449">
        <v>275522.78999999998</v>
      </c>
      <c r="K20" s="449">
        <v>-19367.369999999995</v>
      </c>
      <c r="L20" s="449">
        <v>256155.42</v>
      </c>
      <c r="M20" s="449">
        <v>256155.42</v>
      </c>
      <c r="N20" s="449">
        <v>256155.42</v>
      </c>
      <c r="O20" s="449">
        <v>256155.42</v>
      </c>
      <c r="P20" s="449">
        <v>256155.42</v>
      </c>
    </row>
    <row r="21" spans="1:16">
      <c r="A21" s="140" t="s">
        <v>2186</v>
      </c>
      <c r="B21" s="140" t="s">
        <v>2187</v>
      </c>
      <c r="C21" s="140" t="s">
        <v>2190</v>
      </c>
      <c r="D21" s="140">
        <v>1</v>
      </c>
      <c r="E21" s="140" t="s">
        <v>2189</v>
      </c>
      <c r="F21" s="140" t="s">
        <v>739</v>
      </c>
      <c r="G21" s="140" t="s">
        <v>2206</v>
      </c>
      <c r="H21" s="140" t="s">
        <v>2401</v>
      </c>
      <c r="I21" s="448" t="s">
        <v>2108</v>
      </c>
      <c r="J21" s="449">
        <v>34699.870000000003</v>
      </c>
      <c r="K21" s="449">
        <v>-12778.269999999997</v>
      </c>
      <c r="L21" s="449">
        <v>21921.599999999999</v>
      </c>
      <c r="M21" s="449">
        <v>21921.599999999999</v>
      </c>
      <c r="N21" s="449">
        <v>21921.599999999999</v>
      </c>
      <c r="O21" s="449">
        <v>21921.599999999999</v>
      </c>
      <c r="P21" s="449">
        <v>21921.599999999999</v>
      </c>
    </row>
    <row r="22" spans="1:16">
      <c r="A22" s="140" t="s">
        <v>2186</v>
      </c>
      <c r="B22" s="140" t="s">
        <v>2187</v>
      </c>
      <c r="C22" s="140" t="s">
        <v>2190</v>
      </c>
      <c r="D22" s="140">
        <v>1</v>
      </c>
      <c r="E22" s="140" t="s">
        <v>2189</v>
      </c>
      <c r="F22" s="140" t="s">
        <v>739</v>
      </c>
      <c r="G22" s="140" t="s">
        <v>2207</v>
      </c>
      <c r="H22" s="140" t="s">
        <v>2402</v>
      </c>
      <c r="I22" s="448" t="s">
        <v>2109</v>
      </c>
      <c r="J22" s="449">
        <v>51500</v>
      </c>
      <c r="K22" s="449">
        <v>-51500</v>
      </c>
      <c r="L22" s="449">
        <v>0</v>
      </c>
      <c r="M22" s="449">
        <v>0</v>
      </c>
      <c r="N22" s="449">
        <v>0</v>
      </c>
      <c r="O22" s="449">
        <v>0</v>
      </c>
      <c r="P22" s="449">
        <v>0</v>
      </c>
    </row>
    <row r="23" spans="1:16">
      <c r="A23" s="140" t="s">
        <v>2186</v>
      </c>
      <c r="B23" s="140" t="s">
        <v>2187</v>
      </c>
      <c r="C23" s="140" t="s">
        <v>2190</v>
      </c>
      <c r="D23" s="140">
        <v>1</v>
      </c>
      <c r="E23" s="140" t="s">
        <v>2189</v>
      </c>
      <c r="F23" s="140" t="s">
        <v>739</v>
      </c>
      <c r="G23" s="140" t="s">
        <v>2208</v>
      </c>
      <c r="H23" s="140" t="s">
        <v>2403</v>
      </c>
      <c r="I23" s="448" t="s">
        <v>2110</v>
      </c>
      <c r="J23" s="449">
        <v>488250.33</v>
      </c>
      <c r="K23" s="449">
        <v>-105120.29999999999</v>
      </c>
      <c r="L23" s="449">
        <v>383130.03</v>
      </c>
      <c r="M23" s="449">
        <v>383130.03</v>
      </c>
      <c r="N23" s="449">
        <v>383130.03</v>
      </c>
      <c r="O23" s="449">
        <v>383130.03</v>
      </c>
      <c r="P23" s="449">
        <v>383130.03</v>
      </c>
    </row>
    <row r="24" spans="1:16">
      <c r="A24" s="140" t="s">
        <v>2186</v>
      </c>
      <c r="B24" s="140" t="s">
        <v>2187</v>
      </c>
      <c r="C24" s="140" t="s">
        <v>2190</v>
      </c>
      <c r="D24" s="140">
        <v>1</v>
      </c>
      <c r="E24" s="140" t="s">
        <v>2189</v>
      </c>
      <c r="F24" s="140" t="s">
        <v>739</v>
      </c>
      <c r="G24" s="140" t="s">
        <v>2209</v>
      </c>
      <c r="H24" s="140" t="s">
        <v>2404</v>
      </c>
      <c r="I24" s="448" t="s">
        <v>2111</v>
      </c>
      <c r="J24" s="449">
        <v>126996.61</v>
      </c>
      <c r="K24" s="449">
        <v>-51093.609999999986</v>
      </c>
      <c r="L24" s="449">
        <v>75903</v>
      </c>
      <c r="M24" s="449">
        <v>75903</v>
      </c>
      <c r="N24" s="449">
        <v>75903</v>
      </c>
      <c r="O24" s="449">
        <v>75903</v>
      </c>
      <c r="P24" s="449">
        <v>75903</v>
      </c>
    </row>
    <row r="25" spans="1:16">
      <c r="A25" s="140" t="s">
        <v>2186</v>
      </c>
      <c r="B25" s="140" t="s">
        <v>2187</v>
      </c>
      <c r="C25" s="140" t="s">
        <v>2190</v>
      </c>
      <c r="D25" s="140">
        <v>1</v>
      </c>
      <c r="E25" s="140" t="s">
        <v>2189</v>
      </c>
      <c r="F25" s="140" t="s">
        <v>739</v>
      </c>
      <c r="G25" s="140" t="s">
        <v>2210</v>
      </c>
      <c r="H25" s="140" t="s">
        <v>2405</v>
      </c>
      <c r="I25" s="448" t="s">
        <v>2112</v>
      </c>
      <c r="J25" s="449">
        <v>97190.96</v>
      </c>
      <c r="K25" s="449">
        <v>60997.03</v>
      </c>
      <c r="L25" s="449">
        <v>158187.99</v>
      </c>
      <c r="M25" s="449">
        <v>158187.99</v>
      </c>
      <c r="N25" s="449">
        <v>158187.99</v>
      </c>
      <c r="O25" s="449">
        <v>158187.99</v>
      </c>
      <c r="P25" s="449">
        <v>158187.99</v>
      </c>
    </row>
    <row r="26" spans="1:16">
      <c r="A26" s="140" t="s">
        <v>2186</v>
      </c>
      <c r="B26" s="140" t="s">
        <v>2187</v>
      </c>
      <c r="C26" s="140" t="s">
        <v>2190</v>
      </c>
      <c r="D26" s="140">
        <v>1</v>
      </c>
      <c r="E26" s="140" t="s">
        <v>2189</v>
      </c>
      <c r="F26" s="140" t="s">
        <v>739</v>
      </c>
      <c r="G26" s="140" t="s">
        <v>2211</v>
      </c>
      <c r="H26" s="140" t="s">
        <v>2406</v>
      </c>
      <c r="I26" s="448" t="s">
        <v>2113</v>
      </c>
      <c r="J26" s="449">
        <v>22618.71</v>
      </c>
      <c r="K26" s="449">
        <v>-10822.849999999999</v>
      </c>
      <c r="L26" s="449">
        <v>11795.86</v>
      </c>
      <c r="M26" s="449">
        <v>11795.86</v>
      </c>
      <c r="N26" s="449">
        <v>11795.86</v>
      </c>
      <c r="O26" s="449">
        <v>11795.86</v>
      </c>
      <c r="P26" s="449">
        <v>11795.86</v>
      </c>
    </row>
    <row r="27" spans="1:16">
      <c r="A27" s="140" t="s">
        <v>2186</v>
      </c>
      <c r="B27" s="140" t="s">
        <v>2187</v>
      </c>
      <c r="C27" s="140" t="s">
        <v>2190</v>
      </c>
      <c r="D27" s="140">
        <v>1</v>
      </c>
      <c r="E27" s="140" t="s">
        <v>2189</v>
      </c>
      <c r="F27" s="140" t="s">
        <v>739</v>
      </c>
      <c r="G27" s="140" t="s">
        <v>2212</v>
      </c>
      <c r="H27" s="140" t="s">
        <v>2407</v>
      </c>
      <c r="I27" s="448" t="s">
        <v>2114</v>
      </c>
      <c r="J27" s="450">
        <v>23650.05</v>
      </c>
      <c r="K27" s="449">
        <v>-22724.449999999997</v>
      </c>
      <c r="L27" s="449">
        <v>925.6</v>
      </c>
      <c r="M27" s="449">
        <v>925.6</v>
      </c>
      <c r="N27" s="449">
        <v>925.6</v>
      </c>
      <c r="O27" s="449">
        <v>925.6</v>
      </c>
      <c r="P27" s="449">
        <v>925.6</v>
      </c>
    </row>
    <row r="28" spans="1:16">
      <c r="A28" s="140" t="s">
        <v>2186</v>
      </c>
      <c r="B28" s="140" t="s">
        <v>2187</v>
      </c>
      <c r="C28" s="140" t="s">
        <v>2190</v>
      </c>
      <c r="D28" s="140">
        <v>1</v>
      </c>
      <c r="E28" s="140" t="s">
        <v>2189</v>
      </c>
      <c r="F28" s="140" t="s">
        <v>739</v>
      </c>
      <c r="G28" s="140" t="s">
        <v>2213</v>
      </c>
      <c r="H28" s="140" t="s">
        <v>2408</v>
      </c>
      <c r="I28" s="448" t="s">
        <v>2115</v>
      </c>
      <c r="J28" s="449">
        <v>27911.54</v>
      </c>
      <c r="K28" s="449">
        <v>-12175.369999999999</v>
      </c>
      <c r="L28" s="449">
        <v>15736.17</v>
      </c>
      <c r="M28" s="449">
        <v>15736.17</v>
      </c>
      <c r="N28" s="449">
        <v>15736.17</v>
      </c>
      <c r="O28" s="449">
        <v>15736.17</v>
      </c>
      <c r="P28" s="449">
        <v>15736.17</v>
      </c>
    </row>
    <row r="29" spans="1:16">
      <c r="A29" s="140" t="s">
        <v>2186</v>
      </c>
      <c r="B29" s="140" t="s">
        <v>2187</v>
      </c>
      <c r="C29" s="140" t="s">
        <v>2190</v>
      </c>
      <c r="D29" s="140">
        <v>1</v>
      </c>
      <c r="E29" s="140" t="s">
        <v>2189</v>
      </c>
      <c r="F29" s="140" t="s">
        <v>739</v>
      </c>
      <c r="G29" s="140" t="s">
        <v>2214</v>
      </c>
      <c r="H29" s="140" t="s">
        <v>2409</v>
      </c>
      <c r="I29" s="448" t="s">
        <v>2116</v>
      </c>
      <c r="J29" s="449">
        <v>25910.07</v>
      </c>
      <c r="K29" s="449">
        <v>-11151.669999999998</v>
      </c>
      <c r="L29" s="449">
        <v>14758.4</v>
      </c>
      <c r="M29" s="449">
        <v>14758.4</v>
      </c>
      <c r="N29" s="449">
        <v>14758.4</v>
      </c>
      <c r="O29" s="449">
        <v>14758.4</v>
      </c>
      <c r="P29" s="449">
        <v>14758.4</v>
      </c>
    </row>
    <row r="30" spans="1:16">
      <c r="A30" s="140" t="s">
        <v>2186</v>
      </c>
      <c r="B30" s="140" t="s">
        <v>2187</v>
      </c>
      <c r="C30" s="140" t="s">
        <v>2190</v>
      </c>
      <c r="D30" s="140">
        <v>1</v>
      </c>
      <c r="E30" s="140" t="s">
        <v>2189</v>
      </c>
      <c r="F30" s="140" t="s">
        <v>739</v>
      </c>
      <c r="G30" s="140" t="s">
        <v>2215</v>
      </c>
      <c r="H30" s="140" t="s">
        <v>2410</v>
      </c>
      <c r="I30" s="448" t="s">
        <v>2117</v>
      </c>
      <c r="J30" s="449">
        <v>2980.42</v>
      </c>
      <c r="K30" s="449">
        <v>-1415.92</v>
      </c>
      <c r="L30" s="449">
        <v>1564.5</v>
      </c>
      <c r="M30" s="449">
        <v>1564.5</v>
      </c>
      <c r="N30" s="449">
        <v>1564.5</v>
      </c>
      <c r="O30" s="449">
        <v>1564.5</v>
      </c>
      <c r="P30" s="449">
        <v>1564.5</v>
      </c>
    </row>
    <row r="31" spans="1:16">
      <c r="A31" s="140" t="s">
        <v>2186</v>
      </c>
      <c r="B31" s="140" t="s">
        <v>2187</v>
      </c>
      <c r="C31" s="140" t="s">
        <v>2190</v>
      </c>
      <c r="D31" s="140">
        <v>1</v>
      </c>
      <c r="E31" s="140" t="s">
        <v>2189</v>
      </c>
      <c r="F31" s="140" t="s">
        <v>739</v>
      </c>
      <c r="G31" s="140" t="s">
        <v>2984</v>
      </c>
      <c r="H31" s="140" t="s">
        <v>2985</v>
      </c>
      <c r="I31" s="448" t="s">
        <v>2982</v>
      </c>
      <c r="J31" s="449">
        <v>0</v>
      </c>
      <c r="K31" s="449">
        <v>0</v>
      </c>
      <c r="L31" s="449">
        <v>0</v>
      </c>
      <c r="M31" s="449">
        <v>0</v>
      </c>
      <c r="N31" s="449">
        <v>0</v>
      </c>
      <c r="O31" s="449">
        <v>0</v>
      </c>
      <c r="P31" s="449">
        <v>0</v>
      </c>
    </row>
    <row r="32" spans="1:16">
      <c r="A32" s="140" t="s">
        <v>2186</v>
      </c>
      <c r="B32" s="140" t="s">
        <v>2187</v>
      </c>
      <c r="C32" s="140" t="s">
        <v>2190</v>
      </c>
      <c r="D32" s="140">
        <v>1</v>
      </c>
      <c r="E32" s="140" t="s">
        <v>2189</v>
      </c>
      <c r="F32" s="140" t="s">
        <v>739</v>
      </c>
      <c r="G32" s="140" t="s">
        <v>2216</v>
      </c>
      <c r="H32" s="140" t="s">
        <v>2411</v>
      </c>
      <c r="I32" s="448" t="s">
        <v>2118</v>
      </c>
      <c r="J32" s="450">
        <v>51113.760000000002</v>
      </c>
      <c r="K32" s="449">
        <v>-9043.8299999999945</v>
      </c>
      <c r="L32" s="449">
        <v>42069.93</v>
      </c>
      <c r="M32" s="449">
        <v>42069.93</v>
      </c>
      <c r="N32" s="449">
        <v>42069.93</v>
      </c>
      <c r="O32" s="449">
        <v>42069.93</v>
      </c>
      <c r="P32" s="449">
        <v>42069.93</v>
      </c>
    </row>
    <row r="33" spans="1:16">
      <c r="A33" s="140" t="s">
        <v>2186</v>
      </c>
      <c r="B33" s="140" t="s">
        <v>2187</v>
      </c>
      <c r="C33" s="140" t="s">
        <v>2190</v>
      </c>
      <c r="D33" s="140">
        <v>1</v>
      </c>
      <c r="E33" s="140" t="s">
        <v>2189</v>
      </c>
      <c r="F33" s="140" t="s">
        <v>739</v>
      </c>
      <c r="G33" s="140" t="s">
        <v>2217</v>
      </c>
      <c r="H33" s="140" t="s">
        <v>2412</v>
      </c>
      <c r="I33" s="448" t="s">
        <v>2119</v>
      </c>
      <c r="J33" s="449">
        <v>80518.42</v>
      </c>
      <c r="K33" s="449">
        <v>1515.4300000000221</v>
      </c>
      <c r="L33" s="449">
        <v>82033.850000000006</v>
      </c>
      <c r="M33" s="449">
        <v>82033.850000000006</v>
      </c>
      <c r="N33" s="449">
        <v>82033.850000000006</v>
      </c>
      <c r="O33" s="449">
        <v>82033.850000000006</v>
      </c>
      <c r="P33" s="449">
        <v>82033.850000000006</v>
      </c>
    </row>
    <row r="34" spans="1:16">
      <c r="A34" s="140" t="s">
        <v>2186</v>
      </c>
      <c r="B34" s="140" t="s">
        <v>2187</v>
      </c>
      <c r="C34" s="140" t="s">
        <v>2190</v>
      </c>
      <c r="D34" s="140">
        <v>1</v>
      </c>
      <c r="E34" s="140" t="s">
        <v>2189</v>
      </c>
      <c r="F34" s="140" t="s">
        <v>739</v>
      </c>
      <c r="G34" s="140" t="s">
        <v>2218</v>
      </c>
      <c r="H34" s="140" t="s">
        <v>2413</v>
      </c>
      <c r="I34" s="448" t="s">
        <v>2120</v>
      </c>
      <c r="J34" s="449">
        <v>1732.46</v>
      </c>
      <c r="K34" s="449">
        <v>-1732.46</v>
      </c>
      <c r="L34" s="449">
        <v>0</v>
      </c>
      <c r="M34" s="449">
        <v>0</v>
      </c>
      <c r="N34" s="449">
        <v>0</v>
      </c>
      <c r="O34" s="449">
        <v>0</v>
      </c>
      <c r="P34" s="449">
        <v>0</v>
      </c>
    </row>
    <row r="35" spans="1:16">
      <c r="A35" s="140" t="s">
        <v>2186</v>
      </c>
      <c r="B35" s="140" t="s">
        <v>2187</v>
      </c>
      <c r="C35" s="140" t="s">
        <v>2190</v>
      </c>
      <c r="D35" s="140">
        <v>1</v>
      </c>
      <c r="E35" s="140" t="s">
        <v>2189</v>
      </c>
      <c r="F35" s="140" t="s">
        <v>739</v>
      </c>
      <c r="G35" s="140" t="s">
        <v>2219</v>
      </c>
      <c r="H35" s="140" t="s">
        <v>2414</v>
      </c>
      <c r="I35" s="448" t="s">
        <v>2121</v>
      </c>
      <c r="J35" s="449">
        <v>1736.46</v>
      </c>
      <c r="K35" s="449">
        <v>6012.8899999999994</v>
      </c>
      <c r="L35" s="449">
        <v>7749.35</v>
      </c>
      <c r="M35" s="449">
        <v>7749.35</v>
      </c>
      <c r="N35" s="449">
        <v>7749.35</v>
      </c>
      <c r="O35" s="449">
        <v>7749.35</v>
      </c>
      <c r="P35" s="449">
        <v>7749.35</v>
      </c>
    </row>
    <row r="36" spans="1:16">
      <c r="A36" s="140" t="s">
        <v>2186</v>
      </c>
      <c r="B36" s="140" t="s">
        <v>2187</v>
      </c>
      <c r="C36" s="140" t="s">
        <v>2190</v>
      </c>
      <c r="D36" s="140">
        <v>1</v>
      </c>
      <c r="E36" s="140" t="s">
        <v>2189</v>
      </c>
      <c r="F36" s="140" t="s">
        <v>739</v>
      </c>
      <c r="G36" s="140" t="s">
        <v>2555</v>
      </c>
      <c r="H36" s="140" t="s">
        <v>2556</v>
      </c>
      <c r="I36" s="448" t="s">
        <v>2554</v>
      </c>
      <c r="J36" s="449">
        <v>0</v>
      </c>
      <c r="K36" s="449">
        <v>1801.0100000000002</v>
      </c>
      <c r="L36" s="449">
        <v>1801.01</v>
      </c>
      <c r="M36" s="449">
        <v>1801.01</v>
      </c>
      <c r="N36" s="449">
        <v>1801.01</v>
      </c>
      <c r="O36" s="449">
        <v>1801.01</v>
      </c>
      <c r="P36" s="449">
        <v>1801.01</v>
      </c>
    </row>
    <row r="37" spans="1:16">
      <c r="A37" s="140" t="s">
        <v>2186</v>
      </c>
      <c r="B37" s="140" t="s">
        <v>2187</v>
      </c>
      <c r="C37" s="140" t="s">
        <v>2190</v>
      </c>
      <c r="D37" s="140">
        <v>1</v>
      </c>
      <c r="E37" s="140" t="s">
        <v>2189</v>
      </c>
      <c r="F37" s="140" t="s">
        <v>739</v>
      </c>
      <c r="G37" s="140" t="s">
        <v>2220</v>
      </c>
      <c r="H37" s="140" t="s">
        <v>2415</v>
      </c>
      <c r="I37" s="448" t="s">
        <v>2122</v>
      </c>
      <c r="J37" s="449">
        <v>28460.959999999999</v>
      </c>
      <c r="K37" s="449">
        <v>-28460.959999999999</v>
      </c>
      <c r="L37" s="449">
        <v>0</v>
      </c>
      <c r="M37" s="449">
        <v>0</v>
      </c>
      <c r="N37" s="449">
        <v>0</v>
      </c>
      <c r="O37" s="449">
        <v>0</v>
      </c>
      <c r="P37" s="449">
        <v>0</v>
      </c>
    </row>
    <row r="38" spans="1:16">
      <c r="A38" s="140" t="s">
        <v>2186</v>
      </c>
      <c r="B38" s="140" t="s">
        <v>2187</v>
      </c>
      <c r="C38" s="140" t="s">
        <v>2190</v>
      </c>
      <c r="D38" s="140">
        <v>1</v>
      </c>
      <c r="E38" s="140" t="s">
        <v>2189</v>
      </c>
      <c r="F38" s="140" t="s">
        <v>739</v>
      </c>
      <c r="G38" s="140" t="s">
        <v>2221</v>
      </c>
      <c r="H38" s="140" t="s">
        <v>2416</v>
      </c>
      <c r="I38" s="448" t="s">
        <v>2123</v>
      </c>
      <c r="J38" s="449">
        <v>51828.62</v>
      </c>
      <c r="K38" s="449">
        <v>29460.179999999993</v>
      </c>
      <c r="L38" s="449">
        <v>81288.800000000003</v>
      </c>
      <c r="M38" s="449">
        <v>81288.800000000003</v>
      </c>
      <c r="N38" s="449">
        <v>81288.800000000003</v>
      </c>
      <c r="O38" s="449">
        <v>81288.800000000003</v>
      </c>
      <c r="P38" s="449">
        <v>81288.800000000003</v>
      </c>
    </row>
    <row r="39" spans="1:16">
      <c r="A39" s="140" t="s">
        <v>2186</v>
      </c>
      <c r="B39" s="140" t="s">
        <v>2187</v>
      </c>
      <c r="C39" s="140" t="s">
        <v>2190</v>
      </c>
      <c r="D39" s="140">
        <v>1</v>
      </c>
      <c r="E39" s="140" t="s">
        <v>2189</v>
      </c>
      <c r="F39" s="140" t="s">
        <v>739</v>
      </c>
      <c r="G39" s="140" t="s">
        <v>2222</v>
      </c>
      <c r="H39" s="140" t="s">
        <v>2417</v>
      </c>
      <c r="I39" s="448" t="s">
        <v>2124</v>
      </c>
      <c r="J39" s="449">
        <v>187038.45</v>
      </c>
      <c r="K39" s="449">
        <v>117621.54999999999</v>
      </c>
      <c r="L39" s="449">
        <v>304660</v>
      </c>
      <c r="M39" s="449">
        <v>304660</v>
      </c>
      <c r="N39" s="449">
        <v>304660</v>
      </c>
      <c r="O39" s="449">
        <v>304660</v>
      </c>
      <c r="P39" s="449">
        <v>269660</v>
      </c>
    </row>
    <row r="40" spans="1:16">
      <c r="A40" s="140" t="s">
        <v>2186</v>
      </c>
      <c r="B40" s="140" t="s">
        <v>2187</v>
      </c>
      <c r="C40" s="140" t="s">
        <v>2190</v>
      </c>
      <c r="D40" s="140">
        <v>1</v>
      </c>
      <c r="E40" s="140" t="s">
        <v>2189</v>
      </c>
      <c r="F40" s="140" t="s">
        <v>739</v>
      </c>
      <c r="G40" s="140" t="s">
        <v>2223</v>
      </c>
      <c r="H40" s="140" t="s">
        <v>2418</v>
      </c>
      <c r="I40" s="448" t="s">
        <v>2125</v>
      </c>
      <c r="J40" s="449">
        <v>30693.93</v>
      </c>
      <c r="K40" s="449">
        <v>-21261.93</v>
      </c>
      <c r="L40" s="449">
        <v>9432</v>
      </c>
      <c r="M40" s="449">
        <v>9432</v>
      </c>
      <c r="N40" s="449">
        <v>9432</v>
      </c>
      <c r="O40" s="449">
        <v>9432</v>
      </c>
      <c r="P40" s="449">
        <v>8740</v>
      </c>
    </row>
    <row r="41" spans="1:16">
      <c r="A41" s="140" t="s">
        <v>2186</v>
      </c>
      <c r="B41" s="140" t="s">
        <v>2187</v>
      </c>
      <c r="C41" s="140" t="s">
        <v>2190</v>
      </c>
      <c r="D41" s="140">
        <v>1</v>
      </c>
      <c r="E41" s="140" t="s">
        <v>2189</v>
      </c>
      <c r="F41" s="140" t="s">
        <v>739</v>
      </c>
      <c r="G41" s="140" t="s">
        <v>2224</v>
      </c>
      <c r="H41" s="140" t="s">
        <v>2419</v>
      </c>
      <c r="I41" s="448" t="s">
        <v>2126</v>
      </c>
      <c r="J41" s="449">
        <v>169353.17</v>
      </c>
      <c r="K41" s="449">
        <v>-77920.180000000008</v>
      </c>
      <c r="L41" s="449">
        <v>91432.99</v>
      </c>
      <c r="M41" s="449">
        <v>91432.99</v>
      </c>
      <c r="N41" s="449">
        <v>91432.99</v>
      </c>
      <c r="O41" s="449">
        <v>91432.99</v>
      </c>
      <c r="P41" s="449">
        <v>77993.990000000005</v>
      </c>
    </row>
    <row r="42" spans="1:16">
      <c r="A42" s="140" t="s">
        <v>2186</v>
      </c>
      <c r="B42" s="140" t="s">
        <v>2187</v>
      </c>
      <c r="C42" s="140" t="s">
        <v>2190</v>
      </c>
      <c r="D42" s="140">
        <v>1</v>
      </c>
      <c r="E42" s="140" t="s">
        <v>2189</v>
      </c>
      <c r="F42" s="140" t="s">
        <v>739</v>
      </c>
      <c r="G42" s="140" t="s">
        <v>2225</v>
      </c>
      <c r="H42" s="140" t="s">
        <v>2420</v>
      </c>
      <c r="I42" s="448" t="s">
        <v>2127</v>
      </c>
      <c r="J42" s="449">
        <v>105743.77</v>
      </c>
      <c r="K42" s="449">
        <v>-33145.770000000004</v>
      </c>
      <c r="L42" s="449">
        <v>72598</v>
      </c>
      <c r="M42" s="449">
        <v>72598</v>
      </c>
      <c r="N42" s="449">
        <v>72598</v>
      </c>
      <c r="O42" s="449">
        <v>72598</v>
      </c>
      <c r="P42" s="449">
        <v>64598</v>
      </c>
    </row>
    <row r="43" spans="1:16">
      <c r="A43" s="140" t="s">
        <v>2186</v>
      </c>
      <c r="B43" s="140" t="s">
        <v>2187</v>
      </c>
      <c r="C43" s="140" t="s">
        <v>2190</v>
      </c>
      <c r="D43" s="140">
        <v>1</v>
      </c>
      <c r="E43" s="140" t="s">
        <v>2189</v>
      </c>
      <c r="F43" s="140" t="s">
        <v>739</v>
      </c>
      <c r="G43" s="140" t="s">
        <v>2226</v>
      </c>
      <c r="H43" s="140" t="s">
        <v>2421</v>
      </c>
      <c r="I43" s="448" t="s">
        <v>2128</v>
      </c>
      <c r="J43" s="449">
        <v>289130.88</v>
      </c>
      <c r="K43" s="449">
        <v>44435.45</v>
      </c>
      <c r="L43" s="449">
        <v>333566.33</v>
      </c>
      <c r="M43" s="449">
        <v>333566.33</v>
      </c>
      <c r="N43" s="449">
        <v>333566.33</v>
      </c>
      <c r="O43" s="449">
        <v>333566.33</v>
      </c>
      <c r="P43" s="449">
        <v>304066.33</v>
      </c>
    </row>
    <row r="44" spans="1:16">
      <c r="A44" s="140" t="s">
        <v>2186</v>
      </c>
      <c r="B44" s="140" t="s">
        <v>2187</v>
      </c>
      <c r="C44" s="140" t="s">
        <v>2190</v>
      </c>
      <c r="D44" s="140">
        <v>1</v>
      </c>
      <c r="E44" s="140" t="s">
        <v>2189</v>
      </c>
      <c r="F44" s="140" t="s">
        <v>739</v>
      </c>
      <c r="G44" s="140" t="s">
        <v>2227</v>
      </c>
      <c r="H44" s="140" t="s">
        <v>2422</v>
      </c>
      <c r="I44" s="448" t="s">
        <v>2129</v>
      </c>
      <c r="J44" s="449">
        <v>11880.59</v>
      </c>
      <c r="K44" s="449">
        <v>-11880.59</v>
      </c>
      <c r="L44" s="449">
        <v>0</v>
      </c>
      <c r="M44" s="449">
        <v>0</v>
      </c>
      <c r="N44" s="449">
        <v>0</v>
      </c>
      <c r="O44" s="449">
        <v>0</v>
      </c>
      <c r="P44" s="449">
        <v>0</v>
      </c>
    </row>
    <row r="45" spans="1:16">
      <c r="A45" s="140" t="s">
        <v>2186</v>
      </c>
      <c r="B45" s="140" t="s">
        <v>2187</v>
      </c>
      <c r="C45" s="140" t="s">
        <v>2190</v>
      </c>
      <c r="D45" s="140">
        <v>1</v>
      </c>
      <c r="E45" s="140" t="s">
        <v>2189</v>
      </c>
      <c r="F45" s="140" t="s">
        <v>739</v>
      </c>
      <c r="G45" s="140" t="s">
        <v>2228</v>
      </c>
      <c r="H45" s="140" t="s">
        <v>2423</v>
      </c>
      <c r="I45" s="448" t="s">
        <v>2130</v>
      </c>
      <c r="J45" s="449">
        <v>260785.11</v>
      </c>
      <c r="K45" s="449">
        <v>159068.87000000005</v>
      </c>
      <c r="L45" s="449">
        <v>419853.98</v>
      </c>
      <c r="M45" s="449">
        <v>419853.98</v>
      </c>
      <c r="N45" s="449">
        <v>419853.98</v>
      </c>
      <c r="O45" s="449">
        <v>419853.98</v>
      </c>
      <c r="P45" s="449">
        <v>419853.98</v>
      </c>
    </row>
    <row r="46" spans="1:16">
      <c r="A46" s="140" t="s">
        <v>2186</v>
      </c>
      <c r="B46" s="140" t="s">
        <v>2187</v>
      </c>
      <c r="C46" s="140" t="s">
        <v>2190</v>
      </c>
      <c r="D46" s="140">
        <v>1</v>
      </c>
      <c r="E46" s="140" t="s">
        <v>2189</v>
      </c>
      <c r="F46" s="140" t="s">
        <v>739</v>
      </c>
      <c r="G46" s="140" t="s">
        <v>2229</v>
      </c>
      <c r="H46" s="140" t="s">
        <v>2424</v>
      </c>
      <c r="I46" s="448" t="s">
        <v>2131</v>
      </c>
      <c r="J46" s="449">
        <v>51615.360000000001</v>
      </c>
      <c r="K46" s="449">
        <v>22392.639999999999</v>
      </c>
      <c r="L46" s="449">
        <v>74008</v>
      </c>
      <c r="M46" s="449">
        <v>74008</v>
      </c>
      <c r="N46" s="449">
        <v>74008</v>
      </c>
      <c r="O46" s="449">
        <v>74008</v>
      </c>
      <c r="P46" s="449">
        <v>74008</v>
      </c>
    </row>
    <row r="47" spans="1:16">
      <c r="A47" s="140" t="s">
        <v>2186</v>
      </c>
      <c r="B47" s="140" t="s">
        <v>2187</v>
      </c>
      <c r="C47" s="140" t="s">
        <v>2190</v>
      </c>
      <c r="D47" s="140">
        <v>1</v>
      </c>
      <c r="E47" s="140" t="s">
        <v>2189</v>
      </c>
      <c r="F47" s="140" t="s">
        <v>739</v>
      </c>
      <c r="G47" s="140" t="s">
        <v>2609</v>
      </c>
      <c r="H47" s="140" t="s">
        <v>2610</v>
      </c>
      <c r="I47" s="448" t="s">
        <v>2607</v>
      </c>
      <c r="J47" s="450">
        <v>0</v>
      </c>
      <c r="K47" s="449">
        <v>6728</v>
      </c>
      <c r="L47" s="449">
        <v>6728</v>
      </c>
      <c r="M47" s="449">
        <v>6728</v>
      </c>
      <c r="N47" s="449">
        <v>6728</v>
      </c>
      <c r="O47" s="449">
        <v>6728</v>
      </c>
      <c r="P47" s="449">
        <v>0</v>
      </c>
    </row>
    <row r="48" spans="1:16">
      <c r="A48" s="140" t="s">
        <v>2186</v>
      </c>
      <c r="B48" s="140" t="s">
        <v>2187</v>
      </c>
      <c r="C48" s="140" t="s">
        <v>2190</v>
      </c>
      <c r="D48" s="140">
        <v>1</v>
      </c>
      <c r="E48" s="140" t="s">
        <v>2189</v>
      </c>
      <c r="F48" s="140" t="s">
        <v>739</v>
      </c>
      <c r="G48" s="140" t="s">
        <v>2230</v>
      </c>
      <c r="H48" s="140" t="s">
        <v>2425</v>
      </c>
      <c r="I48" s="448" t="s">
        <v>2132</v>
      </c>
      <c r="J48" s="449">
        <v>149082.63</v>
      </c>
      <c r="K48" s="449">
        <v>-13839.669999999984</v>
      </c>
      <c r="L48" s="449">
        <v>135242.96</v>
      </c>
      <c r="M48" s="449">
        <v>135242.96</v>
      </c>
      <c r="N48" s="449">
        <v>135242.96</v>
      </c>
      <c r="O48" s="449">
        <v>135242.96</v>
      </c>
      <c r="P48" s="449">
        <v>135242.96</v>
      </c>
    </row>
    <row r="49" spans="1:16">
      <c r="A49" s="140" t="s">
        <v>2186</v>
      </c>
      <c r="B49" s="140" t="s">
        <v>2187</v>
      </c>
      <c r="C49" s="140" t="s">
        <v>2190</v>
      </c>
      <c r="D49" s="140">
        <v>1</v>
      </c>
      <c r="E49" s="140" t="s">
        <v>2189</v>
      </c>
      <c r="F49" s="140" t="s">
        <v>739</v>
      </c>
      <c r="G49" s="140" t="s">
        <v>2986</v>
      </c>
      <c r="H49" s="140" t="s">
        <v>2987</v>
      </c>
      <c r="I49" s="448" t="s">
        <v>2983</v>
      </c>
      <c r="J49" s="449">
        <v>0</v>
      </c>
      <c r="K49" s="449">
        <v>0</v>
      </c>
      <c r="L49" s="449">
        <v>0</v>
      </c>
      <c r="M49" s="449">
        <v>0</v>
      </c>
      <c r="N49" s="449">
        <v>0</v>
      </c>
      <c r="O49" s="449">
        <v>0</v>
      </c>
      <c r="P49" s="449">
        <v>0</v>
      </c>
    </row>
    <row r="50" spans="1:16">
      <c r="A50" s="140" t="s">
        <v>2186</v>
      </c>
      <c r="B50" s="140" t="s">
        <v>2187</v>
      </c>
      <c r="C50" s="140" t="s">
        <v>2190</v>
      </c>
      <c r="D50" s="140">
        <v>1</v>
      </c>
      <c r="E50" s="140" t="s">
        <v>2189</v>
      </c>
      <c r="F50" s="140" t="s">
        <v>739</v>
      </c>
      <c r="G50" s="140" t="s">
        <v>2231</v>
      </c>
      <c r="H50" s="140" t="s">
        <v>2426</v>
      </c>
      <c r="I50" s="448" t="s">
        <v>2133</v>
      </c>
      <c r="J50" s="449">
        <v>116000</v>
      </c>
      <c r="K50" s="449">
        <v>162400</v>
      </c>
      <c r="L50" s="449">
        <v>278400</v>
      </c>
      <c r="M50" s="449">
        <v>278400</v>
      </c>
      <c r="N50" s="449">
        <v>278400</v>
      </c>
      <c r="O50" s="449">
        <v>278400</v>
      </c>
      <c r="P50" s="449">
        <v>237800</v>
      </c>
    </row>
    <row r="51" spans="1:16">
      <c r="A51" s="140" t="s">
        <v>2186</v>
      </c>
      <c r="B51" s="140" t="s">
        <v>2187</v>
      </c>
      <c r="C51" s="140" t="s">
        <v>2190</v>
      </c>
      <c r="D51" s="140">
        <v>1</v>
      </c>
      <c r="E51" s="140" t="s">
        <v>2189</v>
      </c>
      <c r="F51" s="140" t="s">
        <v>739</v>
      </c>
      <c r="G51" s="140" t="s">
        <v>2232</v>
      </c>
      <c r="H51" s="140" t="s">
        <v>2427</v>
      </c>
      <c r="I51" s="448" t="s">
        <v>2134</v>
      </c>
      <c r="J51" s="449">
        <v>32120.55</v>
      </c>
      <c r="K51" s="449">
        <v>-32120.550000000003</v>
      </c>
      <c r="L51" s="449">
        <v>0</v>
      </c>
      <c r="M51" s="449">
        <v>0</v>
      </c>
      <c r="N51" s="449">
        <v>0</v>
      </c>
      <c r="O51" s="449">
        <v>0</v>
      </c>
      <c r="P51" s="449">
        <v>0</v>
      </c>
    </row>
    <row r="52" spans="1:16">
      <c r="A52" s="140" t="s">
        <v>2186</v>
      </c>
      <c r="B52" s="140" t="s">
        <v>2187</v>
      </c>
      <c r="C52" s="140" t="s">
        <v>2190</v>
      </c>
      <c r="D52" s="140">
        <v>1</v>
      </c>
      <c r="E52" s="140" t="s">
        <v>2189</v>
      </c>
      <c r="F52" s="140" t="s">
        <v>739</v>
      </c>
      <c r="G52" s="140" t="s">
        <v>2233</v>
      </c>
      <c r="H52" s="140" t="s">
        <v>2428</v>
      </c>
      <c r="I52" s="448" t="s">
        <v>2135</v>
      </c>
      <c r="J52" s="449">
        <v>0</v>
      </c>
      <c r="K52" s="449">
        <v>6380</v>
      </c>
      <c r="L52" s="449">
        <v>6380</v>
      </c>
      <c r="M52" s="449">
        <v>6380</v>
      </c>
      <c r="N52" s="449">
        <v>6380</v>
      </c>
      <c r="O52" s="449">
        <v>6380</v>
      </c>
      <c r="P52" s="449">
        <v>6380</v>
      </c>
    </row>
    <row r="53" spans="1:16">
      <c r="A53" s="140" t="s">
        <v>2186</v>
      </c>
      <c r="B53" s="140" t="s">
        <v>2187</v>
      </c>
      <c r="C53" s="140" t="s">
        <v>2190</v>
      </c>
      <c r="D53" s="140">
        <v>1</v>
      </c>
      <c r="E53" s="140" t="s">
        <v>2189</v>
      </c>
      <c r="F53" s="140" t="s">
        <v>739</v>
      </c>
      <c r="G53" s="140" t="s">
        <v>2234</v>
      </c>
      <c r="H53" s="140" t="s">
        <v>2429</v>
      </c>
      <c r="I53" s="448" t="s">
        <v>2136</v>
      </c>
      <c r="J53" s="449">
        <v>415688.67</v>
      </c>
      <c r="K53" s="449">
        <v>-108429.65999999992</v>
      </c>
      <c r="L53" s="449">
        <v>307259.01</v>
      </c>
      <c r="M53" s="449">
        <v>307259.01</v>
      </c>
      <c r="N53" s="449">
        <v>307259.01</v>
      </c>
      <c r="O53" s="449">
        <v>307259.01</v>
      </c>
      <c r="P53" s="449">
        <v>307259.01</v>
      </c>
    </row>
    <row r="54" spans="1:16">
      <c r="A54" s="140" t="s">
        <v>2186</v>
      </c>
      <c r="B54" s="140" t="s">
        <v>2187</v>
      </c>
      <c r="C54" s="140" t="s">
        <v>2190</v>
      </c>
      <c r="D54" s="140">
        <v>1</v>
      </c>
      <c r="E54" s="140" t="s">
        <v>2189</v>
      </c>
      <c r="F54" s="140" t="s">
        <v>739</v>
      </c>
      <c r="G54" s="140" t="s">
        <v>2235</v>
      </c>
      <c r="H54" s="140" t="s">
        <v>2430</v>
      </c>
      <c r="I54" s="448" t="s">
        <v>2137</v>
      </c>
      <c r="J54" s="449">
        <v>164558.15</v>
      </c>
      <c r="K54" s="449">
        <v>517415.48999999993</v>
      </c>
      <c r="L54" s="449">
        <v>681973.64</v>
      </c>
      <c r="M54" s="449">
        <v>681973.64</v>
      </c>
      <c r="N54" s="449">
        <v>681973.64</v>
      </c>
      <c r="O54" s="449">
        <v>681973.64</v>
      </c>
      <c r="P54" s="449">
        <v>681973.64</v>
      </c>
    </row>
    <row r="55" spans="1:16">
      <c r="A55" s="140" t="s">
        <v>2186</v>
      </c>
      <c r="B55" s="140" t="s">
        <v>2187</v>
      </c>
      <c r="C55" s="140" t="s">
        <v>2190</v>
      </c>
      <c r="D55" s="140">
        <v>1</v>
      </c>
      <c r="E55" s="140" t="s">
        <v>2189</v>
      </c>
      <c r="F55" s="140" t="s">
        <v>739</v>
      </c>
      <c r="G55" s="140" t="s">
        <v>2236</v>
      </c>
      <c r="H55" s="140" t="s">
        <v>2431</v>
      </c>
      <c r="I55" s="448" t="s">
        <v>2138</v>
      </c>
      <c r="J55" s="449">
        <v>321478.24</v>
      </c>
      <c r="K55" s="449">
        <v>-8910.7700000000186</v>
      </c>
      <c r="L55" s="449">
        <v>312567.46999999997</v>
      </c>
      <c r="M55" s="449">
        <v>312567.46999999997</v>
      </c>
      <c r="N55" s="449">
        <v>312567.46999999997</v>
      </c>
      <c r="O55" s="449">
        <v>312567.46999999997</v>
      </c>
      <c r="P55" s="449">
        <v>312567.46999999997</v>
      </c>
    </row>
    <row r="56" spans="1:16">
      <c r="A56" s="140" t="s">
        <v>2186</v>
      </c>
      <c r="B56" s="140" t="s">
        <v>2187</v>
      </c>
      <c r="C56" s="140" t="s">
        <v>2190</v>
      </c>
      <c r="D56" s="140">
        <v>1</v>
      </c>
      <c r="E56" s="140" t="s">
        <v>2189</v>
      </c>
      <c r="F56" s="140" t="s">
        <v>739</v>
      </c>
      <c r="G56" s="140" t="s">
        <v>2237</v>
      </c>
      <c r="H56" s="140" t="s">
        <v>2432</v>
      </c>
      <c r="I56" s="448" t="s">
        <v>2139</v>
      </c>
      <c r="J56" s="449">
        <v>19216.57</v>
      </c>
      <c r="K56" s="449">
        <v>-15925.439999999999</v>
      </c>
      <c r="L56" s="449">
        <v>3291.13</v>
      </c>
      <c r="M56" s="449">
        <v>3291.13</v>
      </c>
      <c r="N56" s="449">
        <v>3291.13</v>
      </c>
      <c r="O56" s="449">
        <v>3291.13</v>
      </c>
      <c r="P56" s="449">
        <v>3291.13</v>
      </c>
    </row>
    <row r="57" spans="1:16">
      <c r="A57" s="140" t="s">
        <v>2186</v>
      </c>
      <c r="B57" s="140" t="s">
        <v>2187</v>
      </c>
      <c r="C57" s="140" t="s">
        <v>2190</v>
      </c>
      <c r="D57" s="140">
        <v>1</v>
      </c>
      <c r="E57" s="140" t="s">
        <v>2189</v>
      </c>
      <c r="F57" s="140" t="s">
        <v>739</v>
      </c>
      <c r="G57" s="140" t="s">
        <v>2238</v>
      </c>
      <c r="H57" s="140" t="s">
        <v>2433</v>
      </c>
      <c r="I57" s="448" t="s">
        <v>2140</v>
      </c>
      <c r="J57" s="449">
        <v>8632.7900000000009</v>
      </c>
      <c r="K57" s="449">
        <v>-8632.7899999999972</v>
      </c>
      <c r="L57" s="449">
        <v>0</v>
      </c>
      <c r="M57" s="449">
        <v>0</v>
      </c>
      <c r="N57" s="449">
        <v>0</v>
      </c>
      <c r="O57" s="449">
        <v>0</v>
      </c>
      <c r="P57" s="449">
        <v>0</v>
      </c>
    </row>
    <row r="58" spans="1:16">
      <c r="A58" s="140" t="s">
        <v>2186</v>
      </c>
      <c r="B58" s="140" t="s">
        <v>2187</v>
      </c>
      <c r="C58" s="140" t="s">
        <v>2190</v>
      </c>
      <c r="D58" s="140">
        <v>1</v>
      </c>
      <c r="E58" s="140" t="s">
        <v>2189</v>
      </c>
      <c r="F58" s="140" t="s">
        <v>739</v>
      </c>
      <c r="G58" s="140" t="s">
        <v>2239</v>
      </c>
      <c r="H58" s="140" t="s">
        <v>2434</v>
      </c>
      <c r="I58" s="448" t="s">
        <v>2141</v>
      </c>
      <c r="J58" s="449">
        <v>114826.14</v>
      </c>
      <c r="K58" s="449">
        <v>29364.73</v>
      </c>
      <c r="L58" s="449">
        <v>144190.87</v>
      </c>
      <c r="M58" s="449">
        <v>144190.87</v>
      </c>
      <c r="N58" s="449">
        <v>144190.87</v>
      </c>
      <c r="O58" s="449">
        <v>144190.87</v>
      </c>
      <c r="P58" s="449">
        <v>144190.87</v>
      </c>
    </row>
    <row r="59" spans="1:16">
      <c r="A59" s="140" t="s">
        <v>2186</v>
      </c>
      <c r="B59" s="140" t="s">
        <v>2187</v>
      </c>
      <c r="C59" s="140" t="s">
        <v>2190</v>
      </c>
      <c r="D59" s="140">
        <v>1</v>
      </c>
      <c r="E59" s="140" t="s">
        <v>2189</v>
      </c>
      <c r="F59" s="140" t="s">
        <v>739</v>
      </c>
      <c r="G59" s="140" t="s">
        <v>2240</v>
      </c>
      <c r="H59" s="140" t="s">
        <v>2435</v>
      </c>
      <c r="I59" s="448" t="s">
        <v>2142</v>
      </c>
      <c r="J59" s="449">
        <v>26298.46</v>
      </c>
      <c r="K59" s="449">
        <v>16959.650000000001</v>
      </c>
      <c r="L59" s="449">
        <v>43258.11</v>
      </c>
      <c r="M59" s="449">
        <v>43258.11</v>
      </c>
      <c r="N59" s="449">
        <v>43258.11</v>
      </c>
      <c r="O59" s="449">
        <v>43258.11</v>
      </c>
      <c r="P59" s="449">
        <v>43258.11</v>
      </c>
    </row>
    <row r="60" spans="1:16">
      <c r="A60" s="140" t="s">
        <v>2186</v>
      </c>
      <c r="B60" s="140" t="s">
        <v>2187</v>
      </c>
      <c r="C60" s="140" t="s">
        <v>2190</v>
      </c>
      <c r="D60" s="140">
        <v>1</v>
      </c>
      <c r="E60" s="140" t="s">
        <v>2189</v>
      </c>
      <c r="F60" s="140" t="s">
        <v>739</v>
      </c>
      <c r="G60" s="140" t="s">
        <v>2241</v>
      </c>
      <c r="H60" s="140" t="s">
        <v>2436</v>
      </c>
      <c r="I60" s="448" t="s">
        <v>2143</v>
      </c>
      <c r="J60" s="449">
        <v>137920.46</v>
      </c>
      <c r="K60" s="449">
        <v>-66801.580000000016</v>
      </c>
      <c r="L60" s="449">
        <v>71118.880000000005</v>
      </c>
      <c r="M60" s="449">
        <v>71118.880000000005</v>
      </c>
      <c r="N60" s="449">
        <v>71118.880000000005</v>
      </c>
      <c r="O60" s="449">
        <v>71118.880000000005</v>
      </c>
      <c r="P60" s="449">
        <v>71118.880000000005</v>
      </c>
    </row>
    <row r="61" spans="1:16">
      <c r="A61" s="140" t="s">
        <v>2186</v>
      </c>
      <c r="B61" s="140" t="s">
        <v>2187</v>
      </c>
      <c r="C61" s="140" t="s">
        <v>2190</v>
      </c>
      <c r="D61" s="140">
        <v>1</v>
      </c>
      <c r="E61" s="140" t="s">
        <v>2189</v>
      </c>
      <c r="F61" s="140" t="s">
        <v>739</v>
      </c>
      <c r="G61" s="140" t="s">
        <v>2242</v>
      </c>
      <c r="H61" s="140" t="s">
        <v>2437</v>
      </c>
      <c r="I61" s="448" t="s">
        <v>2144</v>
      </c>
      <c r="J61" s="449">
        <v>65116.6</v>
      </c>
      <c r="K61" s="449">
        <v>-56126.600000000006</v>
      </c>
      <c r="L61" s="449">
        <v>8990</v>
      </c>
      <c r="M61" s="449">
        <v>8990</v>
      </c>
      <c r="N61" s="449">
        <v>8990</v>
      </c>
      <c r="O61" s="449">
        <v>8990</v>
      </c>
      <c r="P61" s="449">
        <v>8990</v>
      </c>
    </row>
    <row r="62" spans="1:16">
      <c r="A62" s="140" t="s">
        <v>2186</v>
      </c>
      <c r="B62" s="140" t="s">
        <v>2187</v>
      </c>
      <c r="C62" s="140" t="s">
        <v>2190</v>
      </c>
      <c r="D62" s="140">
        <v>1</v>
      </c>
      <c r="E62" s="140" t="s">
        <v>2189</v>
      </c>
      <c r="F62" s="140" t="s">
        <v>739</v>
      </c>
      <c r="G62" s="140" t="s">
        <v>2243</v>
      </c>
      <c r="H62" s="140" t="s">
        <v>2438</v>
      </c>
      <c r="I62" s="448" t="s">
        <v>2145</v>
      </c>
      <c r="J62" s="449">
        <v>58350.73</v>
      </c>
      <c r="K62" s="449">
        <v>-26196.61</v>
      </c>
      <c r="L62" s="449">
        <v>32154.12</v>
      </c>
      <c r="M62" s="449">
        <v>32154.12</v>
      </c>
      <c r="N62" s="449">
        <v>32154.12</v>
      </c>
      <c r="O62" s="449">
        <v>32154.12</v>
      </c>
      <c r="P62" s="449">
        <v>32154.12</v>
      </c>
    </row>
    <row r="63" spans="1:16">
      <c r="A63" s="140" t="s">
        <v>2186</v>
      </c>
      <c r="B63" s="140" t="s">
        <v>2187</v>
      </c>
      <c r="C63" s="140" t="s">
        <v>2190</v>
      </c>
      <c r="D63" s="140">
        <v>1</v>
      </c>
      <c r="E63" s="140" t="s">
        <v>2189</v>
      </c>
      <c r="F63" s="140" t="s">
        <v>739</v>
      </c>
      <c r="G63" s="140" t="s">
        <v>2244</v>
      </c>
      <c r="H63" s="140" t="s">
        <v>2439</v>
      </c>
      <c r="I63" s="448" t="s">
        <v>2146</v>
      </c>
      <c r="J63" s="449">
        <v>95933.22</v>
      </c>
      <c r="K63" s="449">
        <v>-85891.41</v>
      </c>
      <c r="L63" s="449">
        <v>10041.81</v>
      </c>
      <c r="M63" s="449">
        <v>10041.81</v>
      </c>
      <c r="N63" s="449">
        <v>10041.81</v>
      </c>
      <c r="O63" s="449">
        <v>10041.81</v>
      </c>
      <c r="P63" s="449">
        <v>10041.81</v>
      </c>
    </row>
    <row r="64" spans="1:16">
      <c r="A64" s="140" t="s">
        <v>2186</v>
      </c>
      <c r="B64" s="140" t="s">
        <v>2187</v>
      </c>
      <c r="C64" s="140" t="s">
        <v>2190</v>
      </c>
      <c r="D64" s="140">
        <v>1</v>
      </c>
      <c r="E64" s="140" t="s">
        <v>2189</v>
      </c>
      <c r="F64" s="140" t="s">
        <v>739</v>
      </c>
      <c r="G64" s="140" t="s">
        <v>2245</v>
      </c>
      <c r="H64" s="140" t="s">
        <v>2440</v>
      </c>
      <c r="I64" s="448" t="s">
        <v>2147</v>
      </c>
      <c r="J64" s="449">
        <v>51370.41</v>
      </c>
      <c r="K64" s="449">
        <v>-47630.41</v>
      </c>
      <c r="L64" s="449">
        <v>3740</v>
      </c>
      <c r="M64" s="449">
        <v>3740</v>
      </c>
      <c r="N64" s="449">
        <v>3740</v>
      </c>
      <c r="O64" s="449">
        <v>3740</v>
      </c>
      <c r="P64" s="449">
        <v>3740</v>
      </c>
    </row>
    <row r="65" spans="1:16">
      <c r="A65" s="140" t="s">
        <v>2186</v>
      </c>
      <c r="B65" s="140" t="s">
        <v>2187</v>
      </c>
      <c r="C65" s="140" t="s">
        <v>2190</v>
      </c>
      <c r="D65" s="140">
        <v>1</v>
      </c>
      <c r="E65" s="140" t="s">
        <v>2189</v>
      </c>
      <c r="F65" s="140" t="s">
        <v>739</v>
      </c>
      <c r="G65" s="140" t="s">
        <v>2246</v>
      </c>
      <c r="H65" s="140" t="s">
        <v>2441</v>
      </c>
      <c r="I65" s="448" t="s">
        <v>2148</v>
      </c>
      <c r="J65" s="449">
        <v>28897.63</v>
      </c>
      <c r="K65" s="449">
        <v>-16137.630000000005</v>
      </c>
      <c r="L65" s="449">
        <v>12760</v>
      </c>
      <c r="M65" s="449">
        <v>12760</v>
      </c>
      <c r="N65" s="449">
        <v>12760</v>
      </c>
      <c r="O65" s="449">
        <v>12760</v>
      </c>
      <c r="P65" s="449">
        <v>12760</v>
      </c>
    </row>
    <row r="66" spans="1:16">
      <c r="A66" s="140" t="s">
        <v>2186</v>
      </c>
      <c r="B66" s="140" t="s">
        <v>2187</v>
      </c>
      <c r="C66" s="140" t="s">
        <v>2190</v>
      </c>
      <c r="D66" s="140">
        <v>1</v>
      </c>
      <c r="E66" s="140" t="s">
        <v>2189</v>
      </c>
      <c r="F66" s="140" t="s">
        <v>739</v>
      </c>
      <c r="G66" s="140" t="s">
        <v>2247</v>
      </c>
      <c r="H66" s="140" t="s">
        <v>2442</v>
      </c>
      <c r="I66" s="448" t="s">
        <v>2149</v>
      </c>
      <c r="J66" s="449">
        <v>56003.97</v>
      </c>
      <c r="K66" s="449">
        <v>-52912.959999999999</v>
      </c>
      <c r="L66" s="449">
        <v>3091.01</v>
      </c>
      <c r="M66" s="449">
        <v>3091.01</v>
      </c>
      <c r="N66" s="449">
        <v>3091.01</v>
      </c>
      <c r="O66" s="449">
        <v>3091.01</v>
      </c>
      <c r="P66" s="449">
        <v>3091.01</v>
      </c>
    </row>
    <row r="67" spans="1:16">
      <c r="A67" s="140" t="s">
        <v>2186</v>
      </c>
      <c r="B67" s="140" t="s">
        <v>2187</v>
      </c>
      <c r="C67" s="140" t="s">
        <v>2190</v>
      </c>
      <c r="D67" s="140">
        <v>1</v>
      </c>
      <c r="E67" s="140" t="s">
        <v>2189</v>
      </c>
      <c r="F67" s="140" t="s">
        <v>739</v>
      </c>
      <c r="G67" s="140" t="s">
        <v>2585</v>
      </c>
      <c r="H67" s="140" t="s">
        <v>2586</v>
      </c>
      <c r="I67" s="448" t="s">
        <v>2582</v>
      </c>
      <c r="J67" s="449">
        <v>0</v>
      </c>
      <c r="K67" s="449">
        <v>23592.480000000003</v>
      </c>
      <c r="L67" s="449">
        <v>23592.48</v>
      </c>
      <c r="M67" s="449">
        <v>23592.48</v>
      </c>
      <c r="N67" s="449">
        <v>23592.48</v>
      </c>
      <c r="O67" s="449">
        <v>23592.48</v>
      </c>
      <c r="P67" s="449">
        <v>23592.48</v>
      </c>
    </row>
    <row r="68" spans="1:16">
      <c r="A68" s="140" t="s">
        <v>2186</v>
      </c>
      <c r="B68" s="140" t="s">
        <v>2187</v>
      </c>
      <c r="C68" s="140" t="s">
        <v>2190</v>
      </c>
      <c r="D68" s="140">
        <v>1</v>
      </c>
      <c r="E68" s="140" t="s">
        <v>2189</v>
      </c>
      <c r="F68" s="140" t="s">
        <v>739</v>
      </c>
      <c r="G68" s="140" t="s">
        <v>755</v>
      </c>
      <c r="H68" s="140" t="s">
        <v>2443</v>
      </c>
      <c r="I68" s="448" t="s">
        <v>2150</v>
      </c>
      <c r="J68" s="449">
        <v>10300</v>
      </c>
      <c r="K68" s="449">
        <v>307766.64</v>
      </c>
      <c r="L68" s="449">
        <v>318066.64</v>
      </c>
      <c r="M68" s="449">
        <v>318066.64</v>
      </c>
      <c r="N68" s="449">
        <v>318066.64</v>
      </c>
      <c r="O68" s="449">
        <v>318066.64</v>
      </c>
      <c r="P68" s="449">
        <v>318066.64</v>
      </c>
    </row>
    <row r="69" spans="1:16">
      <c r="A69" s="140" t="s">
        <v>2186</v>
      </c>
      <c r="B69" s="140" t="s">
        <v>2187</v>
      </c>
      <c r="C69" s="140" t="s">
        <v>2190</v>
      </c>
      <c r="D69" s="140">
        <v>1</v>
      </c>
      <c r="E69" s="140" t="s">
        <v>2189</v>
      </c>
      <c r="F69" s="140" t="s">
        <v>739</v>
      </c>
      <c r="G69" s="140" t="s">
        <v>1521</v>
      </c>
      <c r="H69" s="140" t="s">
        <v>2444</v>
      </c>
      <c r="I69" s="448" t="s">
        <v>2151</v>
      </c>
      <c r="J69" s="449">
        <v>164954.13</v>
      </c>
      <c r="K69" s="449">
        <v>-96367.210000000021</v>
      </c>
      <c r="L69" s="449">
        <v>68586.92</v>
      </c>
      <c r="M69" s="449">
        <v>68586.92</v>
      </c>
      <c r="N69" s="449">
        <v>68586.92</v>
      </c>
      <c r="O69" s="449">
        <v>68586.92</v>
      </c>
      <c r="P69" s="449">
        <v>68586.92</v>
      </c>
    </row>
    <row r="70" spans="1:16">
      <c r="A70" s="140" t="s">
        <v>2186</v>
      </c>
      <c r="B70" s="140" t="s">
        <v>2187</v>
      </c>
      <c r="C70" s="140" t="s">
        <v>2190</v>
      </c>
      <c r="D70" s="140">
        <v>1</v>
      </c>
      <c r="E70" s="140" t="s">
        <v>2189</v>
      </c>
      <c r="F70" s="140" t="s">
        <v>739</v>
      </c>
      <c r="G70" s="140" t="s">
        <v>2248</v>
      </c>
      <c r="H70" s="140" t="s">
        <v>2445</v>
      </c>
      <c r="I70" s="448" t="s">
        <v>2152</v>
      </c>
      <c r="J70" s="449">
        <v>10815</v>
      </c>
      <c r="K70" s="449">
        <v>-10815</v>
      </c>
      <c r="L70" s="449">
        <v>0</v>
      </c>
      <c r="M70" s="449">
        <v>0</v>
      </c>
      <c r="N70" s="449">
        <v>0</v>
      </c>
      <c r="O70" s="449">
        <v>0</v>
      </c>
      <c r="P70" s="449">
        <v>0</v>
      </c>
    </row>
    <row r="71" spans="1:16">
      <c r="A71" s="140" t="s">
        <v>2186</v>
      </c>
      <c r="B71" s="140" t="s">
        <v>2187</v>
      </c>
      <c r="C71" s="140" t="s">
        <v>2190</v>
      </c>
      <c r="D71" s="140">
        <v>1</v>
      </c>
      <c r="E71" s="140" t="s">
        <v>2189</v>
      </c>
      <c r="F71" s="140" t="s">
        <v>739</v>
      </c>
      <c r="G71" s="140" t="s">
        <v>2249</v>
      </c>
      <c r="H71" s="140" t="s">
        <v>2446</v>
      </c>
      <c r="I71" s="448" t="s">
        <v>2153</v>
      </c>
      <c r="J71" s="449">
        <v>295.25</v>
      </c>
      <c r="K71" s="449">
        <v>-295.25</v>
      </c>
      <c r="L71" s="449">
        <v>0</v>
      </c>
      <c r="M71" s="449">
        <v>0</v>
      </c>
      <c r="N71" s="449">
        <v>0</v>
      </c>
      <c r="O71" s="449">
        <v>0</v>
      </c>
      <c r="P71" s="449">
        <v>0</v>
      </c>
    </row>
    <row r="72" spans="1:16">
      <c r="A72" s="140" t="s">
        <v>2186</v>
      </c>
      <c r="B72" s="140" t="s">
        <v>2187</v>
      </c>
      <c r="C72" s="140" t="s">
        <v>2190</v>
      </c>
      <c r="D72" s="140">
        <v>1</v>
      </c>
      <c r="E72" s="140" t="s">
        <v>2189</v>
      </c>
      <c r="F72" s="140" t="s">
        <v>739</v>
      </c>
      <c r="G72" s="140" t="s">
        <v>2250</v>
      </c>
      <c r="H72" s="140" t="s">
        <v>2447</v>
      </c>
      <c r="I72" s="448" t="s">
        <v>2154</v>
      </c>
      <c r="J72" s="449">
        <v>377160.08</v>
      </c>
      <c r="K72" s="449">
        <v>-377160.08</v>
      </c>
      <c r="L72" s="449">
        <v>0</v>
      </c>
      <c r="M72" s="449">
        <v>0</v>
      </c>
      <c r="N72" s="449">
        <v>0</v>
      </c>
      <c r="O72" s="449">
        <v>0</v>
      </c>
      <c r="P72" s="449">
        <v>0</v>
      </c>
    </row>
    <row r="73" spans="1:16">
      <c r="A73" s="140" t="s">
        <v>2186</v>
      </c>
      <c r="B73" s="140" t="s">
        <v>2187</v>
      </c>
      <c r="C73" s="140" t="s">
        <v>2190</v>
      </c>
      <c r="D73" s="140">
        <v>1</v>
      </c>
      <c r="E73" s="140" t="s">
        <v>2189</v>
      </c>
      <c r="F73" s="140" t="s">
        <v>739</v>
      </c>
      <c r="G73" s="140" t="s">
        <v>2251</v>
      </c>
      <c r="H73" s="140" t="s">
        <v>2448</v>
      </c>
      <c r="I73" s="448" t="s">
        <v>2155</v>
      </c>
      <c r="J73" s="449">
        <v>13284.18</v>
      </c>
      <c r="K73" s="449">
        <v>-13284.18</v>
      </c>
      <c r="L73" s="449">
        <v>0</v>
      </c>
      <c r="M73" s="449">
        <v>0</v>
      </c>
      <c r="N73" s="449">
        <v>0</v>
      </c>
      <c r="O73" s="449">
        <v>0</v>
      </c>
      <c r="P73" s="449">
        <v>0</v>
      </c>
    </row>
    <row r="74" spans="1:16">
      <c r="A74" s="140" t="s">
        <v>2186</v>
      </c>
      <c r="B74" s="140" t="s">
        <v>2187</v>
      </c>
      <c r="C74" s="140" t="s">
        <v>2190</v>
      </c>
      <c r="D74" s="140">
        <v>1</v>
      </c>
      <c r="E74" s="140" t="s">
        <v>2189</v>
      </c>
      <c r="F74" s="140" t="s">
        <v>739</v>
      </c>
      <c r="G74" s="140" t="s">
        <v>2252</v>
      </c>
      <c r="H74" s="140" t="s">
        <v>2449</v>
      </c>
      <c r="I74" s="448" t="s">
        <v>2156</v>
      </c>
      <c r="J74" s="449">
        <v>7784.29</v>
      </c>
      <c r="K74" s="449">
        <v>-4617.8900000000012</v>
      </c>
      <c r="L74" s="449">
        <v>3166.4</v>
      </c>
      <c r="M74" s="449">
        <v>3166.4</v>
      </c>
      <c r="N74" s="449">
        <v>3166.4</v>
      </c>
      <c r="O74" s="449">
        <v>3166.4</v>
      </c>
      <c r="P74" s="449">
        <v>3166.4</v>
      </c>
    </row>
    <row r="75" spans="1:16">
      <c r="A75" s="140" t="s">
        <v>2186</v>
      </c>
      <c r="B75" s="140" t="s">
        <v>2187</v>
      </c>
      <c r="C75" s="140" t="s">
        <v>2190</v>
      </c>
      <c r="D75" s="140">
        <v>1</v>
      </c>
      <c r="E75" s="140" t="s">
        <v>2189</v>
      </c>
      <c r="F75" s="140" t="s">
        <v>739</v>
      </c>
      <c r="G75" s="140" t="s">
        <v>2253</v>
      </c>
      <c r="H75" s="140" t="s">
        <v>2450</v>
      </c>
      <c r="I75" s="448" t="s">
        <v>2157</v>
      </c>
      <c r="J75" s="449">
        <v>60426.5</v>
      </c>
      <c r="K75" s="449">
        <v>-55675.509999999995</v>
      </c>
      <c r="L75" s="449">
        <v>4750.99</v>
      </c>
      <c r="M75" s="449">
        <v>4750.99</v>
      </c>
      <c r="N75" s="449">
        <v>4750.99</v>
      </c>
      <c r="O75" s="449">
        <v>4750.99</v>
      </c>
      <c r="P75" s="449">
        <v>4750.99</v>
      </c>
    </row>
    <row r="76" spans="1:16">
      <c r="A76" s="140" t="s">
        <v>2186</v>
      </c>
      <c r="B76" s="140" t="s">
        <v>2187</v>
      </c>
      <c r="C76" s="140" t="s">
        <v>2190</v>
      </c>
      <c r="D76" s="140">
        <v>1</v>
      </c>
      <c r="E76" s="140" t="s">
        <v>2189</v>
      </c>
      <c r="F76" s="140" t="s">
        <v>739</v>
      </c>
      <c r="G76" s="140" t="s">
        <v>2254</v>
      </c>
      <c r="H76" s="140" t="s">
        <v>2451</v>
      </c>
      <c r="I76" s="448" t="s">
        <v>2158</v>
      </c>
      <c r="J76" s="450">
        <v>220800.3</v>
      </c>
      <c r="K76" s="449">
        <v>590424.26</v>
      </c>
      <c r="L76" s="449">
        <v>811224.56</v>
      </c>
      <c r="M76" s="449">
        <v>811224.56</v>
      </c>
      <c r="N76" s="449">
        <v>811224.56</v>
      </c>
      <c r="O76" s="449">
        <v>811224.56</v>
      </c>
      <c r="P76" s="449">
        <v>811224.56</v>
      </c>
    </row>
    <row r="77" spans="1:16">
      <c r="A77" s="140" t="s">
        <v>2186</v>
      </c>
      <c r="B77" s="140" t="s">
        <v>2187</v>
      </c>
      <c r="C77" s="140" t="s">
        <v>2190</v>
      </c>
      <c r="D77" s="140">
        <v>1</v>
      </c>
      <c r="E77" s="140" t="s">
        <v>2189</v>
      </c>
      <c r="F77" s="140" t="s">
        <v>739</v>
      </c>
      <c r="G77" s="140" t="s">
        <v>2255</v>
      </c>
      <c r="H77" s="140" t="s">
        <v>2452</v>
      </c>
      <c r="I77" s="448" t="s">
        <v>2159</v>
      </c>
      <c r="J77" s="449">
        <v>286749.44</v>
      </c>
      <c r="K77" s="449">
        <v>64234.319999999949</v>
      </c>
      <c r="L77" s="449">
        <v>350983.76</v>
      </c>
      <c r="M77" s="449">
        <v>350983.76</v>
      </c>
      <c r="N77" s="449">
        <v>350983.76</v>
      </c>
      <c r="O77" s="449">
        <v>350983.76</v>
      </c>
      <c r="P77" s="449">
        <v>350983.76</v>
      </c>
    </row>
    <row r="78" spans="1:16">
      <c r="A78" s="140" t="s">
        <v>2186</v>
      </c>
      <c r="B78" s="140" t="s">
        <v>2187</v>
      </c>
      <c r="C78" s="140" t="s">
        <v>2190</v>
      </c>
      <c r="D78" s="140">
        <v>1</v>
      </c>
      <c r="E78" s="140" t="s">
        <v>2189</v>
      </c>
      <c r="F78" s="140" t="s">
        <v>739</v>
      </c>
      <c r="G78" s="140" t="s">
        <v>2256</v>
      </c>
      <c r="H78" s="140" t="s">
        <v>2453</v>
      </c>
      <c r="I78" s="448" t="s">
        <v>2160</v>
      </c>
      <c r="J78" s="449">
        <v>194602.02</v>
      </c>
      <c r="K78" s="449">
        <v>-31813.58</v>
      </c>
      <c r="L78" s="449">
        <v>162788.44</v>
      </c>
      <c r="M78" s="449">
        <v>162788.44</v>
      </c>
      <c r="N78" s="449">
        <v>162788.44</v>
      </c>
      <c r="O78" s="449">
        <v>162788.44</v>
      </c>
      <c r="P78" s="449">
        <v>162788.44</v>
      </c>
    </row>
    <row r="79" spans="1:16">
      <c r="A79" s="140" t="s">
        <v>2186</v>
      </c>
      <c r="B79" s="140" t="s">
        <v>2187</v>
      </c>
      <c r="C79" s="140" t="s">
        <v>2190</v>
      </c>
      <c r="D79" s="140">
        <v>1</v>
      </c>
      <c r="E79" s="140" t="s">
        <v>2189</v>
      </c>
      <c r="F79" s="140" t="s">
        <v>739</v>
      </c>
      <c r="G79" s="140" t="s">
        <v>2257</v>
      </c>
      <c r="H79" s="140" t="s">
        <v>2454</v>
      </c>
      <c r="I79" s="448" t="s">
        <v>2161</v>
      </c>
      <c r="J79" s="449">
        <v>17169.02</v>
      </c>
      <c r="K79" s="449">
        <v>13786.510000000002</v>
      </c>
      <c r="L79" s="449">
        <v>30955.53</v>
      </c>
      <c r="M79" s="449">
        <v>30955.53</v>
      </c>
      <c r="N79" s="449">
        <v>30955.53</v>
      </c>
      <c r="O79" s="449">
        <v>30955.53</v>
      </c>
      <c r="P79" s="449">
        <v>30955.53</v>
      </c>
    </row>
    <row r="80" spans="1:16">
      <c r="A80" s="140" t="s">
        <v>2186</v>
      </c>
      <c r="B80" s="140" t="s">
        <v>2187</v>
      </c>
      <c r="C80" s="140" t="s">
        <v>2190</v>
      </c>
      <c r="D80" s="140">
        <v>1</v>
      </c>
      <c r="E80" s="140" t="s">
        <v>2189</v>
      </c>
      <c r="F80" s="140" t="s">
        <v>739</v>
      </c>
      <c r="G80" s="140" t="s">
        <v>2258</v>
      </c>
      <c r="H80" s="140" t="s">
        <v>2455</v>
      </c>
      <c r="I80" s="448" t="s">
        <v>2162</v>
      </c>
      <c r="J80" s="449">
        <v>154404.29</v>
      </c>
      <c r="K80" s="449">
        <v>-3003.7800000000025</v>
      </c>
      <c r="L80" s="449">
        <v>151400.51</v>
      </c>
      <c r="M80" s="449">
        <v>151400.51</v>
      </c>
      <c r="N80" s="449">
        <v>151400.51</v>
      </c>
      <c r="O80" s="449">
        <v>151400.51</v>
      </c>
      <c r="P80" s="449">
        <v>151400.51</v>
      </c>
    </row>
    <row r="81" spans="1:16">
      <c r="A81" s="140" t="s">
        <v>2186</v>
      </c>
      <c r="B81" s="140" t="s">
        <v>2187</v>
      </c>
      <c r="C81" s="140" t="s">
        <v>2190</v>
      </c>
      <c r="D81" s="140">
        <v>1</v>
      </c>
      <c r="E81" s="140" t="s">
        <v>2189</v>
      </c>
      <c r="F81" s="140" t="s">
        <v>754</v>
      </c>
      <c r="G81" s="140" t="s">
        <v>2259</v>
      </c>
      <c r="H81" s="140" t="s">
        <v>2456</v>
      </c>
      <c r="I81" s="448" t="s">
        <v>2163</v>
      </c>
      <c r="J81" s="449">
        <v>101783.83</v>
      </c>
      <c r="K81" s="449">
        <v>34906.680000000051</v>
      </c>
      <c r="L81" s="449">
        <v>136690.51</v>
      </c>
      <c r="M81" s="449">
        <v>136690.51</v>
      </c>
      <c r="N81" s="449">
        <v>136690.51</v>
      </c>
      <c r="O81" s="449">
        <v>136690.51</v>
      </c>
      <c r="P81" s="449">
        <v>136690.51</v>
      </c>
    </row>
    <row r="82" spans="1:16">
      <c r="A82" s="140" t="s">
        <v>2186</v>
      </c>
      <c r="B82" s="140" t="s">
        <v>2187</v>
      </c>
      <c r="C82" s="140" t="s">
        <v>2190</v>
      </c>
      <c r="D82" s="140">
        <v>1</v>
      </c>
      <c r="E82" s="140" t="s">
        <v>2189</v>
      </c>
      <c r="F82" s="140" t="s">
        <v>754</v>
      </c>
      <c r="G82" s="140" t="s">
        <v>2260</v>
      </c>
      <c r="H82" s="140" t="s">
        <v>2457</v>
      </c>
      <c r="I82" s="448" t="s">
        <v>2164</v>
      </c>
      <c r="J82" s="449">
        <v>97451.34</v>
      </c>
      <c r="K82" s="449">
        <v>-97451.339999999967</v>
      </c>
      <c r="L82" s="449">
        <v>0</v>
      </c>
      <c r="M82" s="449">
        <v>0</v>
      </c>
      <c r="N82" s="449">
        <v>0</v>
      </c>
      <c r="O82" s="449">
        <v>0</v>
      </c>
      <c r="P82" s="449">
        <v>0</v>
      </c>
    </row>
    <row r="83" spans="1:16">
      <c r="A83" s="140" t="s">
        <v>2186</v>
      </c>
      <c r="B83" s="140" t="s">
        <v>2187</v>
      </c>
      <c r="C83" s="140" t="s">
        <v>2190</v>
      </c>
      <c r="D83" s="140">
        <v>1</v>
      </c>
      <c r="E83" s="140" t="s">
        <v>2189</v>
      </c>
      <c r="F83" s="140" t="s">
        <v>754</v>
      </c>
      <c r="G83" s="140" t="s">
        <v>2261</v>
      </c>
      <c r="H83" s="140" t="s">
        <v>2458</v>
      </c>
      <c r="I83" s="448" t="s">
        <v>2165</v>
      </c>
      <c r="J83" s="449">
        <v>767.64</v>
      </c>
      <c r="K83" s="449">
        <v>77473.5</v>
      </c>
      <c r="L83" s="449">
        <v>78241.14</v>
      </c>
      <c r="M83" s="449">
        <v>78241.14</v>
      </c>
      <c r="N83" s="449">
        <v>78241.14</v>
      </c>
      <c r="O83" s="449">
        <v>78241.14</v>
      </c>
      <c r="P83" s="449">
        <v>78241.14</v>
      </c>
    </row>
    <row r="84" spans="1:16">
      <c r="A84" s="140" t="s">
        <v>2186</v>
      </c>
      <c r="B84" s="140" t="s">
        <v>2187</v>
      </c>
      <c r="C84" s="140" t="s">
        <v>2190</v>
      </c>
      <c r="D84" s="140">
        <v>1</v>
      </c>
      <c r="E84" s="140" t="s">
        <v>2189</v>
      </c>
      <c r="F84" s="140" t="s">
        <v>754</v>
      </c>
      <c r="G84" s="140" t="s">
        <v>2262</v>
      </c>
      <c r="H84" s="140" t="s">
        <v>2459</v>
      </c>
      <c r="I84" s="448" t="s">
        <v>2166</v>
      </c>
      <c r="J84" s="449">
        <v>241852.24</v>
      </c>
      <c r="K84" s="449">
        <v>-241852.24</v>
      </c>
      <c r="L84" s="449">
        <v>0</v>
      </c>
      <c r="M84" s="449">
        <v>0</v>
      </c>
      <c r="N84" s="449">
        <v>0</v>
      </c>
      <c r="O84" s="449">
        <v>0</v>
      </c>
      <c r="P84" s="449">
        <v>0</v>
      </c>
    </row>
    <row r="85" spans="1:16">
      <c r="A85" s="140" t="s">
        <v>2186</v>
      </c>
      <c r="B85" s="140" t="s">
        <v>2187</v>
      </c>
      <c r="C85" s="140" t="s">
        <v>2190</v>
      </c>
      <c r="D85" s="140">
        <v>1</v>
      </c>
      <c r="E85" s="140" t="s">
        <v>2189</v>
      </c>
      <c r="F85" s="140" t="s">
        <v>754</v>
      </c>
      <c r="G85" s="140" t="s">
        <v>2587</v>
      </c>
      <c r="H85" s="140" t="s">
        <v>2588</v>
      </c>
      <c r="I85" s="448" t="s">
        <v>2583</v>
      </c>
      <c r="J85" s="449">
        <v>0</v>
      </c>
      <c r="K85" s="449">
        <v>89662.9</v>
      </c>
      <c r="L85" s="449">
        <v>89662.9</v>
      </c>
      <c r="M85" s="449">
        <v>89662.9</v>
      </c>
      <c r="N85" s="449">
        <v>89662.9</v>
      </c>
      <c r="O85" s="449">
        <v>89662.9</v>
      </c>
      <c r="P85" s="449">
        <v>89662.9</v>
      </c>
    </row>
    <row r="86" spans="1:16">
      <c r="A86" s="140" t="s">
        <v>2186</v>
      </c>
      <c r="B86" s="140" t="s">
        <v>2187</v>
      </c>
      <c r="C86" s="140" t="s">
        <v>2190</v>
      </c>
      <c r="D86" s="140">
        <v>1</v>
      </c>
      <c r="E86" s="140" t="s">
        <v>2189</v>
      </c>
      <c r="F86" s="140" t="s">
        <v>754</v>
      </c>
      <c r="G86" s="140" t="s">
        <v>2263</v>
      </c>
      <c r="H86" s="140" t="s">
        <v>2460</v>
      </c>
      <c r="I86" s="448" t="s">
        <v>2167</v>
      </c>
      <c r="J86" s="449">
        <v>50000</v>
      </c>
      <c r="K86" s="450">
        <v>-50000</v>
      </c>
      <c r="L86" s="449">
        <v>0</v>
      </c>
      <c r="M86" s="449">
        <v>0</v>
      </c>
      <c r="N86" s="449">
        <v>0</v>
      </c>
      <c r="O86" s="449">
        <v>0</v>
      </c>
      <c r="P86" s="449">
        <v>0</v>
      </c>
    </row>
    <row r="87" spans="1:16">
      <c r="A87" s="140" t="s">
        <v>2186</v>
      </c>
      <c r="B87" s="140" t="s">
        <v>2187</v>
      </c>
      <c r="C87" s="140" t="s">
        <v>2190</v>
      </c>
      <c r="D87" s="140">
        <v>1</v>
      </c>
      <c r="E87" s="140" t="s">
        <v>2189</v>
      </c>
      <c r="F87" s="140" t="s">
        <v>754</v>
      </c>
      <c r="G87" s="140" t="s">
        <v>2264</v>
      </c>
      <c r="H87" s="140" t="s">
        <v>2461</v>
      </c>
      <c r="I87" s="448" t="s">
        <v>2168</v>
      </c>
      <c r="J87" s="449">
        <v>10070.94</v>
      </c>
      <c r="K87" s="449">
        <v>115344.35999999999</v>
      </c>
      <c r="L87" s="449">
        <v>125415.3</v>
      </c>
      <c r="M87" s="449">
        <v>125415.3</v>
      </c>
      <c r="N87" s="449">
        <v>125415.3</v>
      </c>
      <c r="O87" s="449">
        <v>125415.3</v>
      </c>
      <c r="P87" s="449">
        <v>125415.3</v>
      </c>
    </row>
    <row r="88" spans="1:16">
      <c r="A88" s="140" t="s">
        <v>2186</v>
      </c>
      <c r="B88" s="140" t="s">
        <v>2187</v>
      </c>
      <c r="C88" s="140" t="s">
        <v>2190</v>
      </c>
      <c r="D88" s="140">
        <v>1</v>
      </c>
      <c r="E88" s="140" t="s">
        <v>2189</v>
      </c>
      <c r="F88" s="140" t="s">
        <v>739</v>
      </c>
      <c r="G88" s="140" t="s">
        <v>786</v>
      </c>
      <c r="H88" s="140" t="s">
        <v>2462</v>
      </c>
      <c r="I88" s="448" t="s">
        <v>2088</v>
      </c>
      <c r="J88" s="449">
        <v>625510.53</v>
      </c>
      <c r="K88" s="449">
        <v>-625510.53</v>
      </c>
      <c r="L88" s="449">
        <v>0</v>
      </c>
      <c r="M88" s="449">
        <v>0</v>
      </c>
      <c r="N88" s="449">
        <v>0</v>
      </c>
      <c r="O88" s="449">
        <v>0</v>
      </c>
      <c r="P88" s="449">
        <v>0</v>
      </c>
    </row>
    <row r="89" spans="1:16">
      <c r="A89" s="140" t="s">
        <v>2186</v>
      </c>
      <c r="B89" s="140" t="s">
        <v>2187</v>
      </c>
      <c r="C89" s="140" t="s">
        <v>2190</v>
      </c>
      <c r="D89" s="140">
        <v>1</v>
      </c>
      <c r="E89" s="140" t="s">
        <v>2276</v>
      </c>
      <c r="F89" s="140" t="s">
        <v>739</v>
      </c>
      <c r="G89" s="140" t="s">
        <v>2245</v>
      </c>
      <c r="H89" s="140" t="s">
        <v>2611</v>
      </c>
      <c r="I89" s="448" t="s">
        <v>2147</v>
      </c>
      <c r="J89" s="449">
        <v>0</v>
      </c>
      <c r="K89" s="449">
        <v>0</v>
      </c>
      <c r="L89" s="449">
        <v>0</v>
      </c>
      <c r="M89" s="449">
        <v>0</v>
      </c>
      <c r="N89" s="449">
        <v>0</v>
      </c>
      <c r="O89" s="449">
        <v>0</v>
      </c>
      <c r="P89" s="449">
        <v>0</v>
      </c>
    </row>
    <row r="90" spans="1:16">
      <c r="A90" s="140" t="s">
        <v>2186</v>
      </c>
      <c r="B90" s="140" t="s">
        <v>2187</v>
      </c>
      <c r="C90" s="140" t="s">
        <v>2265</v>
      </c>
      <c r="D90" s="140">
        <v>1</v>
      </c>
      <c r="E90" s="140" t="s">
        <v>2189</v>
      </c>
      <c r="F90" s="140" t="s">
        <v>754</v>
      </c>
      <c r="G90" s="140" t="s">
        <v>2587</v>
      </c>
      <c r="H90" s="140" t="s">
        <v>2612</v>
      </c>
      <c r="I90" s="448" t="s">
        <v>2583</v>
      </c>
      <c r="J90" s="449">
        <v>0</v>
      </c>
      <c r="K90" s="449">
        <v>0</v>
      </c>
      <c r="L90" s="449">
        <v>0</v>
      </c>
      <c r="M90" s="449">
        <v>0</v>
      </c>
      <c r="N90" s="449">
        <v>0</v>
      </c>
      <c r="O90" s="449">
        <v>0</v>
      </c>
      <c r="P90" s="449">
        <v>0</v>
      </c>
    </row>
    <row r="91" spans="1:16">
      <c r="A91" s="140" t="s">
        <v>2186</v>
      </c>
      <c r="B91" s="140" t="s">
        <v>2187</v>
      </c>
      <c r="C91" s="140" t="s">
        <v>2265</v>
      </c>
      <c r="D91" s="140">
        <v>1</v>
      </c>
      <c r="E91" s="140" t="s">
        <v>2276</v>
      </c>
      <c r="F91" s="140" t="s">
        <v>754</v>
      </c>
      <c r="G91" s="140" t="s">
        <v>2262</v>
      </c>
      <c r="H91" s="140" t="s">
        <v>2613</v>
      </c>
      <c r="I91" s="448" t="s">
        <v>2166</v>
      </c>
      <c r="J91" s="449">
        <v>0</v>
      </c>
      <c r="K91" s="449">
        <v>0</v>
      </c>
      <c r="L91" s="449">
        <v>0</v>
      </c>
      <c r="M91" s="449">
        <v>0</v>
      </c>
      <c r="N91" s="449">
        <v>0</v>
      </c>
      <c r="O91" s="449">
        <v>0</v>
      </c>
      <c r="P91" s="449">
        <v>0</v>
      </c>
    </row>
    <row r="92" spans="1:16">
      <c r="A92" s="140" t="s">
        <v>2186</v>
      </c>
      <c r="B92" s="140" t="s">
        <v>2187</v>
      </c>
      <c r="C92" s="140" t="s">
        <v>2265</v>
      </c>
      <c r="D92" s="140">
        <v>1</v>
      </c>
      <c r="E92" s="140" t="s">
        <v>2266</v>
      </c>
      <c r="F92" s="140" t="s">
        <v>739</v>
      </c>
      <c r="G92" s="140" t="s">
        <v>2191</v>
      </c>
      <c r="H92" s="140" t="s">
        <v>2463</v>
      </c>
      <c r="I92" s="448" t="s">
        <v>2092</v>
      </c>
      <c r="J92" s="449">
        <v>534497.76</v>
      </c>
      <c r="K92" s="449">
        <v>2728.8</v>
      </c>
      <c r="L92" s="449">
        <v>537226.56000000006</v>
      </c>
      <c r="M92" s="449">
        <v>537226.56000000006</v>
      </c>
      <c r="N92" s="449">
        <v>537226.56000000006</v>
      </c>
      <c r="O92" s="449">
        <v>537226.56000000006</v>
      </c>
      <c r="P92" s="449">
        <v>537226.56000000006</v>
      </c>
    </row>
    <row r="93" spans="1:16">
      <c r="A93" s="140" t="s">
        <v>2186</v>
      </c>
      <c r="B93" s="140" t="s">
        <v>2187</v>
      </c>
      <c r="C93" s="140" t="s">
        <v>2265</v>
      </c>
      <c r="D93" s="140">
        <v>1</v>
      </c>
      <c r="E93" s="140" t="s">
        <v>2266</v>
      </c>
      <c r="F93" s="140" t="s">
        <v>739</v>
      </c>
      <c r="G93" s="140" t="s">
        <v>2193</v>
      </c>
      <c r="H93" s="140" t="s">
        <v>2464</v>
      </c>
      <c r="I93" s="448" t="s">
        <v>2094</v>
      </c>
      <c r="J93" s="449">
        <v>187.5</v>
      </c>
      <c r="K93" s="449">
        <v>-187.5</v>
      </c>
      <c r="L93" s="449">
        <v>0</v>
      </c>
      <c r="M93" s="449">
        <v>0</v>
      </c>
      <c r="N93" s="449">
        <v>0</v>
      </c>
      <c r="O93" s="449">
        <v>0</v>
      </c>
      <c r="P93" s="449">
        <v>0</v>
      </c>
    </row>
    <row r="94" spans="1:16">
      <c r="A94" s="140" t="s">
        <v>2186</v>
      </c>
      <c r="B94" s="140" t="s">
        <v>2187</v>
      </c>
      <c r="C94" s="140" t="s">
        <v>2265</v>
      </c>
      <c r="D94" s="140">
        <v>1</v>
      </c>
      <c r="E94" s="140" t="s">
        <v>2266</v>
      </c>
      <c r="F94" s="140" t="s">
        <v>739</v>
      </c>
      <c r="G94" s="140" t="s">
        <v>2194</v>
      </c>
      <c r="H94" s="140" t="s">
        <v>2465</v>
      </c>
      <c r="I94" s="448" t="s">
        <v>2095</v>
      </c>
      <c r="J94" s="449">
        <v>43925.7</v>
      </c>
      <c r="K94" s="449">
        <v>680.6</v>
      </c>
      <c r="L94" s="449">
        <v>44606.3</v>
      </c>
      <c r="M94" s="449">
        <v>44606.3</v>
      </c>
      <c r="N94" s="449">
        <v>44606.3</v>
      </c>
      <c r="O94" s="449">
        <v>44606.3</v>
      </c>
      <c r="P94" s="449">
        <v>44606.3</v>
      </c>
    </row>
    <row r="95" spans="1:16">
      <c r="A95" s="140" t="s">
        <v>2186</v>
      </c>
      <c r="B95" s="140" t="s">
        <v>2187</v>
      </c>
      <c r="C95" s="140" t="s">
        <v>2265</v>
      </c>
      <c r="D95" s="140">
        <v>1</v>
      </c>
      <c r="E95" s="140" t="s">
        <v>2266</v>
      </c>
      <c r="F95" s="140" t="s">
        <v>739</v>
      </c>
      <c r="G95" s="140" t="s">
        <v>2195</v>
      </c>
      <c r="H95" s="140" t="s">
        <v>2466</v>
      </c>
      <c r="I95" s="448" t="s">
        <v>2096</v>
      </c>
      <c r="J95" s="449">
        <v>197652.52</v>
      </c>
      <c r="K95" s="449">
        <v>3076.1</v>
      </c>
      <c r="L95" s="449">
        <v>200728.62</v>
      </c>
      <c r="M95" s="449">
        <v>200728.62</v>
      </c>
      <c r="N95" s="449">
        <v>200728.62</v>
      </c>
      <c r="O95" s="449">
        <v>200728.62</v>
      </c>
      <c r="P95" s="449">
        <v>200728.62</v>
      </c>
    </row>
    <row r="96" spans="1:16">
      <c r="A96" s="140" t="s">
        <v>2186</v>
      </c>
      <c r="B96" s="140" t="s">
        <v>2187</v>
      </c>
      <c r="C96" s="140" t="s">
        <v>2265</v>
      </c>
      <c r="D96" s="140">
        <v>1</v>
      </c>
      <c r="E96" s="140" t="s">
        <v>2266</v>
      </c>
      <c r="F96" s="140" t="s">
        <v>739</v>
      </c>
      <c r="G96" s="140" t="s">
        <v>2196</v>
      </c>
      <c r="H96" s="140" t="s">
        <v>2467</v>
      </c>
      <c r="I96" s="448" t="s">
        <v>2097</v>
      </c>
      <c r="J96" s="449">
        <v>122934.48</v>
      </c>
      <c r="K96" s="449">
        <v>627.59999999999945</v>
      </c>
      <c r="L96" s="449">
        <v>123562.08</v>
      </c>
      <c r="M96" s="449">
        <v>123562.08</v>
      </c>
      <c r="N96" s="449">
        <v>123562.08</v>
      </c>
      <c r="O96" s="449">
        <v>123562.08</v>
      </c>
      <c r="P96" s="449">
        <v>123562.08</v>
      </c>
    </row>
    <row r="97" spans="1:16">
      <c r="A97" s="140" t="s">
        <v>2186</v>
      </c>
      <c r="B97" s="140" t="s">
        <v>2187</v>
      </c>
      <c r="C97" s="140" t="s">
        <v>2265</v>
      </c>
      <c r="D97" s="140">
        <v>1</v>
      </c>
      <c r="E97" s="140" t="s">
        <v>2266</v>
      </c>
      <c r="F97" s="140" t="s">
        <v>739</v>
      </c>
      <c r="G97" s="140" t="s">
        <v>2197</v>
      </c>
      <c r="H97" s="140" t="s">
        <v>2468</v>
      </c>
      <c r="I97" s="448" t="s">
        <v>2098</v>
      </c>
      <c r="J97" s="449">
        <v>52128</v>
      </c>
      <c r="K97" s="449">
        <v>-13179.119999999999</v>
      </c>
      <c r="L97" s="449">
        <v>38948.879999999997</v>
      </c>
      <c r="M97" s="449">
        <v>38948.879999999997</v>
      </c>
      <c r="N97" s="449">
        <v>38948.879999999997</v>
      </c>
      <c r="O97" s="449">
        <v>38948.879999999997</v>
      </c>
      <c r="P97" s="449">
        <v>38948.879999999997</v>
      </c>
    </row>
    <row r="98" spans="1:16">
      <c r="A98" s="140" t="s">
        <v>2186</v>
      </c>
      <c r="B98" s="140" t="s">
        <v>2187</v>
      </c>
      <c r="C98" s="140" t="s">
        <v>2265</v>
      </c>
      <c r="D98" s="140">
        <v>1</v>
      </c>
      <c r="E98" s="140" t="s">
        <v>2266</v>
      </c>
      <c r="F98" s="140" t="s">
        <v>739</v>
      </c>
      <c r="G98" s="140" t="s">
        <v>2198</v>
      </c>
      <c r="H98" s="140" t="s">
        <v>2469</v>
      </c>
      <c r="I98" s="448" t="s">
        <v>2099</v>
      </c>
      <c r="J98" s="449">
        <v>40213.29</v>
      </c>
      <c r="K98" s="449">
        <v>-20213.290000000008</v>
      </c>
      <c r="L98" s="449">
        <v>20000</v>
      </c>
      <c r="M98" s="449">
        <v>20000</v>
      </c>
      <c r="N98" s="449">
        <v>20000</v>
      </c>
      <c r="O98" s="449">
        <v>20000</v>
      </c>
      <c r="P98" s="449">
        <v>20000</v>
      </c>
    </row>
    <row r="99" spans="1:16">
      <c r="A99" s="140" t="s">
        <v>2186</v>
      </c>
      <c r="B99" s="140" t="s">
        <v>2187</v>
      </c>
      <c r="C99" s="140" t="s">
        <v>2265</v>
      </c>
      <c r="D99" s="140">
        <v>1</v>
      </c>
      <c r="E99" s="140" t="s">
        <v>2266</v>
      </c>
      <c r="F99" s="140" t="s">
        <v>739</v>
      </c>
      <c r="G99" s="140" t="s">
        <v>2200</v>
      </c>
      <c r="H99" s="140" t="s">
        <v>2470</v>
      </c>
      <c r="I99" s="448" t="s">
        <v>2101</v>
      </c>
      <c r="J99" s="449">
        <v>465528.72</v>
      </c>
      <c r="K99" s="449">
        <v>21775.200000000004</v>
      </c>
      <c r="L99" s="449">
        <v>487303.92</v>
      </c>
      <c r="M99" s="449">
        <v>487303.92</v>
      </c>
      <c r="N99" s="449">
        <v>487303.92</v>
      </c>
      <c r="O99" s="449">
        <v>487303.92</v>
      </c>
      <c r="P99" s="449">
        <v>487303.92</v>
      </c>
    </row>
    <row r="100" spans="1:16">
      <c r="A100" s="140" t="s">
        <v>2186</v>
      </c>
      <c r="B100" s="140" t="s">
        <v>2187</v>
      </c>
      <c r="C100" s="140" t="s">
        <v>2265</v>
      </c>
      <c r="D100" s="140">
        <v>1</v>
      </c>
      <c r="E100" s="140" t="s">
        <v>2266</v>
      </c>
      <c r="F100" s="140" t="s">
        <v>739</v>
      </c>
      <c r="G100" s="140" t="s">
        <v>2201</v>
      </c>
      <c r="H100" s="140" t="s">
        <v>2471</v>
      </c>
      <c r="I100" s="448" t="s">
        <v>2102</v>
      </c>
      <c r="J100" s="449">
        <v>581299.44999999995</v>
      </c>
      <c r="K100" s="449">
        <v>-9.9999999999980105E-3</v>
      </c>
      <c r="L100" s="449">
        <v>581299.43999999994</v>
      </c>
      <c r="M100" s="449">
        <v>581299.43999999994</v>
      </c>
      <c r="N100" s="449">
        <v>581299.43999999994</v>
      </c>
      <c r="O100" s="449">
        <v>581299.43999999994</v>
      </c>
      <c r="P100" s="449">
        <v>581299.43999999994</v>
      </c>
    </row>
    <row r="101" spans="1:16">
      <c r="A101" s="140" t="s">
        <v>2186</v>
      </c>
      <c r="B101" s="140" t="s">
        <v>2187</v>
      </c>
      <c r="C101" s="140" t="s">
        <v>2265</v>
      </c>
      <c r="D101" s="140">
        <v>1</v>
      </c>
      <c r="E101" s="140" t="s">
        <v>2266</v>
      </c>
      <c r="F101" s="140" t="s">
        <v>739</v>
      </c>
      <c r="G101" s="140" t="s">
        <v>2202</v>
      </c>
      <c r="H101" s="140" t="s">
        <v>2472</v>
      </c>
      <c r="I101" s="448" t="s">
        <v>2103</v>
      </c>
      <c r="J101" s="450">
        <v>0</v>
      </c>
      <c r="K101" s="449">
        <v>11009.06</v>
      </c>
      <c r="L101" s="449">
        <v>11009.06</v>
      </c>
      <c r="M101" s="449">
        <v>11009.06</v>
      </c>
      <c r="N101" s="449">
        <v>11009.06</v>
      </c>
      <c r="O101" s="449">
        <v>11009.06</v>
      </c>
      <c r="P101" s="449">
        <v>11009.06</v>
      </c>
    </row>
    <row r="102" spans="1:16">
      <c r="A102" s="140" t="s">
        <v>2186</v>
      </c>
      <c r="B102" s="140" t="s">
        <v>2187</v>
      </c>
      <c r="C102" s="140" t="s">
        <v>2265</v>
      </c>
      <c r="D102" s="140">
        <v>1</v>
      </c>
      <c r="E102" s="140" t="s">
        <v>2266</v>
      </c>
      <c r="F102" s="140" t="s">
        <v>739</v>
      </c>
      <c r="G102" s="140" t="s">
        <v>2203</v>
      </c>
      <c r="H102" s="140" t="s">
        <v>2473</v>
      </c>
      <c r="I102" s="448" t="s">
        <v>2104</v>
      </c>
      <c r="J102" s="449">
        <v>219377.23</v>
      </c>
      <c r="K102" s="449">
        <v>-219377.22999999998</v>
      </c>
      <c r="L102" s="449">
        <v>0</v>
      </c>
      <c r="M102" s="449">
        <v>0</v>
      </c>
      <c r="N102" s="449">
        <v>0</v>
      </c>
      <c r="O102" s="449">
        <v>0</v>
      </c>
      <c r="P102" s="449">
        <v>0</v>
      </c>
    </row>
    <row r="103" spans="1:16">
      <c r="A103" s="140" t="s">
        <v>2186</v>
      </c>
      <c r="B103" s="140" t="s">
        <v>2187</v>
      </c>
      <c r="C103" s="140" t="s">
        <v>2265</v>
      </c>
      <c r="D103" s="140">
        <v>1</v>
      </c>
      <c r="E103" s="140" t="s">
        <v>2266</v>
      </c>
      <c r="F103" s="140" t="s">
        <v>739</v>
      </c>
      <c r="G103" s="140" t="s">
        <v>2204</v>
      </c>
      <c r="H103" s="140" t="s">
        <v>2474</v>
      </c>
      <c r="I103" s="448" t="s">
        <v>2105</v>
      </c>
      <c r="J103" s="449">
        <v>62305.51</v>
      </c>
      <c r="K103" s="449">
        <v>-28891.200000000012</v>
      </c>
      <c r="L103" s="449">
        <v>33414.31</v>
      </c>
      <c r="M103" s="449">
        <v>33414.31</v>
      </c>
      <c r="N103" s="449">
        <v>33414.31</v>
      </c>
      <c r="O103" s="449">
        <v>33414.31</v>
      </c>
      <c r="P103" s="449">
        <v>33414.31</v>
      </c>
    </row>
    <row r="104" spans="1:16">
      <c r="A104" s="140" t="s">
        <v>2186</v>
      </c>
      <c r="B104" s="140" t="s">
        <v>2187</v>
      </c>
      <c r="C104" s="140" t="s">
        <v>2265</v>
      </c>
      <c r="D104" s="140">
        <v>1</v>
      </c>
      <c r="E104" s="140" t="s">
        <v>2266</v>
      </c>
      <c r="F104" s="140" t="s">
        <v>739</v>
      </c>
      <c r="G104" s="140" t="s">
        <v>753</v>
      </c>
      <c r="H104" s="140" t="s">
        <v>2475</v>
      </c>
      <c r="I104" s="448" t="s">
        <v>2107</v>
      </c>
      <c r="J104" s="449">
        <v>87369.63</v>
      </c>
      <c r="K104" s="449">
        <v>-87369.63</v>
      </c>
      <c r="L104" s="449">
        <v>0</v>
      </c>
      <c r="M104" s="449">
        <v>0</v>
      </c>
      <c r="N104" s="449">
        <v>0</v>
      </c>
      <c r="O104" s="449">
        <v>0</v>
      </c>
      <c r="P104" s="449">
        <v>0</v>
      </c>
    </row>
    <row r="105" spans="1:16">
      <c r="A105" s="901" t="s">
        <v>2186</v>
      </c>
      <c r="B105" s="902" t="s">
        <v>2187</v>
      </c>
      <c r="C105" s="902" t="s">
        <v>2265</v>
      </c>
      <c r="D105" s="902">
        <v>1</v>
      </c>
      <c r="E105" s="902" t="s">
        <v>2266</v>
      </c>
      <c r="F105" s="902" t="s">
        <v>739</v>
      </c>
      <c r="G105" s="902" t="s">
        <v>2984</v>
      </c>
      <c r="H105" s="902" t="s">
        <v>2988</v>
      </c>
      <c r="I105" s="903" t="s">
        <v>2982</v>
      </c>
      <c r="J105" s="904">
        <v>0</v>
      </c>
      <c r="K105" s="905">
        <v>0</v>
      </c>
      <c r="L105" s="904">
        <v>0</v>
      </c>
      <c r="M105" s="904">
        <v>0</v>
      </c>
      <c r="N105" s="904">
        <v>0</v>
      </c>
      <c r="O105" s="904">
        <v>0</v>
      </c>
      <c r="P105" s="904">
        <v>0</v>
      </c>
    </row>
    <row r="106" spans="1:16">
      <c r="A106" s="901" t="s">
        <v>2186</v>
      </c>
      <c r="B106" s="902" t="s">
        <v>2187</v>
      </c>
      <c r="C106" s="902" t="s">
        <v>2265</v>
      </c>
      <c r="D106" s="902">
        <v>1</v>
      </c>
      <c r="E106" s="902" t="s">
        <v>2266</v>
      </c>
      <c r="F106" s="902" t="s">
        <v>739</v>
      </c>
      <c r="G106" s="902" t="s">
        <v>2216</v>
      </c>
      <c r="H106" s="902" t="s">
        <v>2476</v>
      </c>
      <c r="I106" s="903" t="s">
        <v>2118</v>
      </c>
      <c r="J106" s="904">
        <v>31263.87</v>
      </c>
      <c r="K106" s="905">
        <v>-18343.190000000002</v>
      </c>
      <c r="L106" s="904">
        <v>12920.68</v>
      </c>
      <c r="M106" s="904">
        <v>12920.68</v>
      </c>
      <c r="N106" s="904">
        <v>12920.68</v>
      </c>
      <c r="O106" s="904">
        <v>12920.68</v>
      </c>
      <c r="P106" s="904">
        <v>12920.68</v>
      </c>
    </row>
    <row r="107" spans="1:16">
      <c r="A107" s="901" t="s">
        <v>2186</v>
      </c>
      <c r="B107" s="902" t="s">
        <v>2187</v>
      </c>
      <c r="C107" s="902" t="s">
        <v>2265</v>
      </c>
      <c r="D107" s="902">
        <v>1</v>
      </c>
      <c r="E107" s="902" t="s">
        <v>2266</v>
      </c>
      <c r="F107" s="902" t="s">
        <v>739</v>
      </c>
      <c r="G107" s="902" t="s">
        <v>2234</v>
      </c>
      <c r="H107" s="902" t="s">
        <v>2477</v>
      </c>
      <c r="I107" s="903" t="s">
        <v>2136</v>
      </c>
      <c r="J107" s="904">
        <v>774526.27</v>
      </c>
      <c r="K107" s="905">
        <v>784682.34000000008</v>
      </c>
      <c r="L107" s="904">
        <v>1559208.61</v>
      </c>
      <c r="M107" s="904">
        <v>1559208.61</v>
      </c>
      <c r="N107" s="904">
        <v>1559208.61</v>
      </c>
      <c r="O107" s="904">
        <v>1559208.61</v>
      </c>
      <c r="P107" s="904">
        <v>1559208.61</v>
      </c>
    </row>
    <row r="108" spans="1:16">
      <c r="A108" s="901" t="s">
        <v>2186</v>
      </c>
      <c r="B108" s="902" t="s">
        <v>2187</v>
      </c>
      <c r="C108" s="902" t="s">
        <v>2265</v>
      </c>
      <c r="D108" s="902">
        <v>1</v>
      </c>
      <c r="E108" s="902" t="s">
        <v>2266</v>
      </c>
      <c r="F108" s="902" t="s">
        <v>739</v>
      </c>
      <c r="G108" s="902" t="s">
        <v>2245</v>
      </c>
      <c r="H108" s="902" t="s">
        <v>2478</v>
      </c>
      <c r="I108" s="903" t="s">
        <v>2147</v>
      </c>
      <c r="J108" s="904">
        <v>19356.169999999998</v>
      </c>
      <c r="K108" s="905">
        <v>-13092.559999999998</v>
      </c>
      <c r="L108" s="904">
        <v>6263.61</v>
      </c>
      <c r="M108" s="904">
        <v>6263.61</v>
      </c>
      <c r="N108" s="904">
        <v>6263.61</v>
      </c>
      <c r="O108" s="904">
        <v>6263.61</v>
      </c>
      <c r="P108" s="904">
        <v>6263.61</v>
      </c>
    </row>
    <row r="109" spans="1:16">
      <c r="A109" s="901" t="s">
        <v>2186</v>
      </c>
      <c r="B109" s="902" t="s">
        <v>2187</v>
      </c>
      <c r="C109" s="902" t="s">
        <v>2265</v>
      </c>
      <c r="D109" s="902">
        <v>1</v>
      </c>
      <c r="E109" s="902" t="s">
        <v>2266</v>
      </c>
      <c r="F109" s="902" t="s">
        <v>739</v>
      </c>
      <c r="G109" s="902" t="s">
        <v>2252</v>
      </c>
      <c r="H109" s="902" t="s">
        <v>2479</v>
      </c>
      <c r="I109" s="903" t="s">
        <v>2156</v>
      </c>
      <c r="J109" s="904">
        <v>5546.8</v>
      </c>
      <c r="K109" s="905">
        <v>-5546.8</v>
      </c>
      <c r="L109" s="904">
        <v>0</v>
      </c>
      <c r="M109" s="904">
        <v>0</v>
      </c>
      <c r="N109" s="904">
        <v>0</v>
      </c>
      <c r="O109" s="904">
        <v>0</v>
      </c>
      <c r="P109" s="904">
        <v>0</v>
      </c>
    </row>
    <row r="110" spans="1:16">
      <c r="A110" s="901" t="s">
        <v>2186</v>
      </c>
      <c r="B110" s="902" t="s">
        <v>2187</v>
      </c>
      <c r="C110" s="902" t="s">
        <v>2265</v>
      </c>
      <c r="D110" s="902">
        <v>1</v>
      </c>
      <c r="E110" s="902" t="s">
        <v>2266</v>
      </c>
      <c r="F110" s="902" t="s">
        <v>739</v>
      </c>
      <c r="G110" s="902" t="s">
        <v>2253</v>
      </c>
      <c r="H110" s="902" t="s">
        <v>2480</v>
      </c>
      <c r="I110" s="903" t="s">
        <v>2157</v>
      </c>
      <c r="J110" s="904">
        <v>5914.6</v>
      </c>
      <c r="K110" s="905">
        <v>-5914.6</v>
      </c>
      <c r="L110" s="904">
        <v>0</v>
      </c>
      <c r="M110" s="904">
        <v>0</v>
      </c>
      <c r="N110" s="904">
        <v>0</v>
      </c>
      <c r="O110" s="904">
        <v>0</v>
      </c>
      <c r="P110" s="904">
        <v>0</v>
      </c>
    </row>
    <row r="111" spans="1:16">
      <c r="A111" s="901" t="s">
        <v>2186</v>
      </c>
      <c r="B111" s="902" t="s">
        <v>2187</v>
      </c>
      <c r="C111" s="902" t="s">
        <v>2265</v>
      </c>
      <c r="D111" s="902">
        <v>1</v>
      </c>
      <c r="E111" s="902" t="s">
        <v>2266</v>
      </c>
      <c r="F111" s="902" t="s">
        <v>739</v>
      </c>
      <c r="G111" s="902" t="s">
        <v>2257</v>
      </c>
      <c r="H111" s="902" t="s">
        <v>2589</v>
      </c>
      <c r="I111" s="903" t="s">
        <v>2161</v>
      </c>
      <c r="J111" s="904">
        <v>0</v>
      </c>
      <c r="K111" s="905">
        <v>0</v>
      </c>
      <c r="L111" s="904">
        <v>0</v>
      </c>
      <c r="M111" s="904">
        <v>0</v>
      </c>
      <c r="N111" s="904">
        <v>0</v>
      </c>
      <c r="O111" s="904">
        <v>0</v>
      </c>
      <c r="P111" s="904">
        <v>0</v>
      </c>
    </row>
    <row r="112" spans="1:16">
      <c r="A112" s="901" t="s">
        <v>2186</v>
      </c>
      <c r="B112" s="902" t="s">
        <v>2187</v>
      </c>
      <c r="C112" s="902" t="s">
        <v>2265</v>
      </c>
      <c r="D112" s="902">
        <v>1</v>
      </c>
      <c r="E112" s="902" t="s">
        <v>2266</v>
      </c>
      <c r="F112" s="902" t="s">
        <v>739</v>
      </c>
      <c r="G112" s="902" t="s">
        <v>2258</v>
      </c>
      <c r="H112" s="902" t="s">
        <v>2481</v>
      </c>
      <c r="I112" s="903" t="s">
        <v>2162</v>
      </c>
      <c r="J112" s="904">
        <v>35696.1</v>
      </c>
      <c r="K112" s="905">
        <v>8303.5999999999985</v>
      </c>
      <c r="L112" s="904">
        <v>43999.7</v>
      </c>
      <c r="M112" s="904">
        <v>43999.7</v>
      </c>
      <c r="N112" s="904">
        <v>43999.7</v>
      </c>
      <c r="O112" s="904">
        <v>43999.7</v>
      </c>
      <c r="P112" s="904">
        <v>43999.7</v>
      </c>
    </row>
    <row r="113" spans="1:16">
      <c r="A113" s="901" t="s">
        <v>2186</v>
      </c>
      <c r="B113" s="902" t="s">
        <v>2187</v>
      </c>
      <c r="C113" s="902" t="s">
        <v>2265</v>
      </c>
      <c r="D113" s="902">
        <v>1</v>
      </c>
      <c r="E113" s="902" t="s">
        <v>2266</v>
      </c>
      <c r="F113" s="902" t="s">
        <v>754</v>
      </c>
      <c r="G113" s="902" t="s">
        <v>2259</v>
      </c>
      <c r="H113" s="902" t="s">
        <v>2482</v>
      </c>
      <c r="I113" s="903" t="s">
        <v>2163</v>
      </c>
      <c r="J113" s="904">
        <v>29261.25</v>
      </c>
      <c r="K113" s="905">
        <v>-29261.25</v>
      </c>
      <c r="L113" s="904">
        <v>0</v>
      </c>
      <c r="M113" s="904">
        <v>0</v>
      </c>
      <c r="N113" s="904">
        <v>0</v>
      </c>
      <c r="O113" s="904">
        <v>0</v>
      </c>
      <c r="P113" s="904">
        <v>0</v>
      </c>
    </row>
    <row r="114" spans="1:16">
      <c r="A114" s="901" t="s">
        <v>2186</v>
      </c>
      <c r="B114" s="902" t="s">
        <v>2187</v>
      </c>
      <c r="C114" s="902" t="s">
        <v>2265</v>
      </c>
      <c r="D114" s="902">
        <v>1</v>
      </c>
      <c r="E114" s="902" t="s">
        <v>2266</v>
      </c>
      <c r="F114" s="902" t="s">
        <v>754</v>
      </c>
      <c r="G114" s="902" t="s">
        <v>2260</v>
      </c>
      <c r="H114" s="902" t="s">
        <v>2557</v>
      </c>
      <c r="I114" s="903" t="s">
        <v>2164</v>
      </c>
      <c r="J114" s="904">
        <v>0</v>
      </c>
      <c r="K114" s="905">
        <v>9048</v>
      </c>
      <c r="L114" s="904">
        <v>9048</v>
      </c>
      <c r="M114" s="904">
        <v>9048</v>
      </c>
      <c r="N114" s="904">
        <v>9048</v>
      </c>
      <c r="O114" s="904">
        <v>9048</v>
      </c>
      <c r="P114" s="904">
        <v>9048</v>
      </c>
    </row>
    <row r="115" spans="1:16">
      <c r="A115" s="901" t="s">
        <v>2186</v>
      </c>
      <c r="B115" s="902" t="s">
        <v>2187</v>
      </c>
      <c r="C115" s="902" t="s">
        <v>2267</v>
      </c>
      <c r="D115" s="902">
        <v>1</v>
      </c>
      <c r="E115" s="902" t="s">
        <v>2268</v>
      </c>
      <c r="F115" s="902" t="s">
        <v>739</v>
      </c>
      <c r="G115" s="902" t="s">
        <v>2191</v>
      </c>
      <c r="H115" s="902" t="s">
        <v>2483</v>
      </c>
      <c r="I115" s="903" t="s">
        <v>2092</v>
      </c>
      <c r="J115" s="904">
        <v>279601.91999999998</v>
      </c>
      <c r="K115" s="905">
        <v>13467.729999999996</v>
      </c>
      <c r="L115" s="904">
        <v>293069.65000000002</v>
      </c>
      <c r="M115" s="904">
        <v>293069.65000000002</v>
      </c>
      <c r="N115" s="904">
        <v>293069.65000000002</v>
      </c>
      <c r="O115" s="904">
        <v>293069.65000000002</v>
      </c>
      <c r="P115" s="904">
        <v>293069.65000000002</v>
      </c>
    </row>
    <row r="116" spans="1:16">
      <c r="A116" s="901" t="s">
        <v>2186</v>
      </c>
      <c r="B116" s="902" t="s">
        <v>2187</v>
      </c>
      <c r="C116" s="902" t="s">
        <v>2267</v>
      </c>
      <c r="D116" s="902">
        <v>1</v>
      </c>
      <c r="E116" s="902" t="s">
        <v>2268</v>
      </c>
      <c r="F116" s="902" t="s">
        <v>739</v>
      </c>
      <c r="G116" s="902" t="s">
        <v>2192</v>
      </c>
      <c r="H116" s="902" t="s">
        <v>2484</v>
      </c>
      <c r="I116" s="903" t="s">
        <v>2093</v>
      </c>
      <c r="J116" s="904">
        <v>219511.94</v>
      </c>
      <c r="K116" s="905">
        <v>-4510.8099999999977</v>
      </c>
      <c r="L116" s="904">
        <v>215001.13</v>
      </c>
      <c r="M116" s="904">
        <v>215001.13</v>
      </c>
      <c r="N116" s="904">
        <v>215001.13</v>
      </c>
      <c r="O116" s="904">
        <v>215001.13</v>
      </c>
      <c r="P116" s="904">
        <v>215001.13</v>
      </c>
    </row>
    <row r="117" spans="1:16">
      <c r="A117" s="901" t="s">
        <v>2186</v>
      </c>
      <c r="B117" s="902" t="s">
        <v>2187</v>
      </c>
      <c r="C117" s="902" t="s">
        <v>2267</v>
      </c>
      <c r="D117" s="902">
        <v>1</v>
      </c>
      <c r="E117" s="902" t="s">
        <v>2268</v>
      </c>
      <c r="F117" s="902" t="s">
        <v>739</v>
      </c>
      <c r="G117" s="902" t="s">
        <v>2193</v>
      </c>
      <c r="H117" s="902" t="s">
        <v>2485</v>
      </c>
      <c r="I117" s="903" t="s">
        <v>2094</v>
      </c>
      <c r="J117" s="904">
        <v>250</v>
      </c>
      <c r="K117" s="905">
        <v>-43.33</v>
      </c>
      <c r="L117" s="904">
        <v>206.67</v>
      </c>
      <c r="M117" s="904">
        <v>206.67</v>
      </c>
      <c r="N117" s="904">
        <v>206.67</v>
      </c>
      <c r="O117" s="904">
        <v>206.67</v>
      </c>
      <c r="P117" s="904">
        <v>206.67</v>
      </c>
    </row>
    <row r="118" spans="1:16">
      <c r="A118" s="901" t="s">
        <v>2186</v>
      </c>
      <c r="B118" s="902" t="s">
        <v>2187</v>
      </c>
      <c r="C118" s="902" t="s">
        <v>2267</v>
      </c>
      <c r="D118" s="902">
        <v>1</v>
      </c>
      <c r="E118" s="902" t="s">
        <v>2268</v>
      </c>
      <c r="F118" s="902" t="s">
        <v>739</v>
      </c>
      <c r="G118" s="902" t="s">
        <v>2194</v>
      </c>
      <c r="H118" s="902" t="s">
        <v>2486</v>
      </c>
      <c r="I118" s="903" t="s">
        <v>2095</v>
      </c>
      <c r="J118" s="904">
        <v>21636.400000000001</v>
      </c>
      <c r="K118" s="905">
        <v>2253.4499999999998</v>
      </c>
      <c r="L118" s="904">
        <v>23889.85</v>
      </c>
      <c r="M118" s="904">
        <v>23889.85</v>
      </c>
      <c r="N118" s="904">
        <v>23889.85</v>
      </c>
      <c r="O118" s="904">
        <v>23889.85</v>
      </c>
      <c r="P118" s="904">
        <v>23889.85</v>
      </c>
    </row>
    <row r="119" spans="1:16">
      <c r="A119" s="901" t="s">
        <v>2186</v>
      </c>
      <c r="B119" s="902" t="s">
        <v>2187</v>
      </c>
      <c r="C119" s="902" t="s">
        <v>2267</v>
      </c>
      <c r="D119" s="902">
        <v>1</v>
      </c>
      <c r="E119" s="902" t="s">
        <v>2268</v>
      </c>
      <c r="F119" s="902" t="s">
        <v>739</v>
      </c>
      <c r="G119" s="902" t="s">
        <v>2195</v>
      </c>
      <c r="H119" s="902" t="s">
        <v>2487</v>
      </c>
      <c r="I119" s="903" t="s">
        <v>2096</v>
      </c>
      <c r="J119" s="904">
        <v>97358.12</v>
      </c>
      <c r="K119" s="905">
        <v>10127.91</v>
      </c>
      <c r="L119" s="904">
        <v>107486.03</v>
      </c>
      <c r="M119" s="904">
        <v>107486.03</v>
      </c>
      <c r="N119" s="904">
        <v>107486.03</v>
      </c>
      <c r="O119" s="904">
        <v>107486.03</v>
      </c>
      <c r="P119" s="904">
        <v>107486.03</v>
      </c>
    </row>
    <row r="120" spans="1:16">
      <c r="A120" s="901" t="s">
        <v>2186</v>
      </c>
      <c r="B120" s="902" t="s">
        <v>2187</v>
      </c>
      <c r="C120" s="902" t="s">
        <v>2267</v>
      </c>
      <c r="D120" s="902">
        <v>1</v>
      </c>
      <c r="E120" s="902" t="s">
        <v>2268</v>
      </c>
      <c r="F120" s="902" t="s">
        <v>739</v>
      </c>
      <c r="G120" s="902" t="s">
        <v>2196</v>
      </c>
      <c r="H120" s="902" t="s">
        <v>2488</v>
      </c>
      <c r="I120" s="903" t="s">
        <v>2097</v>
      </c>
      <c r="J120" s="904">
        <v>64308.480000000003</v>
      </c>
      <c r="K120" s="905">
        <v>2805.8900000000003</v>
      </c>
      <c r="L120" s="904">
        <v>67114.37</v>
      </c>
      <c r="M120" s="904">
        <v>67114.37</v>
      </c>
      <c r="N120" s="904">
        <v>67114.37</v>
      </c>
      <c r="O120" s="904">
        <v>67114.37</v>
      </c>
      <c r="P120" s="904">
        <v>67114.37</v>
      </c>
    </row>
    <row r="121" spans="1:16">
      <c r="A121" s="901" t="s">
        <v>2186</v>
      </c>
      <c r="B121" s="902" t="s">
        <v>2187</v>
      </c>
      <c r="C121" s="902" t="s">
        <v>2267</v>
      </c>
      <c r="D121" s="902">
        <v>1</v>
      </c>
      <c r="E121" s="902" t="s">
        <v>2268</v>
      </c>
      <c r="F121" s="902" t="s">
        <v>739</v>
      </c>
      <c r="G121" s="902" t="s">
        <v>2197</v>
      </c>
      <c r="H121" s="902" t="s">
        <v>2489</v>
      </c>
      <c r="I121" s="903" t="s">
        <v>2098</v>
      </c>
      <c r="J121" s="904">
        <v>27276</v>
      </c>
      <c r="K121" s="905">
        <v>-6028.4000000000015</v>
      </c>
      <c r="L121" s="904">
        <v>21247.599999999999</v>
      </c>
      <c r="M121" s="904">
        <v>21247.599999999999</v>
      </c>
      <c r="N121" s="904">
        <v>21247.599999999999</v>
      </c>
      <c r="O121" s="904">
        <v>21247.599999999999</v>
      </c>
      <c r="P121" s="904">
        <v>21247.599999999999</v>
      </c>
    </row>
    <row r="122" spans="1:16">
      <c r="A122" s="901" t="s">
        <v>2186</v>
      </c>
      <c r="B122" s="902" t="s">
        <v>2187</v>
      </c>
      <c r="C122" s="902" t="s">
        <v>2267</v>
      </c>
      <c r="D122" s="902">
        <v>1</v>
      </c>
      <c r="E122" s="902" t="s">
        <v>2268</v>
      </c>
      <c r="F122" s="902" t="s">
        <v>739</v>
      </c>
      <c r="G122" s="902" t="s">
        <v>2198</v>
      </c>
      <c r="H122" s="902" t="s">
        <v>2490</v>
      </c>
      <c r="I122" s="903" t="s">
        <v>2099</v>
      </c>
      <c r="J122" s="904">
        <v>10300</v>
      </c>
      <c r="K122" s="905">
        <v>-10300</v>
      </c>
      <c r="L122" s="904">
        <v>0</v>
      </c>
      <c r="M122" s="904">
        <v>0</v>
      </c>
      <c r="N122" s="904">
        <v>0</v>
      </c>
      <c r="O122" s="904">
        <v>0</v>
      </c>
      <c r="P122" s="904">
        <v>0</v>
      </c>
    </row>
    <row r="123" spans="1:16">
      <c r="A123" s="901" t="s">
        <v>2186</v>
      </c>
      <c r="B123" s="902" t="s">
        <v>2187</v>
      </c>
      <c r="C123" s="902" t="s">
        <v>2267</v>
      </c>
      <c r="D123" s="902">
        <v>1</v>
      </c>
      <c r="E123" s="902" t="s">
        <v>2268</v>
      </c>
      <c r="F123" s="902" t="s">
        <v>739</v>
      </c>
      <c r="G123" s="902" t="s">
        <v>2200</v>
      </c>
      <c r="H123" s="902" t="s">
        <v>2491</v>
      </c>
      <c r="I123" s="903" t="s">
        <v>2101</v>
      </c>
      <c r="J123" s="904">
        <v>242479.2</v>
      </c>
      <c r="K123" s="905">
        <v>32162.33</v>
      </c>
      <c r="L123" s="904">
        <v>274641.53000000003</v>
      </c>
      <c r="M123" s="904">
        <v>274641.53000000003</v>
      </c>
      <c r="N123" s="904">
        <v>274641.53000000003</v>
      </c>
      <c r="O123" s="904">
        <v>274641.53000000003</v>
      </c>
      <c r="P123" s="904">
        <v>274641.53000000003</v>
      </c>
    </row>
    <row r="124" spans="1:16">
      <c r="A124" s="901" t="s">
        <v>2186</v>
      </c>
      <c r="B124" s="902" t="s">
        <v>2187</v>
      </c>
      <c r="C124" s="902" t="s">
        <v>2267</v>
      </c>
      <c r="D124" s="902">
        <v>1</v>
      </c>
      <c r="E124" s="902" t="s">
        <v>2268</v>
      </c>
      <c r="F124" s="902" t="s">
        <v>739</v>
      </c>
      <c r="G124" s="902" t="s">
        <v>2201</v>
      </c>
      <c r="H124" s="902" t="s">
        <v>2492</v>
      </c>
      <c r="I124" s="903" t="s">
        <v>2102</v>
      </c>
      <c r="J124" s="904">
        <v>256535.76</v>
      </c>
      <c r="K124" s="905">
        <v>23825.620000000003</v>
      </c>
      <c r="L124" s="904">
        <v>280361.38</v>
      </c>
      <c r="M124" s="904">
        <v>280361.38</v>
      </c>
      <c r="N124" s="904">
        <v>280361.38</v>
      </c>
      <c r="O124" s="904">
        <v>280361.38</v>
      </c>
      <c r="P124" s="904">
        <v>280361.38</v>
      </c>
    </row>
    <row r="125" spans="1:16">
      <c r="A125" s="901" t="s">
        <v>2186</v>
      </c>
      <c r="B125" s="902" t="s">
        <v>2187</v>
      </c>
      <c r="C125" s="902" t="s">
        <v>2267</v>
      </c>
      <c r="D125" s="902">
        <v>1</v>
      </c>
      <c r="E125" s="902" t="s">
        <v>2268</v>
      </c>
      <c r="F125" s="902" t="s">
        <v>739</v>
      </c>
      <c r="G125" s="902" t="s">
        <v>2203</v>
      </c>
      <c r="H125" s="902" t="s">
        <v>2493</v>
      </c>
      <c r="I125" s="906" t="s">
        <v>2104</v>
      </c>
      <c r="J125" s="900">
        <v>88278.18</v>
      </c>
      <c r="K125" s="907">
        <v>-88278.18</v>
      </c>
      <c r="L125" s="900">
        <v>0</v>
      </c>
      <c r="M125" s="900">
        <v>0</v>
      </c>
      <c r="N125" s="900">
        <v>0</v>
      </c>
      <c r="O125" s="900">
        <v>0</v>
      </c>
      <c r="P125" s="900">
        <v>0</v>
      </c>
    </row>
    <row r="126" spans="1:16">
      <c r="A126" s="901" t="s">
        <v>2186</v>
      </c>
      <c r="B126" s="902" t="s">
        <v>2187</v>
      </c>
      <c r="C126" s="902" t="s">
        <v>2267</v>
      </c>
      <c r="D126" s="902">
        <v>1</v>
      </c>
      <c r="E126" s="902" t="s">
        <v>2268</v>
      </c>
      <c r="F126" s="902" t="s">
        <v>739</v>
      </c>
      <c r="G126" s="902" t="s">
        <v>2204</v>
      </c>
      <c r="H126" s="902" t="s">
        <v>2494</v>
      </c>
      <c r="I126" s="906" t="s">
        <v>2105</v>
      </c>
      <c r="J126" s="900">
        <v>23760.51</v>
      </c>
      <c r="K126" s="907">
        <v>6031.9400000000023</v>
      </c>
      <c r="L126" s="900">
        <v>29792.45</v>
      </c>
      <c r="M126" s="900">
        <v>29792.45</v>
      </c>
      <c r="N126" s="900">
        <v>29792.45</v>
      </c>
      <c r="O126" s="900">
        <v>29792.45</v>
      </c>
      <c r="P126" s="900">
        <v>29792.45</v>
      </c>
    </row>
    <row r="127" spans="1:16">
      <c r="A127" s="901" t="s">
        <v>2186</v>
      </c>
      <c r="B127" s="902" t="s">
        <v>2187</v>
      </c>
      <c r="C127" s="902" t="s">
        <v>2267</v>
      </c>
      <c r="D127" s="902">
        <v>1</v>
      </c>
      <c r="E127" s="902" t="s">
        <v>2268</v>
      </c>
      <c r="F127" s="902" t="s">
        <v>739</v>
      </c>
      <c r="G127" s="902" t="s">
        <v>2205</v>
      </c>
      <c r="H127" s="902" t="s">
        <v>2495</v>
      </c>
      <c r="I127" s="906" t="s">
        <v>2106</v>
      </c>
      <c r="J127" s="900">
        <v>875.94</v>
      </c>
      <c r="K127" s="907">
        <v>-875.94</v>
      </c>
      <c r="L127" s="900">
        <v>0</v>
      </c>
      <c r="M127" s="900">
        <v>0</v>
      </c>
      <c r="N127" s="900">
        <v>0</v>
      </c>
      <c r="O127" s="900">
        <v>0</v>
      </c>
      <c r="P127" s="900">
        <v>0</v>
      </c>
    </row>
    <row r="128" spans="1:16">
      <c r="A128" s="901" t="s">
        <v>2186</v>
      </c>
      <c r="B128" s="902" t="s">
        <v>2187</v>
      </c>
      <c r="C128" s="902" t="s">
        <v>2267</v>
      </c>
      <c r="D128" s="902">
        <v>1</v>
      </c>
      <c r="E128" s="902" t="s">
        <v>2268</v>
      </c>
      <c r="F128" s="902" t="s">
        <v>739</v>
      </c>
      <c r="G128" s="902" t="s">
        <v>2206</v>
      </c>
      <c r="H128" s="902" t="s">
        <v>2590</v>
      </c>
      <c r="I128" s="906" t="s">
        <v>2108</v>
      </c>
      <c r="J128" s="900">
        <v>0</v>
      </c>
      <c r="K128" s="907">
        <v>3235</v>
      </c>
      <c r="L128" s="900">
        <v>3235</v>
      </c>
      <c r="M128" s="900">
        <v>3235</v>
      </c>
      <c r="N128" s="900">
        <v>3235</v>
      </c>
      <c r="O128" s="900">
        <v>3235</v>
      </c>
      <c r="P128" s="900">
        <v>3235</v>
      </c>
    </row>
    <row r="129" spans="1:16">
      <c r="A129" s="901" t="s">
        <v>2186</v>
      </c>
      <c r="B129" s="902" t="s">
        <v>2187</v>
      </c>
      <c r="C129" s="902" t="s">
        <v>2267</v>
      </c>
      <c r="D129" s="902">
        <v>1</v>
      </c>
      <c r="E129" s="902" t="s">
        <v>2268</v>
      </c>
      <c r="F129" s="902" t="s">
        <v>739</v>
      </c>
      <c r="G129" s="902" t="s">
        <v>2984</v>
      </c>
      <c r="H129" s="902" t="s">
        <v>2989</v>
      </c>
      <c r="I129" s="906" t="s">
        <v>2982</v>
      </c>
      <c r="J129" s="900">
        <v>0</v>
      </c>
      <c r="K129" s="907">
        <v>0</v>
      </c>
      <c r="L129" s="900">
        <v>0</v>
      </c>
      <c r="M129" s="900">
        <v>0</v>
      </c>
      <c r="N129" s="900">
        <v>0</v>
      </c>
      <c r="O129" s="900">
        <v>0</v>
      </c>
      <c r="P129" s="900">
        <v>0</v>
      </c>
    </row>
    <row r="130" spans="1:16">
      <c r="A130" s="901" t="s">
        <v>2186</v>
      </c>
      <c r="B130" s="902" t="s">
        <v>2187</v>
      </c>
      <c r="C130" s="902" t="s">
        <v>2267</v>
      </c>
      <c r="D130" s="902">
        <v>1</v>
      </c>
      <c r="E130" s="902" t="s">
        <v>2268</v>
      </c>
      <c r="F130" s="902" t="s">
        <v>739</v>
      </c>
      <c r="G130" s="902" t="s">
        <v>2216</v>
      </c>
      <c r="H130" s="902" t="s">
        <v>2496</v>
      </c>
      <c r="I130" s="906" t="s">
        <v>2118</v>
      </c>
      <c r="J130" s="900">
        <v>31263.87</v>
      </c>
      <c r="K130" s="907">
        <v>-5774.6900000000023</v>
      </c>
      <c r="L130" s="900">
        <v>25489.18</v>
      </c>
      <c r="M130" s="900">
        <v>25489.18</v>
      </c>
      <c r="N130" s="900">
        <v>25489.18</v>
      </c>
      <c r="O130" s="900">
        <v>25489.18</v>
      </c>
      <c r="P130" s="900">
        <v>25489.18</v>
      </c>
    </row>
    <row r="131" spans="1:16">
      <c r="A131" s="901" t="s">
        <v>2186</v>
      </c>
      <c r="B131" s="902" t="s">
        <v>2187</v>
      </c>
      <c r="C131" s="902" t="s">
        <v>2267</v>
      </c>
      <c r="D131" s="902">
        <v>1</v>
      </c>
      <c r="E131" s="902" t="s">
        <v>2268</v>
      </c>
      <c r="F131" s="902" t="s">
        <v>739</v>
      </c>
      <c r="G131" s="902" t="s">
        <v>2234</v>
      </c>
      <c r="H131" s="902" t="s">
        <v>2497</v>
      </c>
      <c r="I131" s="906" t="s">
        <v>2136</v>
      </c>
      <c r="J131" s="900">
        <v>97850</v>
      </c>
      <c r="K131" s="907">
        <v>-86434.880000000005</v>
      </c>
      <c r="L131" s="900">
        <v>11415.12</v>
      </c>
      <c r="M131" s="900">
        <v>11415.12</v>
      </c>
      <c r="N131" s="900">
        <v>11415.12</v>
      </c>
      <c r="O131" s="900">
        <v>11415.12</v>
      </c>
      <c r="P131" s="900">
        <v>11415.12</v>
      </c>
    </row>
    <row r="132" spans="1:16">
      <c r="A132" s="901" t="s">
        <v>2186</v>
      </c>
      <c r="B132" s="902" t="s">
        <v>2187</v>
      </c>
      <c r="C132" s="902" t="s">
        <v>2267</v>
      </c>
      <c r="D132" s="902">
        <v>1</v>
      </c>
      <c r="E132" s="902" t="s">
        <v>2268</v>
      </c>
      <c r="F132" s="902" t="s">
        <v>739</v>
      </c>
      <c r="G132" s="902" t="s">
        <v>2245</v>
      </c>
      <c r="H132" s="902" t="s">
        <v>2498</v>
      </c>
      <c r="I132" s="906" t="s">
        <v>2147</v>
      </c>
      <c r="J132" s="900">
        <v>15938.21</v>
      </c>
      <c r="K132" s="907">
        <v>-7362.8899999999994</v>
      </c>
      <c r="L132" s="900">
        <v>8575.32</v>
      </c>
      <c r="M132" s="900">
        <v>8575.32</v>
      </c>
      <c r="N132" s="900">
        <v>8575.32</v>
      </c>
      <c r="O132" s="900">
        <v>8575.32</v>
      </c>
      <c r="P132" s="900">
        <v>8575.32</v>
      </c>
    </row>
    <row r="133" spans="1:16">
      <c r="A133" s="901" t="s">
        <v>2186</v>
      </c>
      <c r="B133" s="902" t="s">
        <v>2187</v>
      </c>
      <c r="C133" s="902" t="s">
        <v>2267</v>
      </c>
      <c r="D133" s="902">
        <v>1</v>
      </c>
      <c r="E133" s="902" t="s">
        <v>2268</v>
      </c>
      <c r="F133" s="902" t="s">
        <v>739</v>
      </c>
      <c r="G133" s="902" t="s">
        <v>755</v>
      </c>
      <c r="H133" s="902" t="s">
        <v>2499</v>
      </c>
      <c r="I133" s="906" t="s">
        <v>2150</v>
      </c>
      <c r="J133" s="900">
        <v>33578</v>
      </c>
      <c r="K133" s="907">
        <v>-31535.239999999998</v>
      </c>
      <c r="L133" s="900">
        <v>2042.76</v>
      </c>
      <c r="M133" s="900">
        <v>2042.76</v>
      </c>
      <c r="N133" s="900">
        <v>2042.76</v>
      </c>
      <c r="O133" s="900">
        <v>2042.76</v>
      </c>
      <c r="P133" s="900">
        <v>2042.76</v>
      </c>
    </row>
    <row r="134" spans="1:16">
      <c r="A134" s="901" t="s">
        <v>2186</v>
      </c>
      <c r="B134" s="902" t="s">
        <v>2187</v>
      </c>
      <c r="C134" s="902" t="s">
        <v>2267</v>
      </c>
      <c r="D134" s="902">
        <v>1</v>
      </c>
      <c r="E134" s="902" t="s">
        <v>2268</v>
      </c>
      <c r="F134" s="902" t="s">
        <v>739</v>
      </c>
      <c r="G134" s="902" t="s">
        <v>2251</v>
      </c>
      <c r="H134" s="902" t="s">
        <v>2500</v>
      </c>
      <c r="I134" s="906" t="s">
        <v>2155</v>
      </c>
      <c r="J134" s="900">
        <v>6180</v>
      </c>
      <c r="K134" s="907">
        <v>-6180</v>
      </c>
      <c r="L134" s="900">
        <v>0</v>
      </c>
      <c r="M134" s="900">
        <v>0</v>
      </c>
      <c r="N134" s="900">
        <v>0</v>
      </c>
      <c r="O134" s="900">
        <v>0</v>
      </c>
      <c r="P134" s="900">
        <v>0</v>
      </c>
    </row>
    <row r="135" spans="1:16">
      <c r="A135" s="901" t="s">
        <v>2186</v>
      </c>
      <c r="B135" s="902" t="s">
        <v>2187</v>
      </c>
      <c r="C135" s="902" t="s">
        <v>2267</v>
      </c>
      <c r="D135" s="902">
        <v>1</v>
      </c>
      <c r="E135" s="902" t="s">
        <v>2268</v>
      </c>
      <c r="F135" s="902" t="s">
        <v>739</v>
      </c>
      <c r="G135" s="902" t="s">
        <v>2252</v>
      </c>
      <c r="H135" s="902" t="s">
        <v>2501</v>
      </c>
      <c r="I135" s="906" t="s">
        <v>2156</v>
      </c>
      <c r="J135" s="900">
        <v>1030</v>
      </c>
      <c r="K135" s="907">
        <v>-755</v>
      </c>
      <c r="L135" s="900">
        <v>275</v>
      </c>
      <c r="M135" s="900">
        <v>275</v>
      </c>
      <c r="N135" s="900">
        <v>275</v>
      </c>
      <c r="O135" s="900">
        <v>275</v>
      </c>
      <c r="P135" s="900">
        <v>275</v>
      </c>
    </row>
    <row r="136" spans="1:16">
      <c r="A136" s="901" t="s">
        <v>2186</v>
      </c>
      <c r="B136" s="902" t="s">
        <v>2187</v>
      </c>
      <c r="C136" s="902" t="s">
        <v>2267</v>
      </c>
      <c r="D136" s="902">
        <v>1</v>
      </c>
      <c r="E136" s="902" t="s">
        <v>2268</v>
      </c>
      <c r="F136" s="902" t="s">
        <v>739</v>
      </c>
      <c r="G136" s="902" t="s">
        <v>2253</v>
      </c>
      <c r="H136" s="902" t="s">
        <v>2502</v>
      </c>
      <c r="I136" s="906" t="s">
        <v>2157</v>
      </c>
      <c r="J136" s="900">
        <v>2060</v>
      </c>
      <c r="K136" s="907">
        <v>-870.98999999999978</v>
      </c>
      <c r="L136" s="900">
        <v>1189.01</v>
      </c>
      <c r="M136" s="900">
        <v>1189.01</v>
      </c>
      <c r="N136" s="900">
        <v>1189.01</v>
      </c>
      <c r="O136" s="900">
        <v>1189.01</v>
      </c>
      <c r="P136" s="900">
        <v>1189.01</v>
      </c>
    </row>
    <row r="137" spans="1:16">
      <c r="A137" s="901" t="s">
        <v>2186</v>
      </c>
      <c r="B137" s="902" t="s">
        <v>2187</v>
      </c>
      <c r="C137" s="902" t="s">
        <v>2267</v>
      </c>
      <c r="D137" s="902">
        <v>1</v>
      </c>
      <c r="E137" s="902" t="s">
        <v>2268</v>
      </c>
      <c r="F137" s="902" t="s">
        <v>739</v>
      </c>
      <c r="G137" s="902" t="s">
        <v>2254</v>
      </c>
      <c r="H137" s="902" t="s">
        <v>2503</v>
      </c>
      <c r="I137" s="906" t="s">
        <v>2158</v>
      </c>
      <c r="J137" s="900">
        <v>41715</v>
      </c>
      <c r="K137" s="907">
        <v>-29881.449999999997</v>
      </c>
      <c r="L137" s="900">
        <v>11833.55</v>
      </c>
      <c r="M137" s="900">
        <v>11833.55</v>
      </c>
      <c r="N137" s="900">
        <v>11833.55</v>
      </c>
      <c r="O137" s="900">
        <v>11833.55</v>
      </c>
      <c r="P137" s="900">
        <v>11833.55</v>
      </c>
    </row>
    <row r="138" spans="1:16">
      <c r="A138" s="901" t="s">
        <v>2186</v>
      </c>
      <c r="B138" s="902" t="s">
        <v>2187</v>
      </c>
      <c r="C138" s="902" t="s">
        <v>2267</v>
      </c>
      <c r="D138" s="902">
        <v>1</v>
      </c>
      <c r="E138" s="902" t="s">
        <v>2268</v>
      </c>
      <c r="F138" s="902" t="s">
        <v>739</v>
      </c>
      <c r="G138" s="902" t="s">
        <v>2258</v>
      </c>
      <c r="H138" s="902" t="s">
        <v>2504</v>
      </c>
      <c r="I138" s="906" t="s">
        <v>2162</v>
      </c>
      <c r="J138" s="900">
        <v>21793.33</v>
      </c>
      <c r="K138" s="907">
        <v>1625.7700000000004</v>
      </c>
      <c r="L138" s="900">
        <v>23419.1</v>
      </c>
      <c r="M138" s="900">
        <v>23419.1</v>
      </c>
      <c r="N138" s="900">
        <v>23419.1</v>
      </c>
      <c r="O138" s="900">
        <v>23419.1</v>
      </c>
      <c r="P138" s="900">
        <v>23419.1</v>
      </c>
    </row>
    <row r="139" spans="1:16">
      <c r="A139" s="901" t="s">
        <v>2186</v>
      </c>
      <c r="B139" s="902" t="s">
        <v>2187</v>
      </c>
      <c r="C139" s="902" t="s">
        <v>2267</v>
      </c>
      <c r="D139" s="902">
        <v>1</v>
      </c>
      <c r="E139" s="902" t="s">
        <v>2268</v>
      </c>
      <c r="F139" s="902" t="s">
        <v>754</v>
      </c>
      <c r="G139" s="902" t="s">
        <v>2260</v>
      </c>
      <c r="H139" s="902" t="s">
        <v>2505</v>
      </c>
      <c r="I139" s="906" t="s">
        <v>2164</v>
      </c>
      <c r="J139" s="900">
        <v>16222.5</v>
      </c>
      <c r="K139" s="907">
        <v>-16222.5</v>
      </c>
      <c r="L139" s="900">
        <v>0</v>
      </c>
      <c r="M139" s="900">
        <v>0</v>
      </c>
      <c r="N139" s="900">
        <v>0</v>
      </c>
      <c r="O139" s="900">
        <v>0</v>
      </c>
      <c r="P139" s="900">
        <v>0</v>
      </c>
    </row>
    <row r="140" spans="1:16">
      <c r="A140" s="901" t="s">
        <v>2186</v>
      </c>
      <c r="B140" s="902" t="s">
        <v>2187</v>
      </c>
      <c r="C140" s="902" t="s">
        <v>2269</v>
      </c>
      <c r="D140" s="902">
        <v>1</v>
      </c>
      <c r="E140" s="902" t="s">
        <v>2270</v>
      </c>
      <c r="F140" s="902" t="s">
        <v>754</v>
      </c>
      <c r="G140" s="902" t="s">
        <v>2262</v>
      </c>
      <c r="H140" s="902" t="s">
        <v>2541</v>
      </c>
      <c r="I140" s="906" t="s">
        <v>2166</v>
      </c>
      <c r="J140" s="900">
        <v>0</v>
      </c>
      <c r="K140" s="907">
        <v>255000</v>
      </c>
      <c r="L140" s="900">
        <v>255000</v>
      </c>
      <c r="M140" s="900">
        <v>255000</v>
      </c>
      <c r="N140" s="900">
        <v>255000</v>
      </c>
      <c r="O140" s="900">
        <v>255000</v>
      </c>
      <c r="P140" s="900">
        <v>255000</v>
      </c>
    </row>
    <row r="141" spans="1:16">
      <c r="A141" s="901" t="s">
        <v>2186</v>
      </c>
      <c r="B141" s="902" t="s">
        <v>2187</v>
      </c>
      <c r="C141" s="902" t="s">
        <v>2269</v>
      </c>
      <c r="D141" s="902">
        <v>1</v>
      </c>
      <c r="E141" s="902" t="s">
        <v>2270</v>
      </c>
      <c r="F141" s="902" t="s">
        <v>739</v>
      </c>
      <c r="G141" s="902" t="s">
        <v>2191</v>
      </c>
      <c r="H141" s="902" t="s">
        <v>2506</v>
      </c>
      <c r="I141" s="906" t="s">
        <v>2092</v>
      </c>
      <c r="J141" s="900">
        <v>9538604.8100000005</v>
      </c>
      <c r="K141" s="907">
        <v>1244724.4400000002</v>
      </c>
      <c r="L141" s="900">
        <v>10783329.25</v>
      </c>
      <c r="M141" s="900">
        <v>10783329.25</v>
      </c>
      <c r="N141" s="900">
        <v>10783329.25</v>
      </c>
      <c r="O141" s="900">
        <v>10783329.25</v>
      </c>
      <c r="P141" s="900">
        <v>10783329.25</v>
      </c>
    </row>
    <row r="142" spans="1:16">
      <c r="A142" s="901" t="s">
        <v>2186</v>
      </c>
      <c r="B142" s="902" t="s">
        <v>2187</v>
      </c>
      <c r="C142" s="902" t="s">
        <v>2269</v>
      </c>
      <c r="D142" s="902">
        <v>1</v>
      </c>
      <c r="E142" s="902" t="s">
        <v>2270</v>
      </c>
      <c r="F142" s="902" t="s">
        <v>739</v>
      </c>
      <c r="G142" s="902" t="s">
        <v>2271</v>
      </c>
      <c r="H142" s="902" t="s">
        <v>2507</v>
      </c>
      <c r="I142" s="906" t="s">
        <v>2178</v>
      </c>
      <c r="J142" s="900">
        <v>20000</v>
      </c>
      <c r="K142" s="907">
        <v>-20000</v>
      </c>
      <c r="L142" s="900">
        <v>0</v>
      </c>
      <c r="M142" s="900">
        <v>0</v>
      </c>
      <c r="N142" s="900">
        <v>0</v>
      </c>
      <c r="O142" s="900">
        <v>0</v>
      </c>
      <c r="P142" s="900">
        <v>0</v>
      </c>
    </row>
    <row r="143" spans="1:16">
      <c r="A143" s="901" t="s">
        <v>2186</v>
      </c>
      <c r="B143" s="902" t="s">
        <v>2187</v>
      </c>
      <c r="C143" s="902" t="s">
        <v>2269</v>
      </c>
      <c r="D143" s="902">
        <v>1</v>
      </c>
      <c r="E143" s="902" t="s">
        <v>2270</v>
      </c>
      <c r="F143" s="902" t="s">
        <v>739</v>
      </c>
      <c r="G143" s="902" t="s">
        <v>2192</v>
      </c>
      <c r="H143" s="902" t="s">
        <v>2508</v>
      </c>
      <c r="I143" s="906" t="s">
        <v>2093</v>
      </c>
      <c r="J143" s="900">
        <v>1355117.17</v>
      </c>
      <c r="K143" s="907">
        <v>91599.790000000037</v>
      </c>
      <c r="L143" s="900">
        <v>1446716.96</v>
      </c>
      <c r="M143" s="900">
        <v>1446716.96</v>
      </c>
      <c r="N143" s="900">
        <v>1446716.96</v>
      </c>
      <c r="O143" s="900">
        <v>1446716.96</v>
      </c>
      <c r="P143" s="900">
        <v>1446716.96</v>
      </c>
    </row>
    <row r="144" spans="1:16">
      <c r="A144" s="901" t="s">
        <v>2186</v>
      </c>
      <c r="B144" s="902" t="s">
        <v>2187</v>
      </c>
      <c r="C144" s="902" t="s">
        <v>2269</v>
      </c>
      <c r="D144" s="902">
        <v>1</v>
      </c>
      <c r="E144" s="902" t="s">
        <v>2270</v>
      </c>
      <c r="F144" s="902" t="s">
        <v>739</v>
      </c>
      <c r="G144" s="902" t="s">
        <v>2193</v>
      </c>
      <c r="H144" s="902" t="s">
        <v>2509</v>
      </c>
      <c r="I144" s="906" t="s">
        <v>2094</v>
      </c>
      <c r="J144" s="900">
        <v>17995</v>
      </c>
      <c r="K144" s="907">
        <v>250.86999999999989</v>
      </c>
      <c r="L144" s="900">
        <v>18245.87</v>
      </c>
      <c r="M144" s="900">
        <v>18245.87</v>
      </c>
      <c r="N144" s="900">
        <v>18245.87</v>
      </c>
      <c r="O144" s="900">
        <v>18245.87</v>
      </c>
      <c r="P144" s="900">
        <v>18245.87</v>
      </c>
    </row>
    <row r="145" spans="1:16">
      <c r="A145" s="901" t="s">
        <v>2186</v>
      </c>
      <c r="B145" s="902" t="s">
        <v>2187</v>
      </c>
      <c r="C145" s="902" t="s">
        <v>2269</v>
      </c>
      <c r="D145" s="902">
        <v>1</v>
      </c>
      <c r="E145" s="902" t="s">
        <v>2270</v>
      </c>
      <c r="F145" s="902" t="s">
        <v>739</v>
      </c>
      <c r="G145" s="902" t="s">
        <v>2194</v>
      </c>
      <c r="H145" s="902" t="s">
        <v>2510</v>
      </c>
      <c r="I145" s="906" t="s">
        <v>2095</v>
      </c>
      <c r="J145" s="900">
        <v>824812</v>
      </c>
      <c r="K145" s="907">
        <v>158478.33000000007</v>
      </c>
      <c r="L145" s="900">
        <v>983290.33</v>
      </c>
      <c r="M145" s="900">
        <v>983290.33</v>
      </c>
      <c r="N145" s="900">
        <v>983290.33</v>
      </c>
      <c r="O145" s="900">
        <v>983290.33</v>
      </c>
      <c r="P145" s="900">
        <v>983290.33</v>
      </c>
    </row>
    <row r="146" spans="1:16">
      <c r="A146" s="901" t="s">
        <v>2186</v>
      </c>
      <c r="B146" s="902" t="s">
        <v>2187</v>
      </c>
      <c r="C146" s="902" t="s">
        <v>2269</v>
      </c>
      <c r="D146" s="902">
        <v>1</v>
      </c>
      <c r="E146" s="902" t="s">
        <v>2270</v>
      </c>
      <c r="F146" s="902" t="s">
        <v>739</v>
      </c>
      <c r="G146" s="902" t="s">
        <v>2195</v>
      </c>
      <c r="H146" s="902" t="s">
        <v>2511</v>
      </c>
      <c r="I146" s="906" t="s">
        <v>2096</v>
      </c>
      <c r="J146" s="900">
        <v>3711442.5</v>
      </c>
      <c r="K146" s="907">
        <v>588286.18999999994</v>
      </c>
      <c r="L146" s="900">
        <v>4299728.6900000004</v>
      </c>
      <c r="M146" s="900">
        <v>4299728.6900000004</v>
      </c>
      <c r="N146" s="900">
        <v>4299728.6900000004</v>
      </c>
      <c r="O146" s="900">
        <v>4299728.6900000004</v>
      </c>
      <c r="P146" s="900">
        <v>4299728.6900000004</v>
      </c>
    </row>
    <row r="147" spans="1:16">
      <c r="A147" s="901" t="s">
        <v>2186</v>
      </c>
      <c r="B147" s="902" t="s">
        <v>2187</v>
      </c>
      <c r="C147" s="902" t="s">
        <v>2269</v>
      </c>
      <c r="D147" s="902">
        <v>1</v>
      </c>
      <c r="E147" s="902" t="s">
        <v>2270</v>
      </c>
      <c r="F147" s="902" t="s">
        <v>739</v>
      </c>
      <c r="G147" s="902" t="s">
        <v>2591</v>
      </c>
      <c r="H147" s="902" t="s">
        <v>2592</v>
      </c>
      <c r="I147" s="906" t="s">
        <v>2584</v>
      </c>
      <c r="J147" s="900">
        <v>0</v>
      </c>
      <c r="K147" s="907">
        <v>0</v>
      </c>
      <c r="L147" s="900">
        <v>0</v>
      </c>
      <c r="M147" s="900">
        <v>0</v>
      </c>
      <c r="N147" s="900">
        <v>0</v>
      </c>
      <c r="O147" s="900">
        <v>0</v>
      </c>
      <c r="P147" s="900">
        <v>0</v>
      </c>
    </row>
    <row r="148" spans="1:16">
      <c r="A148" s="901" t="s">
        <v>2186</v>
      </c>
      <c r="B148" s="902" t="s">
        <v>2187</v>
      </c>
      <c r="C148" s="902" t="s">
        <v>2269</v>
      </c>
      <c r="D148" s="902">
        <v>1</v>
      </c>
      <c r="E148" s="902" t="s">
        <v>2270</v>
      </c>
      <c r="F148" s="902" t="s">
        <v>739</v>
      </c>
      <c r="G148" s="902" t="s">
        <v>2272</v>
      </c>
      <c r="H148" s="902" t="s">
        <v>2512</v>
      </c>
      <c r="I148" s="906" t="s">
        <v>2179</v>
      </c>
      <c r="J148" s="900">
        <v>59479.09</v>
      </c>
      <c r="K148" s="907">
        <v>123892.08</v>
      </c>
      <c r="L148" s="900">
        <v>183371.17</v>
      </c>
      <c r="M148" s="900">
        <v>183371.17</v>
      </c>
      <c r="N148" s="900">
        <v>183371.17</v>
      </c>
      <c r="O148" s="900">
        <v>183371.17</v>
      </c>
      <c r="P148" s="900">
        <v>183371.17</v>
      </c>
    </row>
    <row r="149" spans="1:16">
      <c r="A149" s="901" t="s">
        <v>2186</v>
      </c>
      <c r="B149" s="902" t="s">
        <v>2187</v>
      </c>
      <c r="C149" s="902" t="s">
        <v>2269</v>
      </c>
      <c r="D149" s="902">
        <v>1</v>
      </c>
      <c r="E149" s="902" t="s">
        <v>2270</v>
      </c>
      <c r="F149" s="902" t="s">
        <v>739</v>
      </c>
      <c r="G149" s="902" t="s">
        <v>2196</v>
      </c>
      <c r="H149" s="902" t="s">
        <v>2513</v>
      </c>
      <c r="I149" s="906" t="s">
        <v>2097</v>
      </c>
      <c r="J149" s="900">
        <v>1938743.51</v>
      </c>
      <c r="K149" s="907">
        <v>260489.05999999994</v>
      </c>
      <c r="L149" s="900">
        <v>2199232.5699999998</v>
      </c>
      <c r="M149" s="900">
        <v>2199232.5699999998</v>
      </c>
      <c r="N149" s="900">
        <v>2199232.5699999998</v>
      </c>
      <c r="O149" s="900">
        <v>2199232.5699999998</v>
      </c>
      <c r="P149" s="900">
        <v>2199232.5699999998</v>
      </c>
    </row>
    <row r="150" spans="1:16">
      <c r="A150" s="901" t="s">
        <v>2186</v>
      </c>
      <c r="B150" s="902" t="s">
        <v>2187</v>
      </c>
      <c r="C150" s="902" t="s">
        <v>2269</v>
      </c>
      <c r="D150" s="902">
        <v>1</v>
      </c>
      <c r="E150" s="902" t="s">
        <v>2270</v>
      </c>
      <c r="F150" s="902" t="s">
        <v>739</v>
      </c>
      <c r="G150" s="902" t="s">
        <v>2197</v>
      </c>
      <c r="H150" s="902" t="s">
        <v>2514</v>
      </c>
      <c r="I150" s="906" t="s">
        <v>2098</v>
      </c>
      <c r="J150" s="900">
        <v>793188</v>
      </c>
      <c r="K150" s="907">
        <v>-109206.42000000004</v>
      </c>
      <c r="L150" s="900">
        <v>683981.58</v>
      </c>
      <c r="M150" s="900">
        <v>683981.58</v>
      </c>
      <c r="N150" s="900">
        <v>683981.58</v>
      </c>
      <c r="O150" s="900">
        <v>683981.58</v>
      </c>
      <c r="P150" s="900">
        <v>683981.58</v>
      </c>
    </row>
    <row r="151" spans="1:16">
      <c r="A151" s="901" t="s">
        <v>2186</v>
      </c>
      <c r="B151" s="902" t="s">
        <v>2187</v>
      </c>
      <c r="C151" s="902" t="s">
        <v>2269</v>
      </c>
      <c r="D151" s="902">
        <v>1</v>
      </c>
      <c r="E151" s="902" t="s">
        <v>2270</v>
      </c>
      <c r="F151" s="902" t="s">
        <v>739</v>
      </c>
      <c r="G151" s="902" t="s">
        <v>2198</v>
      </c>
      <c r="H151" s="902" t="s">
        <v>2515</v>
      </c>
      <c r="I151" s="906" t="s">
        <v>2099</v>
      </c>
      <c r="J151" s="900">
        <v>213900</v>
      </c>
      <c r="K151" s="907">
        <v>-153900</v>
      </c>
      <c r="L151" s="900">
        <v>60000</v>
      </c>
      <c r="M151" s="900">
        <v>60000</v>
      </c>
      <c r="N151" s="900">
        <v>60000</v>
      </c>
      <c r="O151" s="900">
        <v>60000</v>
      </c>
      <c r="P151" s="900">
        <v>60000</v>
      </c>
    </row>
    <row r="152" spans="1:16">
      <c r="A152" s="901" t="s">
        <v>2186</v>
      </c>
      <c r="B152" s="902" t="s">
        <v>2187</v>
      </c>
      <c r="C152" s="902" t="s">
        <v>2269</v>
      </c>
      <c r="D152" s="902">
        <v>1</v>
      </c>
      <c r="E152" s="902" t="s">
        <v>2270</v>
      </c>
      <c r="F152" s="902" t="s">
        <v>739</v>
      </c>
      <c r="G152" s="902" t="s">
        <v>2199</v>
      </c>
      <c r="H152" s="902" t="s">
        <v>2614</v>
      </c>
      <c r="I152" s="906" t="s">
        <v>2100</v>
      </c>
      <c r="J152" s="900">
        <v>0</v>
      </c>
      <c r="K152" s="907">
        <v>0</v>
      </c>
      <c r="L152" s="900">
        <v>0</v>
      </c>
      <c r="M152" s="900">
        <v>0</v>
      </c>
      <c r="N152" s="900">
        <v>0</v>
      </c>
      <c r="O152" s="900">
        <v>0</v>
      </c>
      <c r="P152" s="900">
        <v>0</v>
      </c>
    </row>
    <row r="153" spans="1:16">
      <c r="A153" s="901" t="s">
        <v>2186</v>
      </c>
      <c r="B153" s="902" t="s">
        <v>2187</v>
      </c>
      <c r="C153" s="902" t="s">
        <v>2269</v>
      </c>
      <c r="D153" s="902">
        <v>1</v>
      </c>
      <c r="E153" s="902" t="s">
        <v>2270</v>
      </c>
      <c r="F153" s="902" t="s">
        <v>739</v>
      </c>
      <c r="G153" s="902" t="s">
        <v>2200</v>
      </c>
      <c r="H153" s="902" t="s">
        <v>2516</v>
      </c>
      <c r="I153" s="906" t="s">
        <v>2101</v>
      </c>
      <c r="J153" s="900">
        <v>8904270.4800000004</v>
      </c>
      <c r="K153" s="907">
        <v>1763895.95</v>
      </c>
      <c r="L153" s="900">
        <v>10668166.43</v>
      </c>
      <c r="M153" s="900">
        <v>10668166.43</v>
      </c>
      <c r="N153" s="900">
        <v>10668166.43</v>
      </c>
      <c r="O153" s="900">
        <v>10668166.43</v>
      </c>
      <c r="P153" s="900">
        <v>10668166.43</v>
      </c>
    </row>
    <row r="154" spans="1:16">
      <c r="A154" s="901" t="s">
        <v>2186</v>
      </c>
      <c r="B154" s="902" t="s">
        <v>2187</v>
      </c>
      <c r="C154" s="902" t="s">
        <v>2269</v>
      </c>
      <c r="D154" s="902">
        <v>1</v>
      </c>
      <c r="E154" s="902" t="s">
        <v>2270</v>
      </c>
      <c r="F154" s="902" t="s">
        <v>739</v>
      </c>
      <c r="G154" s="902" t="s">
        <v>2201</v>
      </c>
      <c r="H154" s="902" t="s">
        <v>2517</v>
      </c>
      <c r="I154" s="906" t="s">
        <v>2102</v>
      </c>
      <c r="J154" s="900">
        <v>11232084.310000001</v>
      </c>
      <c r="K154" s="907">
        <v>1458991.9800000002</v>
      </c>
      <c r="L154" s="900">
        <v>12691076.289999999</v>
      </c>
      <c r="M154" s="900">
        <v>12691076.289999999</v>
      </c>
      <c r="N154" s="900">
        <v>12691076.289999999</v>
      </c>
      <c r="O154" s="900">
        <v>12691076.289999999</v>
      </c>
      <c r="P154" s="900">
        <v>12691076.289999999</v>
      </c>
    </row>
    <row r="155" spans="1:16">
      <c r="A155" s="901" t="s">
        <v>2186</v>
      </c>
      <c r="B155" s="902" t="s">
        <v>2187</v>
      </c>
      <c r="C155" s="902" t="s">
        <v>2269</v>
      </c>
      <c r="D155" s="902">
        <v>1</v>
      </c>
      <c r="E155" s="902" t="s">
        <v>2270</v>
      </c>
      <c r="F155" s="902" t="s">
        <v>739</v>
      </c>
      <c r="G155" s="902" t="s">
        <v>2202</v>
      </c>
      <c r="H155" s="902" t="s">
        <v>2518</v>
      </c>
      <c r="I155" s="906" t="s">
        <v>2103</v>
      </c>
      <c r="J155" s="900">
        <v>103805.89</v>
      </c>
      <c r="K155" s="907">
        <v>60170.679999999993</v>
      </c>
      <c r="L155" s="900">
        <v>163976.57</v>
      </c>
      <c r="M155" s="900">
        <v>163976.57</v>
      </c>
      <c r="N155" s="900">
        <v>163976.57</v>
      </c>
      <c r="O155" s="900">
        <v>163976.57</v>
      </c>
      <c r="P155" s="900">
        <v>163976.57</v>
      </c>
    </row>
    <row r="156" spans="1:16">
      <c r="A156" s="901" t="s">
        <v>2186</v>
      </c>
      <c r="B156" s="902" t="s">
        <v>2187</v>
      </c>
      <c r="C156" s="902" t="s">
        <v>2269</v>
      </c>
      <c r="D156" s="902">
        <v>1</v>
      </c>
      <c r="E156" s="902" t="s">
        <v>2270</v>
      </c>
      <c r="F156" s="902" t="s">
        <v>739</v>
      </c>
      <c r="G156" s="902" t="s">
        <v>2203</v>
      </c>
      <c r="H156" s="902" t="s">
        <v>2519</v>
      </c>
      <c r="I156" s="906" t="s">
        <v>2104</v>
      </c>
      <c r="J156" s="900">
        <v>765019.95</v>
      </c>
      <c r="K156" s="907">
        <v>-765019.95</v>
      </c>
      <c r="L156" s="900">
        <v>0</v>
      </c>
      <c r="M156" s="900">
        <v>0</v>
      </c>
      <c r="N156" s="900">
        <v>0</v>
      </c>
      <c r="O156" s="900">
        <v>0</v>
      </c>
      <c r="P156" s="900">
        <v>0</v>
      </c>
    </row>
    <row r="157" spans="1:16">
      <c r="A157" s="901" t="s">
        <v>2186</v>
      </c>
      <c r="B157" s="902" t="s">
        <v>2187</v>
      </c>
      <c r="C157" s="902" t="s">
        <v>2269</v>
      </c>
      <c r="D157" s="902">
        <v>1</v>
      </c>
      <c r="E157" s="902" t="s">
        <v>2270</v>
      </c>
      <c r="F157" s="902" t="s">
        <v>739</v>
      </c>
      <c r="G157" s="902" t="s">
        <v>2204</v>
      </c>
      <c r="H157" s="902" t="s">
        <v>2520</v>
      </c>
      <c r="I157" s="906" t="s">
        <v>2105</v>
      </c>
      <c r="J157" s="900">
        <v>596669.51</v>
      </c>
      <c r="K157" s="907">
        <v>298752.13000000035</v>
      </c>
      <c r="L157" s="900">
        <v>895421.64</v>
      </c>
      <c r="M157" s="900">
        <v>895421.64</v>
      </c>
      <c r="N157" s="900">
        <v>895421.64</v>
      </c>
      <c r="O157" s="900">
        <v>895421.64</v>
      </c>
      <c r="P157" s="900">
        <v>895421.64</v>
      </c>
    </row>
    <row r="158" spans="1:16">
      <c r="A158" s="901" t="s">
        <v>2186</v>
      </c>
      <c r="B158" s="902" t="s">
        <v>2187</v>
      </c>
      <c r="C158" s="902" t="s">
        <v>2269</v>
      </c>
      <c r="D158" s="902">
        <v>1</v>
      </c>
      <c r="E158" s="902" t="s">
        <v>2270</v>
      </c>
      <c r="F158" s="902" t="s">
        <v>739</v>
      </c>
      <c r="G158" s="902" t="s">
        <v>2205</v>
      </c>
      <c r="H158" s="902" t="s">
        <v>2521</v>
      </c>
      <c r="I158" s="906" t="s">
        <v>2106</v>
      </c>
      <c r="J158" s="900">
        <v>13939.44</v>
      </c>
      <c r="K158" s="907">
        <v>124.98000000000002</v>
      </c>
      <c r="L158" s="900">
        <v>14064.42</v>
      </c>
      <c r="M158" s="900">
        <v>14064.42</v>
      </c>
      <c r="N158" s="900">
        <v>14064.42</v>
      </c>
      <c r="O158" s="900">
        <v>14064.42</v>
      </c>
      <c r="P158" s="900">
        <v>14064.42</v>
      </c>
    </row>
    <row r="159" spans="1:16">
      <c r="A159" s="901" t="s">
        <v>2186</v>
      </c>
      <c r="B159" s="902" t="s">
        <v>2187</v>
      </c>
      <c r="C159" s="902" t="s">
        <v>2269</v>
      </c>
      <c r="D159" s="902">
        <v>1</v>
      </c>
      <c r="E159" s="902" t="s">
        <v>2270</v>
      </c>
      <c r="F159" s="902" t="s">
        <v>739</v>
      </c>
      <c r="G159" s="902" t="s">
        <v>753</v>
      </c>
      <c r="H159" s="902" t="s">
        <v>2990</v>
      </c>
      <c r="I159" s="906" t="s">
        <v>2107</v>
      </c>
      <c r="J159" s="900">
        <v>0</v>
      </c>
      <c r="K159" s="907">
        <v>0</v>
      </c>
      <c r="L159" s="900">
        <v>0</v>
      </c>
      <c r="M159" s="900">
        <v>0</v>
      </c>
      <c r="N159" s="900">
        <v>0</v>
      </c>
      <c r="O159" s="900">
        <v>0</v>
      </c>
      <c r="P159" s="900">
        <v>0</v>
      </c>
    </row>
    <row r="160" spans="1:16">
      <c r="A160" s="901" t="s">
        <v>2186</v>
      </c>
      <c r="B160" s="902" t="s">
        <v>2187</v>
      </c>
      <c r="C160" s="902" t="s">
        <v>2269</v>
      </c>
      <c r="D160" s="902">
        <v>1</v>
      </c>
      <c r="E160" s="902" t="s">
        <v>2270</v>
      </c>
      <c r="F160" s="902" t="s">
        <v>739</v>
      </c>
      <c r="G160" s="902" t="s">
        <v>2206</v>
      </c>
      <c r="H160" s="902" t="s">
        <v>2593</v>
      </c>
      <c r="I160" s="906" t="s">
        <v>2108</v>
      </c>
      <c r="J160" s="900">
        <v>0</v>
      </c>
      <c r="K160" s="907">
        <v>139</v>
      </c>
      <c r="L160" s="900">
        <v>139</v>
      </c>
      <c r="M160" s="900">
        <v>139</v>
      </c>
      <c r="N160" s="900">
        <v>139</v>
      </c>
      <c r="O160" s="900">
        <v>139</v>
      </c>
      <c r="P160" s="900">
        <v>139</v>
      </c>
    </row>
    <row r="161" spans="1:16">
      <c r="A161" s="901" t="s">
        <v>2186</v>
      </c>
      <c r="B161" s="902" t="s">
        <v>2187</v>
      </c>
      <c r="C161" s="902" t="s">
        <v>2269</v>
      </c>
      <c r="D161" s="902">
        <v>1</v>
      </c>
      <c r="E161" s="902" t="s">
        <v>2270</v>
      </c>
      <c r="F161" s="902" t="s">
        <v>739</v>
      </c>
      <c r="G161" s="902" t="s">
        <v>2209</v>
      </c>
      <c r="H161" s="902" t="s">
        <v>2522</v>
      </c>
      <c r="I161" s="906" t="s">
        <v>2111</v>
      </c>
      <c r="J161" s="900">
        <v>0</v>
      </c>
      <c r="K161" s="907">
        <v>1660</v>
      </c>
      <c r="L161" s="900">
        <v>1660</v>
      </c>
      <c r="M161" s="900">
        <v>1660</v>
      </c>
      <c r="N161" s="900">
        <v>1660</v>
      </c>
      <c r="O161" s="900">
        <v>1660</v>
      </c>
      <c r="P161" s="900">
        <v>1660</v>
      </c>
    </row>
    <row r="162" spans="1:16">
      <c r="A162" s="901" t="s">
        <v>2186</v>
      </c>
      <c r="B162" s="902" t="s">
        <v>2187</v>
      </c>
      <c r="C162" s="902" t="s">
        <v>2269</v>
      </c>
      <c r="D162" s="902">
        <v>1</v>
      </c>
      <c r="E162" s="902" t="s">
        <v>2270</v>
      </c>
      <c r="F162" s="902" t="s">
        <v>739</v>
      </c>
      <c r="G162" s="902" t="s">
        <v>2211</v>
      </c>
      <c r="H162" s="902" t="s">
        <v>2523</v>
      </c>
      <c r="I162" s="906" t="s">
        <v>2113</v>
      </c>
      <c r="J162" s="900">
        <v>10815</v>
      </c>
      <c r="K162" s="907">
        <v>-6144.0499999999993</v>
      </c>
      <c r="L162" s="900">
        <v>4670.95</v>
      </c>
      <c r="M162" s="900">
        <v>4670.95</v>
      </c>
      <c r="N162" s="900">
        <v>4670.95</v>
      </c>
      <c r="O162" s="900">
        <v>4670.95</v>
      </c>
      <c r="P162" s="900">
        <v>4670.95</v>
      </c>
    </row>
    <row r="163" spans="1:16">
      <c r="A163" s="901" t="s">
        <v>2186</v>
      </c>
      <c r="B163" s="902" t="s">
        <v>2187</v>
      </c>
      <c r="C163" s="902" t="s">
        <v>2269</v>
      </c>
      <c r="D163" s="902">
        <v>1</v>
      </c>
      <c r="E163" s="902" t="s">
        <v>2270</v>
      </c>
      <c r="F163" s="902" t="s">
        <v>739</v>
      </c>
      <c r="G163" s="902" t="s">
        <v>2984</v>
      </c>
      <c r="H163" s="902" t="s">
        <v>2991</v>
      </c>
      <c r="I163" s="906" t="s">
        <v>2982</v>
      </c>
      <c r="J163" s="900">
        <v>0</v>
      </c>
      <c r="K163" s="907">
        <v>0</v>
      </c>
      <c r="L163" s="900">
        <v>0</v>
      </c>
      <c r="M163" s="900">
        <v>0</v>
      </c>
      <c r="N163" s="900">
        <v>0</v>
      </c>
      <c r="O163" s="900">
        <v>0</v>
      </c>
      <c r="P163" s="900">
        <v>0</v>
      </c>
    </row>
    <row r="164" spans="1:16">
      <c r="A164" s="901" t="s">
        <v>2186</v>
      </c>
      <c r="B164" s="902" t="s">
        <v>2187</v>
      </c>
      <c r="C164" s="902" t="s">
        <v>2269</v>
      </c>
      <c r="D164" s="902">
        <v>1</v>
      </c>
      <c r="E164" s="902" t="s">
        <v>2270</v>
      </c>
      <c r="F164" s="902" t="s">
        <v>739</v>
      </c>
      <c r="G164" s="902" t="s">
        <v>2216</v>
      </c>
      <c r="H164" s="902" t="s">
        <v>2524</v>
      </c>
      <c r="I164" s="906" t="s">
        <v>2118</v>
      </c>
      <c r="J164" s="900">
        <v>511588.8</v>
      </c>
      <c r="K164" s="907">
        <v>19401.889999999956</v>
      </c>
      <c r="L164" s="900">
        <v>530990.68999999994</v>
      </c>
      <c r="M164" s="900">
        <v>530990.68999999994</v>
      </c>
      <c r="N164" s="900">
        <v>530990.68999999994</v>
      </c>
      <c r="O164" s="900">
        <v>530990.68999999994</v>
      </c>
      <c r="P164" s="900">
        <v>530990.68999999994</v>
      </c>
    </row>
    <row r="165" spans="1:16">
      <c r="A165" s="901" t="s">
        <v>2186</v>
      </c>
      <c r="B165" s="902" t="s">
        <v>2187</v>
      </c>
      <c r="C165" s="902" t="s">
        <v>2269</v>
      </c>
      <c r="D165" s="902">
        <v>1</v>
      </c>
      <c r="E165" s="902" t="s">
        <v>2270</v>
      </c>
      <c r="F165" s="902" t="s">
        <v>739</v>
      </c>
      <c r="G165" s="902" t="s">
        <v>2227</v>
      </c>
      <c r="H165" s="902" t="s">
        <v>2525</v>
      </c>
      <c r="I165" s="906" t="s">
        <v>2129</v>
      </c>
      <c r="J165" s="900">
        <v>264012.12</v>
      </c>
      <c r="K165" s="907">
        <v>-87486.62</v>
      </c>
      <c r="L165" s="900">
        <v>176525.5</v>
      </c>
      <c r="M165" s="900">
        <v>176525.5</v>
      </c>
      <c r="N165" s="900">
        <v>176525.5</v>
      </c>
      <c r="O165" s="900">
        <v>176525.5</v>
      </c>
      <c r="P165" s="900">
        <v>176525.5</v>
      </c>
    </row>
    <row r="166" spans="1:16">
      <c r="A166" s="901" t="s">
        <v>2186</v>
      </c>
      <c r="B166" s="902" t="s">
        <v>2187</v>
      </c>
      <c r="C166" s="902" t="s">
        <v>2269</v>
      </c>
      <c r="D166" s="902">
        <v>1</v>
      </c>
      <c r="E166" s="902" t="s">
        <v>2270</v>
      </c>
      <c r="F166" s="902" t="s">
        <v>739</v>
      </c>
      <c r="G166" s="902" t="s">
        <v>2228</v>
      </c>
      <c r="H166" s="902" t="s">
        <v>2526</v>
      </c>
      <c r="I166" s="906" t="s">
        <v>2130</v>
      </c>
      <c r="J166" s="900">
        <v>414990.04</v>
      </c>
      <c r="K166" s="907">
        <v>-48827.359999999986</v>
      </c>
      <c r="L166" s="900">
        <v>366162.68</v>
      </c>
      <c r="M166" s="900">
        <v>366162.68</v>
      </c>
      <c r="N166" s="900">
        <v>366162.68</v>
      </c>
      <c r="O166" s="900">
        <v>366162.68</v>
      </c>
      <c r="P166" s="900">
        <v>366162.68</v>
      </c>
    </row>
    <row r="167" spans="1:16">
      <c r="A167" s="901" t="s">
        <v>2186</v>
      </c>
      <c r="B167" s="902" t="s">
        <v>2187</v>
      </c>
      <c r="C167" s="902" t="s">
        <v>2269</v>
      </c>
      <c r="D167" s="902">
        <v>1</v>
      </c>
      <c r="E167" s="902" t="s">
        <v>2270</v>
      </c>
      <c r="F167" s="902" t="s">
        <v>739</v>
      </c>
      <c r="G167" s="902" t="s">
        <v>2229</v>
      </c>
      <c r="H167" s="902" t="s">
        <v>2615</v>
      </c>
      <c r="I167" s="906" t="s">
        <v>2131</v>
      </c>
      <c r="J167" s="900">
        <v>0</v>
      </c>
      <c r="K167" s="907">
        <v>0</v>
      </c>
      <c r="L167" s="900">
        <v>0</v>
      </c>
      <c r="M167" s="900">
        <v>0</v>
      </c>
      <c r="N167" s="900">
        <v>0</v>
      </c>
      <c r="O167" s="900">
        <v>0</v>
      </c>
      <c r="P167" s="900">
        <v>0</v>
      </c>
    </row>
    <row r="168" spans="1:16">
      <c r="A168" s="901" t="s">
        <v>2186</v>
      </c>
      <c r="B168" s="902" t="s">
        <v>2187</v>
      </c>
      <c r="C168" s="902" t="s">
        <v>2269</v>
      </c>
      <c r="D168" s="902">
        <v>1</v>
      </c>
      <c r="E168" s="902" t="s">
        <v>2270</v>
      </c>
      <c r="F168" s="902" t="s">
        <v>739</v>
      </c>
      <c r="G168" s="902" t="s">
        <v>2232</v>
      </c>
      <c r="H168" s="902" t="s">
        <v>2992</v>
      </c>
      <c r="I168" s="906" t="s">
        <v>2134</v>
      </c>
      <c r="J168" s="900">
        <v>0</v>
      </c>
      <c r="K168" s="907">
        <v>0</v>
      </c>
      <c r="L168" s="900">
        <v>0</v>
      </c>
      <c r="M168" s="900">
        <v>0</v>
      </c>
      <c r="N168" s="900">
        <v>0</v>
      </c>
      <c r="O168" s="900">
        <v>0</v>
      </c>
      <c r="P168" s="900">
        <v>0</v>
      </c>
    </row>
    <row r="169" spans="1:16">
      <c r="A169" s="901" t="s">
        <v>2186</v>
      </c>
      <c r="B169" s="902" t="s">
        <v>2187</v>
      </c>
      <c r="C169" s="902" t="s">
        <v>2269</v>
      </c>
      <c r="D169" s="902">
        <v>1</v>
      </c>
      <c r="E169" s="902" t="s">
        <v>2270</v>
      </c>
      <c r="F169" s="902" t="s">
        <v>739</v>
      </c>
      <c r="G169" s="902" t="s">
        <v>2233</v>
      </c>
      <c r="H169" s="902" t="s">
        <v>2527</v>
      </c>
      <c r="I169" s="906" t="s">
        <v>2135</v>
      </c>
      <c r="J169" s="900">
        <v>1316780.3999999999</v>
      </c>
      <c r="K169" s="907">
        <v>-7780.3999999999069</v>
      </c>
      <c r="L169" s="900">
        <v>1309000</v>
      </c>
      <c r="M169" s="900">
        <v>1309000</v>
      </c>
      <c r="N169" s="900">
        <v>1309000</v>
      </c>
      <c r="O169" s="900">
        <v>1309000</v>
      </c>
      <c r="P169" s="900">
        <v>1309000</v>
      </c>
    </row>
    <row r="170" spans="1:16">
      <c r="A170" s="901" t="s">
        <v>2186</v>
      </c>
      <c r="B170" s="902" t="s">
        <v>2187</v>
      </c>
      <c r="C170" s="902" t="s">
        <v>2269</v>
      </c>
      <c r="D170" s="902">
        <v>1</v>
      </c>
      <c r="E170" s="902" t="s">
        <v>2270</v>
      </c>
      <c r="F170" s="902" t="s">
        <v>739</v>
      </c>
      <c r="G170" s="902" t="s">
        <v>2234</v>
      </c>
      <c r="H170" s="902" t="s">
        <v>2528</v>
      </c>
      <c r="I170" s="906" t="s">
        <v>2136</v>
      </c>
      <c r="J170" s="900">
        <v>257289.86</v>
      </c>
      <c r="K170" s="907">
        <v>-257289.86</v>
      </c>
      <c r="L170" s="900">
        <v>0</v>
      </c>
      <c r="M170" s="900">
        <v>0</v>
      </c>
      <c r="N170" s="900">
        <v>0</v>
      </c>
      <c r="O170" s="900">
        <v>0</v>
      </c>
      <c r="P170" s="900">
        <v>0</v>
      </c>
    </row>
    <row r="171" spans="1:16">
      <c r="A171" s="901" t="s">
        <v>2186</v>
      </c>
      <c r="B171" s="902" t="s">
        <v>2187</v>
      </c>
      <c r="C171" s="902" t="s">
        <v>2269</v>
      </c>
      <c r="D171" s="902">
        <v>1</v>
      </c>
      <c r="E171" s="902" t="s">
        <v>2270</v>
      </c>
      <c r="F171" s="902" t="s">
        <v>739</v>
      </c>
      <c r="G171" s="902" t="s">
        <v>2235</v>
      </c>
      <c r="H171" s="902" t="s">
        <v>2529</v>
      </c>
      <c r="I171" s="906" t="s">
        <v>2137</v>
      </c>
      <c r="J171" s="900">
        <v>195518.98</v>
      </c>
      <c r="K171" s="907">
        <v>-194242.97999999998</v>
      </c>
      <c r="L171" s="900">
        <v>1276</v>
      </c>
      <c r="M171" s="900">
        <v>1276</v>
      </c>
      <c r="N171" s="900">
        <v>1276</v>
      </c>
      <c r="O171" s="900">
        <v>1276</v>
      </c>
      <c r="P171" s="900">
        <v>1276</v>
      </c>
    </row>
    <row r="172" spans="1:16">
      <c r="A172" s="901" t="s">
        <v>2186</v>
      </c>
      <c r="B172" s="902" t="s">
        <v>2187</v>
      </c>
      <c r="C172" s="902" t="s">
        <v>2269</v>
      </c>
      <c r="D172" s="902">
        <v>1</v>
      </c>
      <c r="E172" s="902" t="s">
        <v>2270</v>
      </c>
      <c r="F172" s="902" t="s">
        <v>739</v>
      </c>
      <c r="G172" s="902" t="s">
        <v>2245</v>
      </c>
      <c r="H172" s="902" t="s">
        <v>2530</v>
      </c>
      <c r="I172" s="906" t="s">
        <v>2147</v>
      </c>
      <c r="J172" s="900">
        <v>128286.49</v>
      </c>
      <c r="K172" s="907">
        <v>50520.490000000005</v>
      </c>
      <c r="L172" s="900">
        <v>178806.98</v>
      </c>
      <c r="M172" s="900">
        <v>178806.98</v>
      </c>
      <c r="N172" s="900">
        <v>178806.98</v>
      </c>
      <c r="O172" s="900">
        <v>178806.98</v>
      </c>
      <c r="P172" s="900">
        <v>178806.98</v>
      </c>
    </row>
    <row r="173" spans="1:16">
      <c r="A173" s="901" t="s">
        <v>2186</v>
      </c>
      <c r="B173" s="902" t="s">
        <v>2187</v>
      </c>
      <c r="C173" s="902" t="s">
        <v>2269</v>
      </c>
      <c r="D173" s="902">
        <v>1</v>
      </c>
      <c r="E173" s="902" t="s">
        <v>2270</v>
      </c>
      <c r="F173" s="902" t="s">
        <v>739</v>
      </c>
      <c r="G173" s="902" t="s">
        <v>755</v>
      </c>
      <c r="H173" s="902" t="s">
        <v>2531</v>
      </c>
      <c r="I173" s="906" t="s">
        <v>2150</v>
      </c>
      <c r="J173" s="900">
        <v>4484756.01</v>
      </c>
      <c r="K173" s="907">
        <v>274161.94</v>
      </c>
      <c r="L173" s="900">
        <v>4758917.95</v>
      </c>
      <c r="M173" s="900">
        <v>4758917.95</v>
      </c>
      <c r="N173" s="900">
        <v>4758917.95</v>
      </c>
      <c r="O173" s="900">
        <v>4758917.95</v>
      </c>
      <c r="P173" s="900">
        <v>4758917.95</v>
      </c>
    </row>
    <row r="174" spans="1:16">
      <c r="A174" s="901" t="s">
        <v>2186</v>
      </c>
      <c r="B174" s="902" t="s">
        <v>2187</v>
      </c>
      <c r="C174" s="902" t="s">
        <v>2269</v>
      </c>
      <c r="D174" s="902">
        <v>1</v>
      </c>
      <c r="E174" s="902" t="s">
        <v>2270</v>
      </c>
      <c r="F174" s="902" t="s">
        <v>739</v>
      </c>
      <c r="G174" s="902" t="s">
        <v>2251</v>
      </c>
      <c r="H174" s="902" t="s">
        <v>2532</v>
      </c>
      <c r="I174" s="906" t="s">
        <v>2155</v>
      </c>
      <c r="J174" s="900">
        <v>143020.44</v>
      </c>
      <c r="K174" s="907">
        <v>-117094.44</v>
      </c>
      <c r="L174" s="900">
        <v>25926</v>
      </c>
      <c r="M174" s="900">
        <v>25926</v>
      </c>
      <c r="N174" s="900">
        <v>25926</v>
      </c>
      <c r="O174" s="900">
        <v>25926</v>
      </c>
      <c r="P174" s="900">
        <v>25926</v>
      </c>
    </row>
    <row r="175" spans="1:16">
      <c r="A175" s="901" t="s">
        <v>2186</v>
      </c>
      <c r="B175" s="902" t="s">
        <v>2187</v>
      </c>
      <c r="C175" s="902" t="s">
        <v>2269</v>
      </c>
      <c r="D175" s="902">
        <v>1</v>
      </c>
      <c r="E175" s="902" t="s">
        <v>2270</v>
      </c>
      <c r="F175" s="902" t="s">
        <v>739</v>
      </c>
      <c r="G175" s="902" t="s">
        <v>2252</v>
      </c>
      <c r="H175" s="902" t="s">
        <v>2533</v>
      </c>
      <c r="I175" s="906" t="s">
        <v>2156</v>
      </c>
      <c r="J175" s="900">
        <v>128785.53</v>
      </c>
      <c r="K175" s="907">
        <v>-52836.700000000012</v>
      </c>
      <c r="L175" s="900">
        <v>75948.83</v>
      </c>
      <c r="M175" s="900">
        <v>75948.83</v>
      </c>
      <c r="N175" s="900">
        <v>75948.83</v>
      </c>
      <c r="O175" s="900">
        <v>75948.83</v>
      </c>
      <c r="P175" s="900">
        <v>74898.83</v>
      </c>
    </row>
    <row r="176" spans="1:16">
      <c r="A176" s="901" t="s">
        <v>2186</v>
      </c>
      <c r="B176" s="902" t="s">
        <v>2187</v>
      </c>
      <c r="C176" s="902" t="s">
        <v>2269</v>
      </c>
      <c r="D176" s="902">
        <v>1</v>
      </c>
      <c r="E176" s="902" t="s">
        <v>2270</v>
      </c>
      <c r="F176" s="902" t="s">
        <v>739</v>
      </c>
      <c r="G176" s="902" t="s">
        <v>2253</v>
      </c>
      <c r="H176" s="902" t="s">
        <v>2534</v>
      </c>
      <c r="I176" s="906" t="s">
        <v>2157</v>
      </c>
      <c r="J176" s="900">
        <v>62740.57</v>
      </c>
      <c r="K176" s="907">
        <v>-14142.750000000004</v>
      </c>
      <c r="L176" s="900">
        <v>48597.82</v>
      </c>
      <c r="M176" s="900">
        <v>48597.82</v>
      </c>
      <c r="N176" s="900">
        <v>48597.82</v>
      </c>
      <c r="O176" s="900">
        <v>48597.82</v>
      </c>
      <c r="P176" s="900">
        <v>48597.82</v>
      </c>
    </row>
    <row r="177" spans="1:16">
      <c r="A177" s="901" t="s">
        <v>2186</v>
      </c>
      <c r="B177" s="902" t="s">
        <v>2187</v>
      </c>
      <c r="C177" s="902" t="s">
        <v>2269</v>
      </c>
      <c r="D177" s="902">
        <v>1</v>
      </c>
      <c r="E177" s="902" t="s">
        <v>2270</v>
      </c>
      <c r="F177" s="902" t="s">
        <v>739</v>
      </c>
      <c r="G177" s="902" t="s">
        <v>2273</v>
      </c>
      <c r="H177" s="902" t="s">
        <v>2535</v>
      </c>
      <c r="I177" s="906" t="s">
        <v>2180</v>
      </c>
      <c r="J177" s="900">
        <v>47295.25</v>
      </c>
      <c r="K177" s="907">
        <v>-47295.25</v>
      </c>
      <c r="L177" s="900">
        <v>0</v>
      </c>
      <c r="M177" s="900">
        <v>0</v>
      </c>
      <c r="N177" s="900">
        <v>0</v>
      </c>
      <c r="O177" s="900">
        <v>0</v>
      </c>
      <c r="P177" s="900">
        <v>0</v>
      </c>
    </row>
    <row r="178" spans="1:16">
      <c r="A178" s="901" t="s">
        <v>2186</v>
      </c>
      <c r="B178" s="902" t="s">
        <v>2187</v>
      </c>
      <c r="C178" s="902" t="s">
        <v>2269</v>
      </c>
      <c r="D178" s="902">
        <v>1</v>
      </c>
      <c r="E178" s="902" t="s">
        <v>2270</v>
      </c>
      <c r="F178" s="902" t="s">
        <v>739</v>
      </c>
      <c r="G178" s="902" t="s">
        <v>2254</v>
      </c>
      <c r="H178" s="902" t="s">
        <v>2536</v>
      </c>
      <c r="I178" s="906" t="s">
        <v>2158</v>
      </c>
      <c r="J178" s="900">
        <v>28511.27</v>
      </c>
      <c r="K178" s="907">
        <v>-28511.269999999997</v>
      </c>
      <c r="L178" s="900">
        <v>0</v>
      </c>
      <c r="M178" s="900">
        <v>0</v>
      </c>
      <c r="N178" s="900">
        <v>0</v>
      </c>
      <c r="O178" s="900">
        <v>0</v>
      </c>
      <c r="P178" s="900">
        <v>0</v>
      </c>
    </row>
    <row r="179" spans="1:16">
      <c r="A179" s="901" t="s">
        <v>2186</v>
      </c>
      <c r="B179" s="902" t="s">
        <v>2187</v>
      </c>
      <c r="C179" s="902" t="s">
        <v>2269</v>
      </c>
      <c r="D179" s="902">
        <v>1</v>
      </c>
      <c r="E179" s="902" t="s">
        <v>2270</v>
      </c>
      <c r="F179" s="902" t="s">
        <v>739</v>
      </c>
      <c r="G179" s="902" t="s">
        <v>2255</v>
      </c>
      <c r="H179" s="902" t="s">
        <v>2537</v>
      </c>
      <c r="I179" s="906" t="s">
        <v>2159</v>
      </c>
      <c r="J179" s="900">
        <v>513250.56</v>
      </c>
      <c r="K179" s="907">
        <v>-508850.56000000006</v>
      </c>
      <c r="L179" s="900">
        <v>4400</v>
      </c>
      <c r="M179" s="900">
        <v>4400</v>
      </c>
      <c r="N179" s="900">
        <v>4400</v>
      </c>
      <c r="O179" s="900">
        <v>4400</v>
      </c>
      <c r="P179" s="900">
        <v>4400</v>
      </c>
    </row>
    <row r="180" spans="1:16">
      <c r="A180" s="901" t="s">
        <v>2186</v>
      </c>
      <c r="B180" s="902" t="s">
        <v>2187</v>
      </c>
      <c r="C180" s="902" t="s">
        <v>2269</v>
      </c>
      <c r="D180" s="902">
        <v>1</v>
      </c>
      <c r="E180" s="902" t="s">
        <v>2270</v>
      </c>
      <c r="F180" s="902" t="s">
        <v>739</v>
      </c>
      <c r="G180" s="902" t="s">
        <v>2256</v>
      </c>
      <c r="H180" s="902" t="s">
        <v>2993</v>
      </c>
      <c r="I180" s="906" t="s">
        <v>2160</v>
      </c>
      <c r="J180" s="900">
        <v>0</v>
      </c>
      <c r="K180" s="907">
        <v>0</v>
      </c>
      <c r="L180" s="900">
        <v>0</v>
      </c>
      <c r="M180" s="900">
        <v>0</v>
      </c>
      <c r="N180" s="900">
        <v>0</v>
      </c>
      <c r="O180" s="900">
        <v>0</v>
      </c>
      <c r="P180" s="900">
        <v>0</v>
      </c>
    </row>
    <row r="181" spans="1:16">
      <c r="A181" s="901" t="s">
        <v>2186</v>
      </c>
      <c r="B181" s="902" t="s">
        <v>2187</v>
      </c>
      <c r="C181" s="902" t="s">
        <v>2269</v>
      </c>
      <c r="D181" s="902">
        <v>1</v>
      </c>
      <c r="E181" s="902" t="s">
        <v>2270</v>
      </c>
      <c r="F181" s="902" t="s">
        <v>739</v>
      </c>
      <c r="G181" s="902" t="s">
        <v>2274</v>
      </c>
      <c r="H181" s="902" t="s">
        <v>2538</v>
      </c>
      <c r="I181" s="906" t="s">
        <v>2181</v>
      </c>
      <c r="J181" s="900">
        <v>113309.19</v>
      </c>
      <c r="K181" s="907">
        <v>-98253.189999999988</v>
      </c>
      <c r="L181" s="900">
        <v>15056</v>
      </c>
      <c r="M181" s="900">
        <v>15056</v>
      </c>
      <c r="N181" s="900">
        <v>15056</v>
      </c>
      <c r="O181" s="900">
        <v>15056</v>
      </c>
      <c r="P181" s="900">
        <v>15056</v>
      </c>
    </row>
    <row r="182" spans="1:16">
      <c r="A182" s="901" t="s">
        <v>2186</v>
      </c>
      <c r="B182" s="902" t="s">
        <v>2187</v>
      </c>
      <c r="C182" s="902" t="s">
        <v>2269</v>
      </c>
      <c r="D182" s="902">
        <v>1</v>
      </c>
      <c r="E182" s="902" t="s">
        <v>2270</v>
      </c>
      <c r="F182" s="902" t="s">
        <v>739</v>
      </c>
      <c r="G182" s="902" t="s">
        <v>2258</v>
      </c>
      <c r="H182" s="902" t="s">
        <v>2539</v>
      </c>
      <c r="I182" s="906" t="s">
        <v>2162</v>
      </c>
      <c r="J182" s="900">
        <v>683417.93</v>
      </c>
      <c r="K182" s="907">
        <v>119972.07999999999</v>
      </c>
      <c r="L182" s="900">
        <v>803390.01</v>
      </c>
      <c r="M182" s="900">
        <v>803390.01</v>
      </c>
      <c r="N182" s="900">
        <v>803390.01</v>
      </c>
      <c r="O182" s="900">
        <v>803390.01</v>
      </c>
      <c r="P182" s="900">
        <v>803390.01</v>
      </c>
    </row>
    <row r="183" spans="1:16">
      <c r="A183" s="901" t="s">
        <v>2186</v>
      </c>
      <c r="B183" s="902" t="s">
        <v>2187</v>
      </c>
      <c r="C183" s="902" t="s">
        <v>2269</v>
      </c>
      <c r="D183" s="902">
        <v>1</v>
      </c>
      <c r="E183" s="902" t="s">
        <v>2270</v>
      </c>
      <c r="F183" s="902" t="s">
        <v>754</v>
      </c>
      <c r="G183" s="902" t="s">
        <v>2259</v>
      </c>
      <c r="H183" s="902" t="s">
        <v>2594</v>
      </c>
      <c r="I183" s="906" t="s">
        <v>2163</v>
      </c>
      <c r="J183" s="900">
        <v>0</v>
      </c>
      <c r="K183" s="907">
        <v>297593.40999999997</v>
      </c>
      <c r="L183" s="900">
        <v>297593.40999999997</v>
      </c>
      <c r="M183" s="900">
        <v>297593.40999999997</v>
      </c>
      <c r="N183" s="900">
        <v>297593.40999999997</v>
      </c>
      <c r="O183" s="900">
        <v>297593.40999999997</v>
      </c>
      <c r="P183" s="900">
        <v>297593.40999999997</v>
      </c>
    </row>
    <row r="184" spans="1:16">
      <c r="A184" s="901" t="s">
        <v>2186</v>
      </c>
      <c r="B184" s="902" t="s">
        <v>2187</v>
      </c>
      <c r="C184" s="902" t="s">
        <v>2269</v>
      </c>
      <c r="D184" s="902">
        <v>1</v>
      </c>
      <c r="E184" s="902" t="s">
        <v>2270</v>
      </c>
      <c r="F184" s="902" t="s">
        <v>754</v>
      </c>
      <c r="G184" s="902" t="s">
        <v>2260</v>
      </c>
      <c r="H184" s="902" t="s">
        <v>2540</v>
      </c>
      <c r="I184" s="906" t="s">
        <v>2164</v>
      </c>
      <c r="J184" s="900">
        <v>69902.47</v>
      </c>
      <c r="K184" s="907">
        <v>769349.2</v>
      </c>
      <c r="L184" s="900">
        <v>839251.67</v>
      </c>
      <c r="M184" s="900">
        <v>839251.67</v>
      </c>
      <c r="N184" s="900">
        <v>839251.67</v>
      </c>
      <c r="O184" s="900">
        <v>839251.67</v>
      </c>
      <c r="P184" s="900">
        <v>839251.67</v>
      </c>
    </row>
    <row r="185" spans="1:16">
      <c r="A185" s="901" t="s">
        <v>2186</v>
      </c>
      <c r="B185" s="902" t="s">
        <v>2187</v>
      </c>
      <c r="C185" s="902" t="s">
        <v>2269</v>
      </c>
      <c r="D185" s="902">
        <v>1</v>
      </c>
      <c r="E185" s="902" t="s">
        <v>2270</v>
      </c>
      <c r="F185" s="902" t="s">
        <v>754</v>
      </c>
      <c r="G185" s="902" t="s">
        <v>2261</v>
      </c>
      <c r="H185" s="902" t="s">
        <v>2595</v>
      </c>
      <c r="I185" s="906" t="s">
        <v>2165</v>
      </c>
      <c r="J185" s="900">
        <v>0</v>
      </c>
      <c r="K185" s="907">
        <v>14103.47</v>
      </c>
      <c r="L185" s="900">
        <v>14103.47</v>
      </c>
      <c r="M185" s="900">
        <v>14103.47</v>
      </c>
      <c r="N185" s="900">
        <v>14103.47</v>
      </c>
      <c r="O185" s="900">
        <v>14103.47</v>
      </c>
      <c r="P185" s="900">
        <v>14103.47</v>
      </c>
    </row>
    <row r="186" spans="1:16">
      <c r="A186" s="901" t="s">
        <v>2186</v>
      </c>
      <c r="B186" s="902" t="s">
        <v>2187</v>
      </c>
      <c r="C186" s="902" t="s">
        <v>2269</v>
      </c>
      <c r="D186" s="902">
        <v>1</v>
      </c>
      <c r="E186" s="902" t="s">
        <v>2270</v>
      </c>
      <c r="F186" s="902" t="s">
        <v>754</v>
      </c>
      <c r="G186" s="902" t="s">
        <v>2262</v>
      </c>
      <c r="H186" s="902" t="s">
        <v>2541</v>
      </c>
      <c r="I186" s="906" t="s">
        <v>2166</v>
      </c>
      <c r="J186" s="900">
        <v>424715.35</v>
      </c>
      <c r="K186" s="907">
        <v>443782.65000000014</v>
      </c>
      <c r="L186" s="900">
        <v>868498</v>
      </c>
      <c r="M186" s="900">
        <v>868498</v>
      </c>
      <c r="N186" s="900">
        <v>868498</v>
      </c>
      <c r="O186" s="900">
        <v>868498</v>
      </c>
      <c r="P186" s="900">
        <v>868498</v>
      </c>
    </row>
    <row r="187" spans="1:16">
      <c r="A187" s="901" t="s">
        <v>2186</v>
      </c>
      <c r="B187" s="902" t="s">
        <v>2187</v>
      </c>
      <c r="C187" s="902" t="s">
        <v>2269</v>
      </c>
      <c r="D187" s="902">
        <v>1</v>
      </c>
      <c r="E187" s="902" t="s">
        <v>2270</v>
      </c>
      <c r="F187" s="902" t="s">
        <v>754</v>
      </c>
      <c r="G187" s="902" t="s">
        <v>2587</v>
      </c>
      <c r="H187" s="902" t="s">
        <v>2616</v>
      </c>
      <c r="I187" s="906" t="s">
        <v>2583</v>
      </c>
      <c r="J187" s="900">
        <v>0</v>
      </c>
      <c r="K187" s="907">
        <v>4000.84</v>
      </c>
      <c r="L187" s="900">
        <v>4000.84</v>
      </c>
      <c r="M187" s="900">
        <v>4000.84</v>
      </c>
      <c r="N187" s="900">
        <v>4000.84</v>
      </c>
      <c r="O187" s="900">
        <v>4000.84</v>
      </c>
      <c r="P187" s="900">
        <v>4000.84</v>
      </c>
    </row>
    <row r="188" spans="1:16">
      <c r="A188" s="901" t="s">
        <v>2186</v>
      </c>
      <c r="B188" s="902" t="s">
        <v>2187</v>
      </c>
      <c r="C188" s="902" t="s">
        <v>2269</v>
      </c>
      <c r="D188" s="902">
        <v>1</v>
      </c>
      <c r="E188" s="902" t="s">
        <v>2189</v>
      </c>
      <c r="F188" s="902" t="s">
        <v>739</v>
      </c>
      <c r="G188" s="902" t="s">
        <v>2194</v>
      </c>
      <c r="H188" s="902" t="s">
        <v>2617</v>
      </c>
      <c r="I188" s="906" t="s">
        <v>2095</v>
      </c>
      <c r="J188" s="900">
        <v>0</v>
      </c>
      <c r="K188" s="907">
        <v>0</v>
      </c>
      <c r="L188" s="900">
        <v>0</v>
      </c>
      <c r="M188" s="900">
        <v>0</v>
      </c>
      <c r="N188" s="900">
        <v>0</v>
      </c>
      <c r="O188" s="900">
        <v>0</v>
      </c>
      <c r="P188" s="900">
        <v>0</v>
      </c>
    </row>
    <row r="189" spans="1:16">
      <c r="A189" s="901" t="s">
        <v>2186</v>
      </c>
      <c r="B189" s="902" t="s">
        <v>2187</v>
      </c>
      <c r="C189" s="902" t="s">
        <v>2269</v>
      </c>
      <c r="D189" s="902">
        <v>1</v>
      </c>
      <c r="E189" s="902" t="s">
        <v>2189</v>
      </c>
      <c r="F189" s="902" t="s">
        <v>739</v>
      </c>
      <c r="G189" s="902" t="s">
        <v>2206</v>
      </c>
      <c r="H189" s="902" t="s">
        <v>2618</v>
      </c>
      <c r="I189" s="906" t="s">
        <v>2108</v>
      </c>
      <c r="J189" s="900">
        <v>0</v>
      </c>
      <c r="K189" s="907">
        <v>0</v>
      </c>
      <c r="L189" s="900">
        <v>0</v>
      </c>
      <c r="M189" s="900">
        <v>0</v>
      </c>
      <c r="N189" s="900">
        <v>0</v>
      </c>
      <c r="O189" s="900">
        <v>0</v>
      </c>
      <c r="P189" s="900">
        <v>0</v>
      </c>
    </row>
    <row r="190" spans="1:16">
      <c r="A190" s="901" t="s">
        <v>2186</v>
      </c>
      <c r="B190" s="902" t="s">
        <v>2187</v>
      </c>
      <c r="C190" s="902" t="s">
        <v>2269</v>
      </c>
      <c r="D190" s="902">
        <v>2</v>
      </c>
      <c r="E190" s="902" t="s">
        <v>2189</v>
      </c>
      <c r="F190" s="902" t="s">
        <v>739</v>
      </c>
      <c r="G190" s="902" t="s">
        <v>2240</v>
      </c>
      <c r="H190" s="902" t="s">
        <v>2994</v>
      </c>
      <c r="I190" s="906" t="s">
        <v>2142</v>
      </c>
      <c r="J190" s="900">
        <v>0</v>
      </c>
      <c r="K190" s="907">
        <v>0</v>
      </c>
      <c r="L190" s="900">
        <v>0</v>
      </c>
      <c r="M190" s="900">
        <v>0</v>
      </c>
      <c r="N190" s="900">
        <v>0</v>
      </c>
      <c r="O190" s="900">
        <v>0</v>
      </c>
      <c r="P190" s="900">
        <v>0</v>
      </c>
    </row>
    <row r="191" spans="1:16">
      <c r="A191" s="901" t="s">
        <v>2186</v>
      </c>
      <c r="B191" s="902" t="s">
        <v>2187</v>
      </c>
      <c r="C191" s="902" t="s">
        <v>2269</v>
      </c>
      <c r="D191" s="902">
        <v>3</v>
      </c>
      <c r="E191" s="902" t="s">
        <v>2189</v>
      </c>
      <c r="F191" s="902" t="s">
        <v>739</v>
      </c>
      <c r="G191" s="902" t="s">
        <v>2257</v>
      </c>
      <c r="H191" s="902" t="s">
        <v>2995</v>
      </c>
      <c r="I191" s="906" t="s">
        <v>2161</v>
      </c>
      <c r="J191" s="900">
        <v>0</v>
      </c>
      <c r="K191" s="907">
        <v>0</v>
      </c>
      <c r="L191" s="900">
        <v>0</v>
      </c>
      <c r="M191" s="900">
        <v>0</v>
      </c>
      <c r="N191" s="900">
        <v>0</v>
      </c>
      <c r="O191" s="900">
        <v>0</v>
      </c>
      <c r="P191" s="900">
        <v>0</v>
      </c>
    </row>
    <row r="192" spans="1:16">
      <c r="A192" s="901" t="s">
        <v>2186</v>
      </c>
      <c r="B192" s="902" t="s">
        <v>2187</v>
      </c>
      <c r="C192" s="902" t="s">
        <v>2269</v>
      </c>
      <c r="D192" s="902">
        <v>5</v>
      </c>
      <c r="E192" s="902" t="s">
        <v>2266</v>
      </c>
      <c r="F192" s="902" t="s">
        <v>739</v>
      </c>
      <c r="G192" s="902" t="s">
        <v>2234</v>
      </c>
      <c r="H192" s="902" t="s">
        <v>2996</v>
      </c>
      <c r="I192" s="906" t="s">
        <v>2136</v>
      </c>
      <c r="J192" s="900">
        <v>0</v>
      </c>
      <c r="K192" s="907">
        <v>0</v>
      </c>
      <c r="L192" s="900">
        <v>0</v>
      </c>
      <c r="M192" s="900">
        <v>0</v>
      </c>
      <c r="N192" s="900">
        <v>0</v>
      </c>
      <c r="O192" s="900">
        <v>0</v>
      </c>
      <c r="P192" s="900">
        <v>0</v>
      </c>
    </row>
    <row r="193" spans="1:16">
      <c r="A193" s="901" t="s">
        <v>2186</v>
      </c>
      <c r="B193" s="902" t="s">
        <v>2187</v>
      </c>
      <c r="C193" s="902" t="s">
        <v>2275</v>
      </c>
      <c r="D193" s="902">
        <v>10</v>
      </c>
      <c r="E193" s="902" t="s">
        <v>2276</v>
      </c>
      <c r="F193" s="902" t="s">
        <v>739</v>
      </c>
      <c r="G193" s="902" t="s">
        <v>2191</v>
      </c>
      <c r="H193" s="902" t="s">
        <v>2997</v>
      </c>
      <c r="I193" s="906" t="s">
        <v>2092</v>
      </c>
      <c r="J193" s="900">
        <v>0</v>
      </c>
      <c r="K193" s="907">
        <v>0</v>
      </c>
      <c r="L193" s="900">
        <v>0</v>
      </c>
      <c r="M193" s="900">
        <v>0</v>
      </c>
      <c r="N193" s="900">
        <v>0</v>
      </c>
      <c r="O193" s="900">
        <v>0</v>
      </c>
      <c r="P193" s="900">
        <v>0</v>
      </c>
    </row>
    <row r="194" spans="1:16">
      <c r="A194" s="901" t="s">
        <v>2186</v>
      </c>
      <c r="B194" s="902" t="s">
        <v>2187</v>
      </c>
      <c r="C194" s="902" t="s">
        <v>2275</v>
      </c>
      <c r="D194" s="902">
        <v>11</v>
      </c>
      <c r="E194" s="902" t="s">
        <v>2276</v>
      </c>
      <c r="F194" s="902" t="s">
        <v>739</v>
      </c>
      <c r="G194" s="902" t="s">
        <v>2194</v>
      </c>
      <c r="H194" s="902" t="s">
        <v>2998</v>
      </c>
      <c r="I194" s="906" t="s">
        <v>2095</v>
      </c>
      <c r="J194" s="900">
        <v>0</v>
      </c>
      <c r="K194" s="907">
        <v>0</v>
      </c>
      <c r="L194" s="900">
        <v>0</v>
      </c>
      <c r="M194" s="900">
        <v>0</v>
      </c>
      <c r="N194" s="900">
        <v>0</v>
      </c>
      <c r="O194" s="900">
        <v>0</v>
      </c>
      <c r="P194" s="900">
        <v>0</v>
      </c>
    </row>
    <row r="195" spans="1:16">
      <c r="A195" s="901" t="s">
        <v>2186</v>
      </c>
      <c r="B195" s="902" t="s">
        <v>2187</v>
      </c>
      <c r="C195" s="902" t="s">
        <v>2275</v>
      </c>
      <c r="D195" s="902">
        <v>12</v>
      </c>
      <c r="E195" s="902" t="s">
        <v>2276</v>
      </c>
      <c r="F195" s="902" t="s">
        <v>739</v>
      </c>
      <c r="G195" s="902" t="s">
        <v>2195</v>
      </c>
      <c r="H195" s="902" t="s">
        <v>2999</v>
      </c>
      <c r="I195" s="906" t="s">
        <v>2096</v>
      </c>
      <c r="J195" s="900">
        <v>0</v>
      </c>
      <c r="K195" s="907">
        <v>0</v>
      </c>
      <c r="L195" s="900">
        <v>0</v>
      </c>
      <c r="M195" s="900">
        <v>0</v>
      </c>
      <c r="N195" s="900">
        <v>0</v>
      </c>
      <c r="O195" s="900">
        <v>0</v>
      </c>
      <c r="P195" s="900">
        <v>0</v>
      </c>
    </row>
    <row r="196" spans="1:16">
      <c r="A196" s="901" t="s">
        <v>2186</v>
      </c>
      <c r="B196" s="902" t="s">
        <v>2187</v>
      </c>
      <c r="C196" s="902" t="s">
        <v>2275</v>
      </c>
      <c r="D196" s="902">
        <v>13</v>
      </c>
      <c r="E196" s="902" t="s">
        <v>2276</v>
      </c>
      <c r="F196" s="902" t="s">
        <v>739</v>
      </c>
      <c r="G196" s="902" t="s">
        <v>2272</v>
      </c>
      <c r="H196" s="902" t="s">
        <v>3000</v>
      </c>
      <c r="I196" s="906" t="s">
        <v>2179</v>
      </c>
      <c r="J196" s="900">
        <v>0</v>
      </c>
      <c r="K196" s="907">
        <v>10957.559999999998</v>
      </c>
      <c r="L196" s="900">
        <v>10957.56</v>
      </c>
      <c r="M196" s="900">
        <v>10957.56</v>
      </c>
      <c r="N196" s="900">
        <v>10957.56</v>
      </c>
      <c r="O196" s="900">
        <v>10957.56</v>
      </c>
      <c r="P196" s="900">
        <v>10957.56</v>
      </c>
    </row>
    <row r="197" spans="1:16">
      <c r="A197" s="901" t="s">
        <v>2186</v>
      </c>
      <c r="B197" s="902" t="s">
        <v>2187</v>
      </c>
      <c r="C197" s="902" t="s">
        <v>2275</v>
      </c>
      <c r="D197" s="902">
        <v>14</v>
      </c>
      <c r="E197" s="902" t="s">
        <v>2276</v>
      </c>
      <c r="F197" s="902" t="s">
        <v>739</v>
      </c>
      <c r="G197" s="902" t="s">
        <v>2196</v>
      </c>
      <c r="H197" s="902" t="s">
        <v>3001</v>
      </c>
      <c r="I197" s="906" t="s">
        <v>2097</v>
      </c>
      <c r="J197" s="900">
        <v>0</v>
      </c>
      <c r="K197" s="907">
        <v>0</v>
      </c>
      <c r="L197" s="900">
        <v>0</v>
      </c>
      <c r="M197" s="900">
        <v>0</v>
      </c>
      <c r="N197" s="900">
        <v>0</v>
      </c>
      <c r="O197" s="900">
        <v>0</v>
      </c>
      <c r="P197" s="900">
        <v>0</v>
      </c>
    </row>
    <row r="198" spans="1:16">
      <c r="A198" s="901" t="s">
        <v>2186</v>
      </c>
      <c r="B198" s="902" t="s">
        <v>2187</v>
      </c>
      <c r="C198" s="902" t="s">
        <v>2275</v>
      </c>
      <c r="D198" s="902">
        <v>15</v>
      </c>
      <c r="E198" s="902" t="s">
        <v>2276</v>
      </c>
      <c r="F198" s="902" t="s">
        <v>739</v>
      </c>
      <c r="G198" s="902" t="s">
        <v>2197</v>
      </c>
      <c r="H198" s="902" t="s">
        <v>3002</v>
      </c>
      <c r="I198" s="906" t="s">
        <v>2098</v>
      </c>
      <c r="J198" s="900">
        <v>0</v>
      </c>
      <c r="K198" s="907">
        <v>0</v>
      </c>
      <c r="L198" s="900">
        <v>0</v>
      </c>
      <c r="M198" s="900">
        <v>0</v>
      </c>
      <c r="N198" s="900">
        <v>0</v>
      </c>
      <c r="O198" s="900">
        <v>0</v>
      </c>
      <c r="P198" s="900">
        <v>0</v>
      </c>
    </row>
    <row r="199" spans="1:16">
      <c r="A199" s="901" t="s">
        <v>2186</v>
      </c>
      <c r="B199" s="902" t="s">
        <v>2187</v>
      </c>
      <c r="C199" s="902" t="s">
        <v>2275</v>
      </c>
      <c r="D199" s="902">
        <v>16</v>
      </c>
      <c r="E199" s="902" t="s">
        <v>2276</v>
      </c>
      <c r="F199" s="902" t="s">
        <v>739</v>
      </c>
      <c r="G199" s="902" t="s">
        <v>2200</v>
      </c>
      <c r="H199" s="902" t="s">
        <v>3003</v>
      </c>
      <c r="I199" s="906" t="s">
        <v>2101</v>
      </c>
      <c r="J199" s="900">
        <v>0</v>
      </c>
      <c r="K199" s="907">
        <v>0</v>
      </c>
      <c r="L199" s="900">
        <v>0</v>
      </c>
      <c r="M199" s="900">
        <v>0</v>
      </c>
      <c r="N199" s="900">
        <v>0</v>
      </c>
      <c r="O199" s="900">
        <v>0</v>
      </c>
      <c r="P199" s="900">
        <v>0</v>
      </c>
    </row>
    <row r="200" spans="1:16">
      <c r="A200" s="901" t="s">
        <v>2186</v>
      </c>
      <c r="B200" s="902" t="s">
        <v>2187</v>
      </c>
      <c r="C200" s="902" t="s">
        <v>2275</v>
      </c>
      <c r="D200" s="902">
        <v>17</v>
      </c>
      <c r="E200" s="902" t="s">
        <v>2276</v>
      </c>
      <c r="F200" s="902" t="s">
        <v>739</v>
      </c>
      <c r="G200" s="902" t="s">
        <v>2202</v>
      </c>
      <c r="H200" s="902" t="s">
        <v>3004</v>
      </c>
      <c r="I200" s="906" t="s">
        <v>2103</v>
      </c>
      <c r="J200" s="900">
        <v>0</v>
      </c>
      <c r="K200" s="907">
        <v>14850</v>
      </c>
      <c r="L200" s="900">
        <v>14850</v>
      </c>
      <c r="M200" s="900">
        <v>14850</v>
      </c>
      <c r="N200" s="900">
        <v>14850</v>
      </c>
      <c r="O200" s="900">
        <v>14850</v>
      </c>
      <c r="P200" s="900">
        <v>14850</v>
      </c>
    </row>
    <row r="201" spans="1:16">
      <c r="A201" s="901" t="s">
        <v>2186</v>
      </c>
      <c r="B201" s="902" t="s">
        <v>2187</v>
      </c>
      <c r="C201" s="902" t="s">
        <v>2275</v>
      </c>
      <c r="D201" s="902">
        <v>18</v>
      </c>
      <c r="E201" s="902" t="s">
        <v>2276</v>
      </c>
      <c r="F201" s="902" t="s">
        <v>739</v>
      </c>
      <c r="G201" s="902" t="s">
        <v>2228</v>
      </c>
      <c r="H201" s="902" t="s">
        <v>3005</v>
      </c>
      <c r="I201" s="906" t="s">
        <v>2130</v>
      </c>
      <c r="J201" s="900">
        <v>0</v>
      </c>
      <c r="K201" s="907">
        <v>0</v>
      </c>
      <c r="L201" s="900">
        <v>0</v>
      </c>
      <c r="M201" s="900">
        <v>0</v>
      </c>
      <c r="N201" s="900">
        <v>0</v>
      </c>
      <c r="O201" s="900">
        <v>0</v>
      </c>
      <c r="P201" s="900">
        <v>0</v>
      </c>
    </row>
    <row r="202" spans="1:16">
      <c r="A202" s="901" t="s">
        <v>2186</v>
      </c>
      <c r="B202" s="902" t="s">
        <v>2277</v>
      </c>
      <c r="C202" s="902" t="s">
        <v>2275</v>
      </c>
      <c r="D202" s="902">
        <v>23</v>
      </c>
      <c r="E202" s="902" t="s">
        <v>2270</v>
      </c>
      <c r="F202" s="902" t="s">
        <v>739</v>
      </c>
      <c r="G202" s="902" t="s">
        <v>2196</v>
      </c>
      <c r="H202" s="902" t="s">
        <v>3006</v>
      </c>
      <c r="I202" s="906" t="s">
        <v>2097</v>
      </c>
      <c r="J202" s="900">
        <v>0</v>
      </c>
      <c r="K202" s="907">
        <v>0</v>
      </c>
      <c r="L202" s="900">
        <v>0</v>
      </c>
      <c r="M202" s="900">
        <v>0</v>
      </c>
      <c r="N202" s="900">
        <v>0</v>
      </c>
      <c r="O202" s="900">
        <v>0</v>
      </c>
      <c r="P202" s="900">
        <v>0</v>
      </c>
    </row>
    <row r="203" spans="1:16">
      <c r="A203" s="901" t="s">
        <v>2186</v>
      </c>
      <c r="B203" s="902" t="s">
        <v>2277</v>
      </c>
      <c r="C203" s="902" t="s">
        <v>2275</v>
      </c>
      <c r="D203" s="902">
        <v>25</v>
      </c>
      <c r="E203" s="902" t="s">
        <v>2276</v>
      </c>
      <c r="F203" s="902" t="s">
        <v>739</v>
      </c>
      <c r="G203" s="902" t="s">
        <v>2191</v>
      </c>
      <c r="H203" s="902" t="s">
        <v>3007</v>
      </c>
      <c r="I203" s="906" t="s">
        <v>2092</v>
      </c>
      <c r="J203" s="900">
        <v>1574976.86</v>
      </c>
      <c r="K203" s="907">
        <v>-3090.2900000000373</v>
      </c>
      <c r="L203" s="900">
        <v>1571886.57</v>
      </c>
      <c r="M203" s="900">
        <v>1571886.57</v>
      </c>
      <c r="N203" s="900">
        <v>1571886.57</v>
      </c>
      <c r="O203" s="900">
        <v>1571886.57</v>
      </c>
      <c r="P203" s="904">
        <v>1571886.57</v>
      </c>
    </row>
    <row r="204" spans="1:16">
      <c r="A204" s="901" t="s">
        <v>2186</v>
      </c>
      <c r="B204" s="902" t="s">
        <v>2277</v>
      </c>
      <c r="C204" s="902" t="s">
        <v>2275</v>
      </c>
      <c r="D204" s="902">
        <v>26</v>
      </c>
      <c r="E204" s="902" t="s">
        <v>2276</v>
      </c>
      <c r="F204" s="902" t="s">
        <v>739</v>
      </c>
      <c r="G204" s="902" t="s">
        <v>2192</v>
      </c>
      <c r="H204" s="902" t="s">
        <v>3008</v>
      </c>
      <c r="I204" s="906" t="s">
        <v>2093</v>
      </c>
      <c r="J204" s="900">
        <v>642642.02</v>
      </c>
      <c r="K204" s="907">
        <v>-68364.790000000037</v>
      </c>
      <c r="L204" s="900">
        <v>574277.23</v>
      </c>
      <c r="M204" s="900">
        <v>574277.23</v>
      </c>
      <c r="N204" s="900">
        <v>574277.23</v>
      </c>
      <c r="O204" s="900">
        <v>574277.23</v>
      </c>
      <c r="P204" s="904">
        <v>574277.23</v>
      </c>
    </row>
    <row r="205" spans="1:16">
      <c r="A205" s="901" t="s">
        <v>2186</v>
      </c>
      <c r="B205" s="902" t="s">
        <v>2277</v>
      </c>
      <c r="C205" s="902" t="s">
        <v>2275</v>
      </c>
      <c r="D205" s="902">
        <v>27</v>
      </c>
      <c r="E205" s="902" t="s">
        <v>2276</v>
      </c>
      <c r="F205" s="902" t="s">
        <v>739</v>
      </c>
      <c r="G205" s="902" t="s">
        <v>2193</v>
      </c>
      <c r="H205" s="902" t="s">
        <v>3009</v>
      </c>
      <c r="I205" s="906" t="s">
        <v>2094</v>
      </c>
      <c r="J205" s="900">
        <v>3876</v>
      </c>
      <c r="K205" s="907">
        <v>-85.33</v>
      </c>
      <c r="L205" s="900">
        <v>3790.67</v>
      </c>
      <c r="M205" s="900">
        <v>3790.67</v>
      </c>
      <c r="N205" s="900">
        <v>3790.67</v>
      </c>
      <c r="O205" s="900">
        <v>3790.67</v>
      </c>
      <c r="P205" s="904">
        <v>3790.67</v>
      </c>
    </row>
    <row r="206" spans="1:16">
      <c r="A206" s="901" t="s">
        <v>2186</v>
      </c>
      <c r="B206" s="902" t="s">
        <v>2277</v>
      </c>
      <c r="C206" s="902" t="s">
        <v>2275</v>
      </c>
      <c r="D206" s="902">
        <v>28</v>
      </c>
      <c r="E206" s="902" t="s">
        <v>2276</v>
      </c>
      <c r="F206" s="902" t="s">
        <v>739</v>
      </c>
      <c r="G206" s="902" t="s">
        <v>2194</v>
      </c>
      <c r="H206" s="902" t="s">
        <v>3010</v>
      </c>
      <c r="I206" s="906" t="s">
        <v>2095</v>
      </c>
      <c r="J206" s="900">
        <v>128993.1</v>
      </c>
      <c r="K206" s="907">
        <v>-4510.1999999999971</v>
      </c>
      <c r="L206" s="900">
        <v>124482.9</v>
      </c>
      <c r="M206" s="900">
        <v>124482.9</v>
      </c>
      <c r="N206" s="900">
        <v>124482.9</v>
      </c>
      <c r="O206" s="900">
        <v>124482.9</v>
      </c>
      <c r="P206" s="904">
        <v>124482.9</v>
      </c>
    </row>
    <row r="207" spans="1:16">
      <c r="A207" s="901" t="s">
        <v>2186</v>
      </c>
      <c r="B207" s="902" t="s">
        <v>2277</v>
      </c>
      <c r="C207" s="902" t="s">
        <v>2275</v>
      </c>
      <c r="D207" s="902">
        <v>29</v>
      </c>
      <c r="E207" s="902" t="s">
        <v>2276</v>
      </c>
      <c r="F207" s="902" t="s">
        <v>739</v>
      </c>
      <c r="G207" s="902" t="s">
        <v>2195</v>
      </c>
      <c r="H207" s="902" t="s">
        <v>3011</v>
      </c>
      <c r="I207" s="906" t="s">
        <v>2096</v>
      </c>
      <c r="J207" s="900">
        <v>580442.71</v>
      </c>
      <c r="K207" s="907">
        <v>2274.4599999999919</v>
      </c>
      <c r="L207" s="900">
        <v>582717.17000000004</v>
      </c>
      <c r="M207" s="900">
        <v>582717.17000000004</v>
      </c>
      <c r="N207" s="900">
        <v>582717.17000000004</v>
      </c>
      <c r="O207" s="900">
        <v>582717.17000000004</v>
      </c>
      <c r="P207" s="904">
        <v>582717.17000000004</v>
      </c>
    </row>
    <row r="208" spans="1:16">
      <c r="A208" s="901" t="s">
        <v>2186</v>
      </c>
      <c r="B208" s="902" t="s">
        <v>2277</v>
      </c>
      <c r="C208" s="902" t="s">
        <v>2275</v>
      </c>
      <c r="D208" s="902">
        <v>30</v>
      </c>
      <c r="E208" s="902" t="s">
        <v>2276</v>
      </c>
      <c r="F208" s="902" t="s">
        <v>739</v>
      </c>
      <c r="G208" s="902" t="s">
        <v>2272</v>
      </c>
      <c r="H208" s="902" t="s">
        <v>3012</v>
      </c>
      <c r="I208" s="906" t="s">
        <v>2179</v>
      </c>
      <c r="J208" s="900">
        <v>85495.99</v>
      </c>
      <c r="K208" s="907">
        <v>49321.299999999988</v>
      </c>
      <c r="L208" s="900">
        <v>134817.29</v>
      </c>
      <c r="M208" s="900">
        <v>134817.29</v>
      </c>
      <c r="N208" s="900">
        <v>134817.29</v>
      </c>
      <c r="O208" s="900">
        <v>134817.29</v>
      </c>
      <c r="P208" s="904">
        <v>134817.29</v>
      </c>
    </row>
    <row r="209" spans="1:16">
      <c r="A209" s="901" t="s">
        <v>2186</v>
      </c>
      <c r="B209" s="902" t="s">
        <v>2277</v>
      </c>
      <c r="C209" s="902" t="s">
        <v>2275</v>
      </c>
      <c r="D209" s="902">
        <v>31</v>
      </c>
      <c r="E209" s="902" t="s">
        <v>2276</v>
      </c>
      <c r="F209" s="902" t="s">
        <v>739</v>
      </c>
      <c r="G209" s="902" t="s">
        <v>2196</v>
      </c>
      <c r="H209" s="902" t="s">
        <v>3013</v>
      </c>
      <c r="I209" s="906" t="s">
        <v>2097</v>
      </c>
      <c r="J209" s="900">
        <v>347202.9</v>
      </c>
      <c r="K209" s="907">
        <v>14331.190000000002</v>
      </c>
      <c r="L209" s="900">
        <v>361534.09</v>
      </c>
      <c r="M209" s="900">
        <v>361534.09</v>
      </c>
      <c r="N209" s="900">
        <v>361534.09</v>
      </c>
      <c r="O209" s="900">
        <v>361534.09</v>
      </c>
      <c r="P209" s="904">
        <v>361534.09</v>
      </c>
    </row>
    <row r="210" spans="1:16">
      <c r="A210" s="901" t="s">
        <v>2186</v>
      </c>
      <c r="B210" s="902" t="s">
        <v>2277</v>
      </c>
      <c r="C210" s="902" t="s">
        <v>2275</v>
      </c>
      <c r="D210" s="902">
        <v>32</v>
      </c>
      <c r="E210" s="902" t="s">
        <v>2276</v>
      </c>
      <c r="F210" s="902" t="s">
        <v>739</v>
      </c>
      <c r="G210" s="902" t="s">
        <v>2197</v>
      </c>
      <c r="H210" s="902" t="s">
        <v>3014</v>
      </c>
      <c r="I210" s="906" t="s">
        <v>2098</v>
      </c>
      <c r="J210" s="900">
        <v>153648</v>
      </c>
      <c r="K210" s="907">
        <v>-39686.089999999997</v>
      </c>
      <c r="L210" s="900">
        <v>113961.91</v>
      </c>
      <c r="M210" s="900">
        <v>113961.91</v>
      </c>
      <c r="N210" s="900">
        <v>113961.91</v>
      </c>
      <c r="O210" s="900">
        <v>113961.91</v>
      </c>
      <c r="P210" s="904">
        <v>113961.91</v>
      </c>
    </row>
    <row r="211" spans="1:16">
      <c r="A211" s="901" t="s">
        <v>2186</v>
      </c>
      <c r="B211" s="902" t="s">
        <v>2277</v>
      </c>
      <c r="C211" s="902" t="s">
        <v>2275</v>
      </c>
      <c r="D211" s="902">
        <v>33</v>
      </c>
      <c r="E211" s="902" t="s">
        <v>2276</v>
      </c>
      <c r="F211" s="902" t="s">
        <v>739</v>
      </c>
      <c r="G211" s="902" t="s">
        <v>2200</v>
      </c>
      <c r="H211" s="902" t="s">
        <v>3015</v>
      </c>
      <c r="I211" s="906" t="s">
        <v>2101</v>
      </c>
      <c r="J211" s="900">
        <v>1512232.08</v>
      </c>
      <c r="K211" s="907">
        <v>99833.19</v>
      </c>
      <c r="L211" s="900">
        <v>1612065.27</v>
      </c>
      <c r="M211" s="900">
        <v>1612065.27</v>
      </c>
      <c r="N211" s="900">
        <v>1612065.27</v>
      </c>
      <c r="O211" s="900">
        <v>1612065.27</v>
      </c>
      <c r="P211" s="904">
        <v>1612065.27</v>
      </c>
    </row>
    <row r="212" spans="1:16">
      <c r="A212" s="901" t="s">
        <v>2186</v>
      </c>
      <c r="B212" s="902" t="s">
        <v>2277</v>
      </c>
      <c r="C212" s="902" t="s">
        <v>2275</v>
      </c>
      <c r="D212" s="902">
        <v>34</v>
      </c>
      <c r="E212" s="902" t="s">
        <v>2276</v>
      </c>
      <c r="F212" s="902" t="s">
        <v>739</v>
      </c>
      <c r="G212" s="902" t="s">
        <v>2201</v>
      </c>
      <c r="H212" s="902" t="s">
        <v>3016</v>
      </c>
      <c r="I212" s="906" t="s">
        <v>2102</v>
      </c>
      <c r="J212" s="900">
        <v>1552538.41</v>
      </c>
      <c r="K212" s="907">
        <v>-47643</v>
      </c>
      <c r="L212" s="900">
        <v>1504895.41</v>
      </c>
      <c r="M212" s="900">
        <v>1504895.41</v>
      </c>
      <c r="N212" s="900">
        <v>1504895.41</v>
      </c>
      <c r="O212" s="900">
        <v>1504895.41</v>
      </c>
      <c r="P212" s="904">
        <v>1504895.41</v>
      </c>
    </row>
    <row r="213" spans="1:16">
      <c r="A213" s="901" t="s">
        <v>2186</v>
      </c>
      <c r="B213" s="902" t="s">
        <v>2277</v>
      </c>
      <c r="C213" s="902" t="s">
        <v>2275</v>
      </c>
      <c r="D213" s="902">
        <v>35</v>
      </c>
      <c r="E213" s="902" t="s">
        <v>2276</v>
      </c>
      <c r="F213" s="902" t="s">
        <v>739</v>
      </c>
      <c r="G213" s="902" t="s">
        <v>2202</v>
      </c>
      <c r="H213" s="902" t="s">
        <v>3017</v>
      </c>
      <c r="I213" s="906" t="s">
        <v>2103</v>
      </c>
      <c r="J213" s="900">
        <v>55656.92</v>
      </c>
      <c r="K213" s="907">
        <v>-21557.949999999997</v>
      </c>
      <c r="L213" s="900">
        <v>34098.97</v>
      </c>
      <c r="M213" s="900">
        <v>34098.97</v>
      </c>
      <c r="N213" s="900">
        <v>34098.97</v>
      </c>
      <c r="O213" s="900">
        <v>34098.97</v>
      </c>
      <c r="P213" s="904">
        <v>34098.97</v>
      </c>
    </row>
    <row r="214" spans="1:16">
      <c r="A214" s="901" t="s">
        <v>2186</v>
      </c>
      <c r="B214" s="902" t="s">
        <v>2277</v>
      </c>
      <c r="C214" s="902" t="s">
        <v>2275</v>
      </c>
      <c r="D214" s="902">
        <v>36</v>
      </c>
      <c r="E214" s="902" t="s">
        <v>2276</v>
      </c>
      <c r="F214" s="902" t="s">
        <v>739</v>
      </c>
      <c r="G214" s="902" t="s">
        <v>2203</v>
      </c>
      <c r="H214" s="902" t="s">
        <v>3018</v>
      </c>
      <c r="I214" s="906" t="s">
        <v>2104</v>
      </c>
      <c r="J214" s="900">
        <v>246834.14</v>
      </c>
      <c r="K214" s="907">
        <v>-246834.14</v>
      </c>
      <c r="L214" s="900">
        <v>0</v>
      </c>
      <c r="M214" s="900">
        <v>0</v>
      </c>
      <c r="N214" s="900">
        <v>0</v>
      </c>
      <c r="O214" s="900">
        <v>0</v>
      </c>
      <c r="P214" s="904">
        <v>0</v>
      </c>
    </row>
    <row r="215" spans="1:16">
      <c r="A215" s="901" t="s">
        <v>2186</v>
      </c>
      <c r="B215" s="902" t="s">
        <v>2277</v>
      </c>
      <c r="C215" s="902" t="s">
        <v>2275</v>
      </c>
      <c r="D215" s="902">
        <v>37</v>
      </c>
      <c r="E215" s="902" t="s">
        <v>2276</v>
      </c>
      <c r="F215" s="902" t="s">
        <v>739</v>
      </c>
      <c r="G215" s="902" t="s">
        <v>2204</v>
      </c>
      <c r="H215" s="902" t="s">
        <v>3019</v>
      </c>
      <c r="I215" s="906" t="s">
        <v>2105</v>
      </c>
      <c r="J215" s="900">
        <v>168774.31</v>
      </c>
      <c r="K215" s="907">
        <v>-6789.3299999999581</v>
      </c>
      <c r="L215" s="900">
        <v>161984.98000000001</v>
      </c>
      <c r="M215" s="900">
        <v>161984.98000000001</v>
      </c>
      <c r="N215" s="900">
        <v>161984.98000000001</v>
      </c>
      <c r="O215" s="900">
        <v>161984.98000000001</v>
      </c>
      <c r="P215" s="904">
        <v>161984.98000000001</v>
      </c>
    </row>
    <row r="216" spans="1:16">
      <c r="A216" s="901" t="s">
        <v>2186</v>
      </c>
      <c r="B216" s="902" t="s">
        <v>2277</v>
      </c>
      <c r="C216" s="902" t="s">
        <v>2275</v>
      </c>
      <c r="D216" s="902">
        <v>38</v>
      </c>
      <c r="E216" s="902" t="s">
        <v>2276</v>
      </c>
      <c r="F216" s="902" t="s">
        <v>739</v>
      </c>
      <c r="G216" s="902" t="s">
        <v>2205</v>
      </c>
      <c r="H216" s="902" t="s">
        <v>3020</v>
      </c>
      <c r="I216" s="906" t="s">
        <v>2106</v>
      </c>
      <c r="J216" s="900">
        <v>4077.3</v>
      </c>
      <c r="K216" s="907">
        <v>36.180000000000007</v>
      </c>
      <c r="L216" s="900">
        <v>4113.4799999999996</v>
      </c>
      <c r="M216" s="900">
        <v>4113.4799999999996</v>
      </c>
      <c r="N216" s="900">
        <v>4113.4799999999996</v>
      </c>
      <c r="O216" s="900">
        <v>4113.4799999999996</v>
      </c>
      <c r="P216" s="904">
        <v>4113.4799999999996</v>
      </c>
    </row>
    <row r="217" spans="1:16">
      <c r="A217" s="901" t="s">
        <v>2186</v>
      </c>
      <c r="B217" s="902" t="s">
        <v>2277</v>
      </c>
      <c r="C217" s="902" t="s">
        <v>2275</v>
      </c>
      <c r="D217" s="902">
        <v>39</v>
      </c>
      <c r="E217" s="902" t="s">
        <v>2276</v>
      </c>
      <c r="F217" s="902" t="s">
        <v>739</v>
      </c>
      <c r="G217" s="902" t="s">
        <v>2984</v>
      </c>
      <c r="H217" s="902" t="s">
        <v>3021</v>
      </c>
      <c r="I217" s="906" t="s">
        <v>2982</v>
      </c>
      <c r="J217" s="900">
        <v>0</v>
      </c>
      <c r="K217" s="907">
        <v>0</v>
      </c>
      <c r="L217" s="900">
        <v>0</v>
      </c>
      <c r="M217" s="900">
        <v>0</v>
      </c>
      <c r="N217" s="900">
        <v>0</v>
      </c>
      <c r="O217" s="900">
        <v>0</v>
      </c>
      <c r="P217" s="904">
        <v>0</v>
      </c>
    </row>
    <row r="218" spans="1:16">
      <c r="A218" s="901" t="s">
        <v>2186</v>
      </c>
      <c r="B218" s="902" t="s">
        <v>2277</v>
      </c>
      <c r="C218" s="902" t="s">
        <v>2275</v>
      </c>
      <c r="D218" s="902">
        <v>40</v>
      </c>
      <c r="E218" s="902" t="s">
        <v>2276</v>
      </c>
      <c r="F218" s="902" t="s">
        <v>739</v>
      </c>
      <c r="G218" s="902" t="s">
        <v>2216</v>
      </c>
      <c r="H218" s="902" t="s">
        <v>3022</v>
      </c>
      <c r="I218" s="906" t="s">
        <v>2118</v>
      </c>
      <c r="J218" s="900">
        <v>184331.32</v>
      </c>
      <c r="K218" s="907">
        <v>-19019.75999999998</v>
      </c>
      <c r="L218" s="900">
        <v>165311.56</v>
      </c>
      <c r="M218" s="900">
        <v>165311.56</v>
      </c>
      <c r="N218" s="900">
        <v>165311.56</v>
      </c>
      <c r="O218" s="900">
        <v>165311.56</v>
      </c>
      <c r="P218" s="904">
        <v>165311.56</v>
      </c>
    </row>
    <row r="219" spans="1:16">
      <c r="A219" s="901" t="s">
        <v>2186</v>
      </c>
      <c r="B219" s="902" t="s">
        <v>2277</v>
      </c>
      <c r="C219" s="902" t="s">
        <v>2275</v>
      </c>
      <c r="D219" s="902">
        <v>41</v>
      </c>
      <c r="E219" s="902" t="s">
        <v>2276</v>
      </c>
      <c r="F219" s="902" t="s">
        <v>739</v>
      </c>
      <c r="G219" s="902" t="s">
        <v>2222</v>
      </c>
      <c r="H219" s="902" t="s">
        <v>3023</v>
      </c>
      <c r="I219" s="906" t="s">
        <v>2124</v>
      </c>
      <c r="J219" s="900">
        <v>32774.89</v>
      </c>
      <c r="K219" s="907">
        <v>-23535.89</v>
      </c>
      <c r="L219" s="900">
        <v>9239</v>
      </c>
      <c r="M219" s="900">
        <v>9239</v>
      </c>
      <c r="N219" s="900">
        <v>9239</v>
      </c>
      <c r="O219" s="900">
        <v>9239</v>
      </c>
      <c r="P219" s="904">
        <v>9239</v>
      </c>
    </row>
    <row r="220" spans="1:16">
      <c r="A220" s="901" t="s">
        <v>2186</v>
      </c>
      <c r="B220" s="902" t="s">
        <v>2277</v>
      </c>
      <c r="C220" s="902" t="s">
        <v>2275</v>
      </c>
      <c r="D220" s="902">
        <v>42</v>
      </c>
      <c r="E220" s="902" t="s">
        <v>2276</v>
      </c>
      <c r="F220" s="902" t="s">
        <v>739</v>
      </c>
      <c r="G220" s="902" t="s">
        <v>2228</v>
      </c>
      <c r="H220" s="902" t="s">
        <v>3024</v>
      </c>
      <c r="I220" s="906" t="s">
        <v>2130</v>
      </c>
      <c r="J220" s="900">
        <v>725011.48</v>
      </c>
      <c r="K220" s="907">
        <v>-48130.780000000028</v>
      </c>
      <c r="L220" s="900">
        <v>676880.7</v>
      </c>
      <c r="M220" s="900">
        <v>676880.7</v>
      </c>
      <c r="N220" s="900">
        <v>676880.7</v>
      </c>
      <c r="O220" s="900">
        <v>676880.7</v>
      </c>
      <c r="P220" s="904">
        <v>676880.7</v>
      </c>
    </row>
    <row r="221" spans="1:16">
      <c r="A221" s="901" t="s">
        <v>2186</v>
      </c>
      <c r="B221" s="902" t="s">
        <v>2277</v>
      </c>
      <c r="C221" s="902" t="s">
        <v>2275</v>
      </c>
      <c r="D221" s="902">
        <v>43</v>
      </c>
      <c r="E221" s="902" t="s">
        <v>2276</v>
      </c>
      <c r="F221" s="902" t="s">
        <v>739</v>
      </c>
      <c r="G221" s="902" t="s">
        <v>2245</v>
      </c>
      <c r="H221" s="902" t="s">
        <v>3025</v>
      </c>
      <c r="I221" s="906" t="s">
        <v>2147</v>
      </c>
      <c r="J221" s="900">
        <v>68244.600000000006</v>
      </c>
      <c r="K221" s="907">
        <v>39830.720000000001</v>
      </c>
      <c r="L221" s="900">
        <v>108075.32</v>
      </c>
      <c r="M221" s="900">
        <v>108075.32</v>
      </c>
      <c r="N221" s="900">
        <v>108075.32</v>
      </c>
      <c r="O221" s="900">
        <v>108075.32</v>
      </c>
      <c r="P221" s="904">
        <v>108075.32</v>
      </c>
    </row>
    <row r="222" spans="1:16">
      <c r="A222" s="901" t="s">
        <v>2186</v>
      </c>
      <c r="B222" s="902" t="s">
        <v>2277</v>
      </c>
      <c r="C222" s="902" t="s">
        <v>2275</v>
      </c>
      <c r="D222" s="902">
        <v>44</v>
      </c>
      <c r="E222" s="902" t="s">
        <v>2276</v>
      </c>
      <c r="F222" s="902" t="s">
        <v>739</v>
      </c>
      <c r="G222" s="902" t="s">
        <v>2252</v>
      </c>
      <c r="H222" s="902" t="s">
        <v>3026</v>
      </c>
      <c r="I222" s="906" t="s">
        <v>2156</v>
      </c>
      <c r="J222" s="900">
        <v>9756.68</v>
      </c>
      <c r="K222" s="907">
        <v>3851.59</v>
      </c>
      <c r="L222" s="900">
        <v>13608.27</v>
      </c>
      <c r="M222" s="900">
        <v>13608.27</v>
      </c>
      <c r="N222" s="900">
        <v>13608.27</v>
      </c>
      <c r="O222" s="900">
        <v>13608.27</v>
      </c>
      <c r="P222" s="904">
        <v>13608.27</v>
      </c>
    </row>
    <row r="223" spans="1:16">
      <c r="A223" s="901" t="s">
        <v>2186</v>
      </c>
      <c r="B223" s="902" t="s">
        <v>2277</v>
      </c>
      <c r="C223" s="902" t="s">
        <v>2275</v>
      </c>
      <c r="D223" s="902">
        <v>45</v>
      </c>
      <c r="E223" s="902" t="s">
        <v>2276</v>
      </c>
      <c r="F223" s="902" t="s">
        <v>739</v>
      </c>
      <c r="G223" s="902" t="s">
        <v>2253</v>
      </c>
      <c r="H223" s="902" t="s">
        <v>3027</v>
      </c>
      <c r="I223" s="906" t="s">
        <v>2157</v>
      </c>
      <c r="J223" s="900">
        <v>16952.54</v>
      </c>
      <c r="K223" s="907">
        <v>-16952.54</v>
      </c>
      <c r="L223" s="900">
        <v>0</v>
      </c>
      <c r="M223" s="900">
        <v>0</v>
      </c>
      <c r="N223" s="900">
        <v>0</v>
      </c>
      <c r="O223" s="900">
        <v>0</v>
      </c>
      <c r="P223" s="904">
        <v>0</v>
      </c>
    </row>
    <row r="224" spans="1:16">
      <c r="A224" s="901" t="s">
        <v>2186</v>
      </c>
      <c r="B224" s="902" t="s">
        <v>2277</v>
      </c>
      <c r="C224" s="902" t="s">
        <v>2275</v>
      </c>
      <c r="D224" s="902">
        <v>46</v>
      </c>
      <c r="E224" s="902" t="s">
        <v>2276</v>
      </c>
      <c r="F224" s="902" t="s">
        <v>739</v>
      </c>
      <c r="G224" s="902" t="s">
        <v>2258</v>
      </c>
      <c r="H224" s="902" t="s">
        <v>3028</v>
      </c>
      <c r="I224" s="906" t="s">
        <v>2162</v>
      </c>
      <c r="J224" s="900">
        <v>119200.71</v>
      </c>
      <c r="K224" s="907">
        <v>649.02000000000407</v>
      </c>
      <c r="L224" s="900">
        <v>119849.73</v>
      </c>
      <c r="M224" s="900">
        <v>119849.73</v>
      </c>
      <c r="N224" s="900">
        <v>119849.73</v>
      </c>
      <c r="O224" s="900">
        <v>119849.73</v>
      </c>
      <c r="P224" s="904">
        <v>119849.73</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F261"/>
  <sheetViews>
    <sheetView zoomScale="80" zoomScaleNormal="80" workbookViewId="0">
      <pane xSplit="9" ySplit="1" topLeftCell="O207" activePane="bottomRight" state="frozen"/>
      <selection pane="topRight" activeCell="J1" sqref="J1"/>
      <selection pane="bottomLeft" activeCell="A2" sqref="A2"/>
      <selection pane="bottomRight" activeCell="A7" sqref="A7:P261"/>
    </sheetView>
  </sheetViews>
  <sheetFormatPr baseColWidth="10" defaultColWidth="11.5703125" defaultRowHeight="11.25"/>
  <cols>
    <col min="1" max="1" width="4.140625" style="131" bestFit="1" customWidth="1"/>
    <col min="2" max="2" width="4" style="131" bestFit="1" customWidth="1"/>
    <col min="3" max="3" width="10.7109375" style="131" customWidth="1"/>
    <col min="4" max="4" width="3.5703125" style="131" bestFit="1" customWidth="1"/>
    <col min="5" max="5" width="8.28515625" style="131" bestFit="1" customWidth="1"/>
    <col min="6" max="6" width="4" style="131" bestFit="1" customWidth="1"/>
    <col min="7" max="7" width="5.42578125" style="131" bestFit="1" customWidth="1"/>
    <col min="8" max="8" width="42.85546875" style="131" customWidth="1"/>
    <col min="9" max="9" width="11.5703125" style="908"/>
    <col min="10" max="10" width="15.140625" style="328" bestFit="1" customWidth="1"/>
    <col min="11" max="11" width="14" style="328" bestFit="1" customWidth="1"/>
    <col min="12" max="15" width="15.140625" style="328" bestFit="1" customWidth="1"/>
    <col min="16" max="16" width="12.85546875" style="328" bestFit="1" customWidth="1"/>
    <col min="17" max="17" width="12.85546875" style="959" customWidth="1"/>
    <col min="18" max="18" width="11.5703125" style="908"/>
    <col min="19" max="30" width="11.5703125" style="131"/>
    <col min="31" max="31" width="12.42578125" style="131" bestFit="1" customWidth="1"/>
    <col min="32" max="16384" width="11.5703125" style="131"/>
  </cols>
  <sheetData>
    <row r="1" spans="1:32" ht="15">
      <c r="A1" s="325" t="s">
        <v>250</v>
      </c>
      <c r="B1" s="325" t="s">
        <v>249</v>
      </c>
      <c r="C1" s="325" t="s">
        <v>762</v>
      </c>
      <c r="D1" s="325" t="s">
        <v>225</v>
      </c>
      <c r="E1" s="325" t="s">
        <v>280</v>
      </c>
      <c r="F1" s="325" t="s">
        <v>251</v>
      </c>
      <c r="G1" s="325" t="s">
        <v>252</v>
      </c>
      <c r="H1" s="325" t="s">
        <v>827</v>
      </c>
      <c r="I1" s="451" t="s">
        <v>2606</v>
      </c>
      <c r="J1" s="452" t="s">
        <v>357</v>
      </c>
      <c r="K1" s="452" t="s">
        <v>386</v>
      </c>
      <c r="L1" s="452" t="s">
        <v>358</v>
      </c>
      <c r="M1" s="452" t="s">
        <v>395</v>
      </c>
      <c r="N1" s="452" t="s">
        <v>359</v>
      </c>
      <c r="O1" s="452" t="s">
        <v>396</v>
      </c>
      <c r="P1" s="452" t="s">
        <v>397</v>
      </c>
      <c r="Q1" s="958"/>
      <c r="R1" s="451" t="s">
        <v>2606</v>
      </c>
      <c r="S1" s="452" t="s">
        <v>357</v>
      </c>
      <c r="T1" s="452" t="s">
        <v>2278</v>
      </c>
      <c r="U1" s="452" t="s">
        <v>2279</v>
      </c>
      <c r="V1" s="452" t="s">
        <v>358</v>
      </c>
      <c r="W1" s="452" t="s">
        <v>359</v>
      </c>
      <c r="X1" s="452" t="s">
        <v>397</v>
      </c>
      <c r="Y1" s="452" t="s">
        <v>2280</v>
      </c>
      <c r="Z1" s="452" t="s">
        <v>2281</v>
      </c>
      <c r="AA1" s="452" t="s">
        <v>395</v>
      </c>
      <c r="AB1" s="452" t="s">
        <v>2282</v>
      </c>
      <c r="AC1" s="452" t="s">
        <v>2283</v>
      </c>
      <c r="AD1" s="452" t="s">
        <v>2284</v>
      </c>
      <c r="AE1" s="452" t="s">
        <v>2285</v>
      </c>
      <c r="AF1" s="452" t="s">
        <v>2286</v>
      </c>
    </row>
    <row r="2" spans="1:32" ht="15" hidden="1">
      <c r="I2" s="453" t="s">
        <v>2083</v>
      </c>
      <c r="J2" s="921">
        <f>+S2</f>
        <v>80405840.510000005</v>
      </c>
      <c r="K2" s="921">
        <f>+T2+U2</f>
        <v>8457903.8100000024</v>
      </c>
      <c r="L2" s="921">
        <f>+V2</f>
        <v>88863744.319999993</v>
      </c>
      <c r="M2" s="921">
        <f>+AA2+N2</f>
        <v>86193205.109999999</v>
      </c>
      <c r="N2" s="921">
        <f>+W2+P2</f>
        <v>86193205.109999999</v>
      </c>
      <c r="O2" s="921">
        <f>+W2+P2</f>
        <v>86193205.109999999</v>
      </c>
      <c r="P2" s="921">
        <f>+X2</f>
        <v>84872096.260000005</v>
      </c>
      <c r="Q2" s="921"/>
      <c r="R2" s="453" t="s">
        <v>2083</v>
      </c>
      <c r="S2" s="454">
        <v>80405840.510000005</v>
      </c>
      <c r="T2" s="454">
        <v>60552523.390000001</v>
      </c>
      <c r="U2" s="454">
        <v>-52094619.579999998</v>
      </c>
      <c r="V2" s="454">
        <v>88863744.319999993</v>
      </c>
      <c r="W2" s="454">
        <v>1321108.8500000001</v>
      </c>
      <c r="X2" s="454">
        <v>84872096.260000005</v>
      </c>
      <c r="Y2" s="454">
        <v>86193205.109999999</v>
      </c>
      <c r="Z2" s="454">
        <v>96.994799999999998</v>
      </c>
      <c r="AA2" s="454">
        <v>0</v>
      </c>
      <c r="AB2" s="454">
        <v>0</v>
      </c>
      <c r="AC2" s="454">
        <v>86193205.109999999</v>
      </c>
      <c r="AD2" s="454">
        <v>96.994799999999998</v>
      </c>
      <c r="AE2" s="454">
        <v>2670539.21</v>
      </c>
      <c r="AF2" s="454">
        <v>3.0051999999999999</v>
      </c>
    </row>
    <row r="3" spans="1:32" ht="12.75" hidden="1">
      <c r="A3" s="140" t="s">
        <v>2186</v>
      </c>
      <c r="B3" s="140" t="str">
        <f>IF((LEFT($I3,5))="**** ",MID($I3,7,5),+B2)</f>
        <v>1.2.1</v>
      </c>
      <c r="C3" s="140">
        <f>IF((LEFT($I3,4))="*** ",A3&amp;"-"&amp;MID($I3,7,5),+C2)</f>
        <v>0</v>
      </c>
      <c r="D3" s="140">
        <v>1</v>
      </c>
      <c r="E3" s="140">
        <f>IF((LEFT($I3,2))="* ",MID($I3,7,10),+E2)</f>
        <v>0</v>
      </c>
      <c r="F3" s="140" t="str">
        <f>IF((LEFT($G3,1))="5","2","1")</f>
        <v>1</v>
      </c>
      <c r="G3" s="140" t="str">
        <f>IF((LEFT($I3,1))=" ",MID($I3,7,4),"")</f>
        <v/>
      </c>
      <c r="H3" s="140" t="str">
        <f>IF((LEFT($I3,1))=" ",B3&amp;"/"&amp;C3&amp;"/"&amp;D3&amp;"/"&amp;E3&amp;"/"&amp;F3&amp;"/"&amp;MID($I3,7,50),"")</f>
        <v/>
      </c>
      <c r="I3" s="918" t="s">
        <v>2084</v>
      </c>
      <c r="J3" s="922">
        <f t="shared" ref="J3:J66" si="0">+S3</f>
        <v>1312000</v>
      </c>
      <c r="K3" s="923">
        <f t="shared" ref="K3:K66" si="1">+T3+U3</f>
        <v>1358534.31</v>
      </c>
      <c r="L3" s="923">
        <f t="shared" ref="L3:L66" si="2">+V3</f>
        <v>2670534.31</v>
      </c>
      <c r="M3" s="922">
        <f t="shared" ref="M3:M66" si="3">+AA3+N3</f>
        <v>0</v>
      </c>
      <c r="N3" s="923">
        <f t="shared" ref="N3:N66" si="4">+W3+P3</f>
        <v>0</v>
      </c>
      <c r="O3" s="923">
        <f t="shared" ref="O3:O66" si="5">+W3+P3</f>
        <v>0</v>
      </c>
      <c r="P3" s="922">
        <f t="shared" ref="P3:P66" si="6">+X3</f>
        <v>0</v>
      </c>
      <c r="Q3" s="922"/>
      <c r="R3" s="918" t="s">
        <v>2084</v>
      </c>
      <c r="S3" s="919">
        <v>1312000</v>
      </c>
      <c r="T3" s="919">
        <v>1359654.31</v>
      </c>
      <c r="U3" s="919">
        <v>-1120</v>
      </c>
      <c r="V3" s="919">
        <v>2670534.31</v>
      </c>
      <c r="W3" s="920">
        <v>0</v>
      </c>
      <c r="X3" s="920">
        <v>0</v>
      </c>
      <c r="Y3" s="919">
        <v>0</v>
      </c>
      <c r="Z3" s="919">
        <v>0</v>
      </c>
      <c r="AA3" s="920">
        <v>0</v>
      </c>
      <c r="AB3" s="919">
        <v>0</v>
      </c>
      <c r="AC3" s="919">
        <v>0</v>
      </c>
      <c r="AD3" s="919">
        <v>0</v>
      </c>
      <c r="AE3" s="919">
        <v>2670534.31</v>
      </c>
      <c r="AF3" s="919">
        <v>100</v>
      </c>
    </row>
    <row r="4" spans="1:32" ht="12.75" hidden="1">
      <c r="A4" s="140" t="str">
        <f t="shared" ref="A4:A66" si="7">IF((LEFT($I4,6))="***** ","E001",+A3)</f>
        <v>E058</v>
      </c>
      <c r="B4" s="140" t="str">
        <f t="shared" ref="B4:B67" si="8">IF((LEFT($I4,5))="**** ",MID($I4,7,5),+B3)</f>
        <v>1.2.1</v>
      </c>
      <c r="C4" s="140" t="str">
        <f t="shared" ref="C4:C67" si="9">IF((LEFT($I4,4))="*** ",A4&amp;"-"&amp;MID($I4,7,5),+C3)</f>
        <v>E058-G0101</v>
      </c>
      <c r="D4" s="140">
        <v>1</v>
      </c>
      <c r="E4" s="140">
        <f t="shared" ref="E4:E67" si="10">IF((LEFT($I4,2))="* ",MID($I4,7,10),+E3)</f>
        <v>0</v>
      </c>
      <c r="F4" s="140" t="str">
        <f t="shared" ref="F4:F67" si="11">IF((LEFT($G4,1))="5","2","1")</f>
        <v>1</v>
      </c>
      <c r="G4" s="140" t="str">
        <f t="shared" ref="G4:G67" si="12">IF((LEFT($I4,1))=" ",MID($I4,7,4),"")</f>
        <v/>
      </c>
      <c r="H4" s="140" t="str">
        <f t="shared" ref="H4:H67" si="13">IF((LEFT($I4,1))=" ",B4&amp;"/"&amp;C4&amp;"/"&amp;D4&amp;"/"&amp;E4&amp;"/"&amp;F4&amp;"/"&amp;MID($I4,7,50),"")</f>
        <v/>
      </c>
      <c r="I4" s="918" t="s">
        <v>2085</v>
      </c>
      <c r="J4" s="922">
        <f t="shared" si="0"/>
        <v>1312000</v>
      </c>
      <c r="K4" s="923">
        <f t="shared" si="1"/>
        <v>1358534.31</v>
      </c>
      <c r="L4" s="923">
        <f t="shared" si="2"/>
        <v>2670534.31</v>
      </c>
      <c r="M4" s="922">
        <f t="shared" si="3"/>
        <v>0</v>
      </c>
      <c r="N4" s="923">
        <f t="shared" si="4"/>
        <v>0</v>
      </c>
      <c r="O4" s="923">
        <f t="shared" si="5"/>
        <v>0</v>
      </c>
      <c r="P4" s="922">
        <f t="shared" si="6"/>
        <v>0</v>
      </c>
      <c r="Q4" s="922"/>
      <c r="R4" s="918" t="s">
        <v>2085</v>
      </c>
      <c r="S4" s="919">
        <v>1312000</v>
      </c>
      <c r="T4" s="919">
        <v>1359654.31</v>
      </c>
      <c r="U4" s="919">
        <v>-1120</v>
      </c>
      <c r="V4" s="919">
        <v>2670534.31</v>
      </c>
      <c r="W4" s="920">
        <v>0</v>
      </c>
      <c r="X4" s="920">
        <v>0</v>
      </c>
      <c r="Y4" s="919">
        <v>0</v>
      </c>
      <c r="Z4" s="919">
        <v>0</v>
      </c>
      <c r="AA4" s="920">
        <v>0</v>
      </c>
      <c r="AB4" s="919">
        <v>0</v>
      </c>
      <c r="AC4" s="919">
        <v>0</v>
      </c>
      <c r="AD4" s="919">
        <v>0</v>
      </c>
      <c r="AE4" s="919">
        <v>2670534.31</v>
      </c>
      <c r="AF4" s="919">
        <v>100</v>
      </c>
    </row>
    <row r="5" spans="1:32" ht="15" hidden="1">
      <c r="A5" s="140" t="str">
        <f t="shared" si="7"/>
        <v>E058</v>
      </c>
      <c r="B5" s="140" t="str">
        <f t="shared" si="8"/>
        <v>1.2.1</v>
      </c>
      <c r="C5" s="140" t="str">
        <f t="shared" si="9"/>
        <v>E058-G0101</v>
      </c>
      <c r="D5" s="140">
        <v>1</v>
      </c>
      <c r="E5" s="140">
        <f t="shared" si="10"/>
        <v>0</v>
      </c>
      <c r="F5" s="140" t="str">
        <f t="shared" si="11"/>
        <v>1</v>
      </c>
      <c r="G5" s="140" t="str">
        <f t="shared" si="12"/>
        <v/>
      </c>
      <c r="H5" s="140" t="str">
        <f t="shared" si="13"/>
        <v/>
      </c>
      <c r="I5" s="971" t="s">
        <v>2086</v>
      </c>
      <c r="J5" s="924">
        <f t="shared" si="0"/>
        <v>1312000</v>
      </c>
      <c r="K5" s="925">
        <f t="shared" si="1"/>
        <v>1358534.31</v>
      </c>
      <c r="L5" s="925">
        <f t="shared" si="2"/>
        <v>2670534.31</v>
      </c>
      <c r="M5" s="924">
        <f t="shared" si="3"/>
        <v>0</v>
      </c>
      <c r="N5" s="925">
        <f t="shared" si="4"/>
        <v>0</v>
      </c>
      <c r="O5" s="925">
        <f t="shared" si="5"/>
        <v>0</v>
      </c>
      <c r="P5" s="924">
        <f t="shared" si="6"/>
        <v>0</v>
      </c>
      <c r="Q5" s="924"/>
      <c r="R5" s="971" t="s">
        <v>2086</v>
      </c>
      <c r="S5" s="972">
        <v>1312000</v>
      </c>
      <c r="T5" s="972">
        <v>1359654.31</v>
      </c>
      <c r="U5" s="972">
        <v>-1120</v>
      </c>
      <c r="V5" s="972">
        <v>2670534.31</v>
      </c>
      <c r="W5" s="973">
        <v>0</v>
      </c>
      <c r="X5" s="973">
        <v>0</v>
      </c>
      <c r="Y5" s="972">
        <v>0</v>
      </c>
      <c r="Z5" s="972">
        <v>0</v>
      </c>
      <c r="AA5" s="973">
        <v>0</v>
      </c>
      <c r="AB5" s="972">
        <v>0</v>
      </c>
      <c r="AC5" s="972">
        <v>0</v>
      </c>
      <c r="AD5" s="972">
        <v>0</v>
      </c>
      <c r="AE5" s="972">
        <v>2670534.31</v>
      </c>
      <c r="AF5" s="972">
        <v>100</v>
      </c>
    </row>
    <row r="6" spans="1:32" ht="15" hidden="1">
      <c r="A6" s="140" t="str">
        <f t="shared" si="7"/>
        <v>E058</v>
      </c>
      <c r="B6" s="140" t="str">
        <f t="shared" si="8"/>
        <v>1.2.1</v>
      </c>
      <c r="C6" s="140" t="str">
        <f t="shared" si="9"/>
        <v>E058-G0101</v>
      </c>
      <c r="D6" s="140">
        <v>1</v>
      </c>
      <c r="E6" s="140" t="str">
        <f t="shared" si="10"/>
        <v>21115-0105</v>
      </c>
      <c r="F6" s="140" t="str">
        <f t="shared" si="11"/>
        <v>1</v>
      </c>
      <c r="G6" s="140" t="str">
        <f t="shared" si="12"/>
        <v/>
      </c>
      <c r="H6" s="140" t="str">
        <f t="shared" si="13"/>
        <v/>
      </c>
      <c r="I6" s="455" t="s">
        <v>2087</v>
      </c>
      <c r="J6" s="924">
        <f t="shared" si="0"/>
        <v>1312000</v>
      </c>
      <c r="K6" s="925">
        <f t="shared" si="1"/>
        <v>1358534.31</v>
      </c>
      <c r="L6" s="925">
        <f t="shared" si="2"/>
        <v>2670534.31</v>
      </c>
      <c r="M6" s="924">
        <f t="shared" si="3"/>
        <v>0</v>
      </c>
      <c r="N6" s="925">
        <f t="shared" si="4"/>
        <v>0</v>
      </c>
      <c r="O6" s="925">
        <f t="shared" si="5"/>
        <v>0</v>
      </c>
      <c r="P6" s="924">
        <f t="shared" si="6"/>
        <v>0</v>
      </c>
      <c r="Q6" s="924"/>
      <c r="R6" s="455" t="s">
        <v>2087</v>
      </c>
      <c r="S6" s="456">
        <v>1312000</v>
      </c>
      <c r="T6" s="456">
        <v>1359654.31</v>
      </c>
      <c r="U6" s="456">
        <v>-1120</v>
      </c>
      <c r="V6" s="456">
        <v>2670534.31</v>
      </c>
      <c r="W6" s="899">
        <v>0</v>
      </c>
      <c r="X6" s="899">
        <v>0</v>
      </c>
      <c r="Y6" s="456">
        <v>0</v>
      </c>
      <c r="Z6" s="456">
        <v>0</v>
      </c>
      <c r="AA6" s="899">
        <v>0</v>
      </c>
      <c r="AB6" s="456">
        <v>0</v>
      </c>
      <c r="AC6" s="456">
        <v>0</v>
      </c>
      <c r="AD6" s="456">
        <v>0</v>
      </c>
      <c r="AE6" s="456">
        <v>2670534.31</v>
      </c>
      <c r="AF6" s="456">
        <v>100</v>
      </c>
    </row>
    <row r="7" spans="1:32" ht="15">
      <c r="A7" s="140" t="str">
        <f t="shared" si="7"/>
        <v>E058</v>
      </c>
      <c r="B7" s="140" t="str">
        <f t="shared" si="8"/>
        <v>1.2.1</v>
      </c>
      <c r="C7" s="140" t="str">
        <f t="shared" si="9"/>
        <v>E058-G0101</v>
      </c>
      <c r="D7" s="140">
        <v>1</v>
      </c>
      <c r="E7" s="140" t="str">
        <f t="shared" si="10"/>
        <v>21115-0105</v>
      </c>
      <c r="F7" s="140" t="str">
        <f t="shared" si="11"/>
        <v>1</v>
      </c>
      <c r="G7" s="140" t="str">
        <f t="shared" si="12"/>
        <v>7991</v>
      </c>
      <c r="H7" s="140" t="str">
        <f t="shared" si="13"/>
        <v>1.2.1/E058-G0101/1/21115-0105/1/7991  Erogaciones complementarias</v>
      </c>
      <c r="I7" s="448" t="s">
        <v>2088</v>
      </c>
      <c r="J7" s="924">
        <f t="shared" si="0"/>
        <v>1312000</v>
      </c>
      <c r="K7" s="925">
        <f t="shared" si="1"/>
        <v>1358534.31</v>
      </c>
      <c r="L7" s="925">
        <f t="shared" si="2"/>
        <v>2670534.31</v>
      </c>
      <c r="M7" s="924">
        <f t="shared" si="3"/>
        <v>0</v>
      </c>
      <c r="N7" s="925">
        <f t="shared" si="4"/>
        <v>0</v>
      </c>
      <c r="O7" s="925">
        <f t="shared" si="5"/>
        <v>0</v>
      </c>
      <c r="P7" s="924">
        <f t="shared" si="6"/>
        <v>0</v>
      </c>
      <c r="Q7" s="924"/>
      <c r="R7" s="448" t="s">
        <v>2088</v>
      </c>
      <c r="S7" s="449">
        <v>1312000</v>
      </c>
      <c r="T7" s="449">
        <v>1359654.31</v>
      </c>
      <c r="U7" s="449">
        <v>-1120</v>
      </c>
      <c r="V7" s="449">
        <v>2670534.31</v>
      </c>
      <c r="W7" s="450">
        <v>0</v>
      </c>
      <c r="X7" s="450">
        <v>0</v>
      </c>
      <c r="Y7" s="449">
        <v>0</v>
      </c>
      <c r="Z7" s="449">
        <v>0</v>
      </c>
      <c r="AA7" s="450">
        <v>0</v>
      </c>
      <c r="AB7" s="449">
        <v>0</v>
      </c>
      <c r="AC7" s="449">
        <v>0</v>
      </c>
      <c r="AD7" s="449">
        <v>0</v>
      </c>
      <c r="AE7" s="449">
        <v>2670534.31</v>
      </c>
      <c r="AF7" s="449">
        <v>100</v>
      </c>
    </row>
    <row r="8" spans="1:32" ht="12.75" hidden="1">
      <c r="A8" s="140" t="str">
        <f t="shared" si="7"/>
        <v>E058</v>
      </c>
      <c r="B8" s="140" t="str">
        <f t="shared" si="8"/>
        <v>1.2.1</v>
      </c>
      <c r="C8" s="140" t="str">
        <f t="shared" si="9"/>
        <v>E058-G0101</v>
      </c>
      <c r="D8" s="140">
        <v>1</v>
      </c>
      <c r="E8" s="140" t="str">
        <f t="shared" si="10"/>
        <v>21115-0105</v>
      </c>
      <c r="F8" s="140" t="str">
        <f t="shared" si="11"/>
        <v>1</v>
      </c>
      <c r="G8" s="140" t="str">
        <f t="shared" si="12"/>
        <v/>
      </c>
      <c r="H8" s="140" t="str">
        <f t="shared" si="13"/>
        <v/>
      </c>
      <c r="I8" s="918" t="s">
        <v>2089</v>
      </c>
      <c r="J8" s="922">
        <f t="shared" si="0"/>
        <v>16083331.42</v>
      </c>
      <c r="K8" s="922">
        <f t="shared" si="1"/>
        <v>1426138.4699999988</v>
      </c>
      <c r="L8" s="922">
        <f t="shared" si="2"/>
        <v>17509469.890000001</v>
      </c>
      <c r="M8" s="922">
        <f t="shared" si="3"/>
        <v>17509464.990000002</v>
      </c>
      <c r="N8" s="922">
        <f t="shared" si="4"/>
        <v>17509464.990000002</v>
      </c>
      <c r="O8" s="922">
        <f t="shared" si="5"/>
        <v>17509464.990000002</v>
      </c>
      <c r="P8" s="922">
        <f t="shared" si="6"/>
        <v>16189406.140000001</v>
      </c>
      <c r="Q8" s="922"/>
      <c r="R8" s="918" t="s">
        <v>2089</v>
      </c>
      <c r="S8" s="919">
        <v>16083331.42</v>
      </c>
      <c r="T8" s="919">
        <v>16957308.109999999</v>
      </c>
      <c r="U8" s="919">
        <v>-15531169.640000001</v>
      </c>
      <c r="V8" s="919">
        <v>17509469.890000001</v>
      </c>
      <c r="W8" s="919">
        <v>1320058.8500000001</v>
      </c>
      <c r="X8" s="919">
        <v>16189406.140000001</v>
      </c>
      <c r="Y8" s="919">
        <v>17509464.989999998</v>
      </c>
      <c r="Z8" s="919">
        <v>100</v>
      </c>
      <c r="AA8" s="919">
        <v>0</v>
      </c>
      <c r="AB8" s="919">
        <v>0</v>
      </c>
      <c r="AC8" s="919">
        <v>17509464.989999998</v>
      </c>
      <c r="AD8" s="919">
        <v>100</v>
      </c>
      <c r="AE8" s="919">
        <v>4.9000000000000004</v>
      </c>
      <c r="AF8" s="919">
        <v>0</v>
      </c>
    </row>
    <row r="9" spans="1:32" ht="12.75" hidden="1">
      <c r="A9" s="140" t="str">
        <f t="shared" si="7"/>
        <v>E058</v>
      </c>
      <c r="B9" s="140" t="str">
        <f t="shared" si="8"/>
        <v>1.2.1</v>
      </c>
      <c r="C9" s="140" t="str">
        <f t="shared" si="9"/>
        <v>E058-G1053</v>
      </c>
      <c r="D9" s="140">
        <v>1</v>
      </c>
      <c r="E9" s="140" t="str">
        <f t="shared" si="10"/>
        <v>21115-0105</v>
      </c>
      <c r="F9" s="140" t="str">
        <f t="shared" si="11"/>
        <v>1</v>
      </c>
      <c r="G9" s="140" t="str">
        <f t="shared" si="12"/>
        <v/>
      </c>
      <c r="H9" s="140" t="str">
        <f t="shared" si="13"/>
        <v/>
      </c>
      <c r="I9" s="918" t="s">
        <v>2090</v>
      </c>
      <c r="J9" s="922">
        <f t="shared" si="0"/>
        <v>16083331.42</v>
      </c>
      <c r="K9" s="922">
        <f t="shared" si="1"/>
        <v>1426138.4699999988</v>
      </c>
      <c r="L9" s="922">
        <f t="shared" si="2"/>
        <v>17509469.890000001</v>
      </c>
      <c r="M9" s="922">
        <f t="shared" si="3"/>
        <v>17509464.990000002</v>
      </c>
      <c r="N9" s="922">
        <f t="shared" si="4"/>
        <v>17509464.990000002</v>
      </c>
      <c r="O9" s="922">
        <f t="shared" si="5"/>
        <v>17509464.990000002</v>
      </c>
      <c r="P9" s="922">
        <f t="shared" si="6"/>
        <v>16189406.140000001</v>
      </c>
      <c r="Q9" s="922"/>
      <c r="R9" s="918" t="s">
        <v>2090</v>
      </c>
      <c r="S9" s="919">
        <v>16083331.42</v>
      </c>
      <c r="T9" s="919">
        <v>16957308.109999999</v>
      </c>
      <c r="U9" s="919">
        <v>-15531169.640000001</v>
      </c>
      <c r="V9" s="919">
        <v>17509469.890000001</v>
      </c>
      <c r="W9" s="919">
        <v>1320058.8500000001</v>
      </c>
      <c r="X9" s="919">
        <v>16189406.140000001</v>
      </c>
      <c r="Y9" s="919">
        <v>17509464.989999998</v>
      </c>
      <c r="Z9" s="919">
        <v>100</v>
      </c>
      <c r="AA9" s="919">
        <v>0</v>
      </c>
      <c r="AB9" s="919">
        <v>0</v>
      </c>
      <c r="AC9" s="919">
        <v>17509464.989999998</v>
      </c>
      <c r="AD9" s="919">
        <v>100</v>
      </c>
      <c r="AE9" s="919">
        <v>4.9000000000000004</v>
      </c>
      <c r="AF9" s="919">
        <v>0</v>
      </c>
    </row>
    <row r="10" spans="1:32" ht="15" hidden="1">
      <c r="A10" s="140" t="str">
        <f t="shared" si="7"/>
        <v>E058</v>
      </c>
      <c r="B10" s="140" t="str">
        <f t="shared" si="8"/>
        <v>1.2.1</v>
      </c>
      <c r="C10" s="140" t="str">
        <f t="shared" si="9"/>
        <v>E058-G1053</v>
      </c>
      <c r="D10" s="140">
        <v>1</v>
      </c>
      <c r="E10" s="140" t="str">
        <f t="shared" si="10"/>
        <v>21115-0105</v>
      </c>
      <c r="F10" s="140" t="str">
        <f t="shared" si="11"/>
        <v>1</v>
      </c>
      <c r="G10" s="140" t="str">
        <f t="shared" si="12"/>
        <v/>
      </c>
      <c r="H10" s="140" t="str">
        <f t="shared" si="13"/>
        <v/>
      </c>
      <c r="I10" s="971" t="s">
        <v>2091</v>
      </c>
      <c r="J10" s="924">
        <f t="shared" si="0"/>
        <v>16083331.42</v>
      </c>
      <c r="K10" s="924">
        <f t="shared" si="1"/>
        <v>1426138.4699999988</v>
      </c>
      <c r="L10" s="924">
        <f t="shared" si="2"/>
        <v>17509469.890000001</v>
      </c>
      <c r="M10" s="924">
        <f t="shared" si="3"/>
        <v>17509464.990000002</v>
      </c>
      <c r="N10" s="924">
        <f t="shared" si="4"/>
        <v>17509464.990000002</v>
      </c>
      <c r="O10" s="924">
        <f t="shared" si="5"/>
        <v>17509464.990000002</v>
      </c>
      <c r="P10" s="924">
        <f t="shared" si="6"/>
        <v>16189406.140000001</v>
      </c>
      <c r="Q10" s="924"/>
      <c r="R10" s="971" t="s">
        <v>2091</v>
      </c>
      <c r="S10" s="972">
        <v>16083331.42</v>
      </c>
      <c r="T10" s="972">
        <v>16957308.109999999</v>
      </c>
      <c r="U10" s="972">
        <v>-15531169.640000001</v>
      </c>
      <c r="V10" s="972">
        <v>17509469.890000001</v>
      </c>
      <c r="W10" s="972">
        <v>1320058.8500000001</v>
      </c>
      <c r="X10" s="972">
        <v>16189406.140000001</v>
      </c>
      <c r="Y10" s="972">
        <v>17509464.989999998</v>
      </c>
      <c r="Z10" s="972">
        <v>100</v>
      </c>
      <c r="AA10" s="972">
        <v>0</v>
      </c>
      <c r="AB10" s="972">
        <v>0</v>
      </c>
      <c r="AC10" s="972">
        <v>17509464.989999998</v>
      </c>
      <c r="AD10" s="972">
        <v>100</v>
      </c>
      <c r="AE10" s="972">
        <v>4.9000000000000004</v>
      </c>
      <c r="AF10" s="972">
        <v>0</v>
      </c>
    </row>
    <row r="11" spans="1:32" ht="15" hidden="1">
      <c r="A11" s="140" t="str">
        <f t="shared" si="7"/>
        <v>E058</v>
      </c>
      <c r="B11" s="140" t="str">
        <f t="shared" si="8"/>
        <v>1.2.1</v>
      </c>
      <c r="C11" s="140" t="str">
        <f t="shared" si="9"/>
        <v>E058-G1053</v>
      </c>
      <c r="D11" s="140">
        <v>1</v>
      </c>
      <c r="E11" s="140" t="str">
        <f t="shared" si="10"/>
        <v>21115-0100</v>
      </c>
      <c r="F11" s="140" t="str">
        <f t="shared" si="11"/>
        <v>1</v>
      </c>
      <c r="G11" s="140" t="str">
        <f t="shared" si="12"/>
        <v/>
      </c>
      <c r="H11" s="140" t="str">
        <f t="shared" si="13"/>
        <v/>
      </c>
      <c r="I11" s="455" t="s">
        <v>2177</v>
      </c>
      <c r="J11" s="924">
        <f t="shared" si="0"/>
        <v>0</v>
      </c>
      <c r="K11" s="924">
        <f t="shared" si="1"/>
        <v>0</v>
      </c>
      <c r="L11" s="924">
        <f t="shared" si="2"/>
        <v>0</v>
      </c>
      <c r="M11" s="924">
        <f t="shared" si="3"/>
        <v>0</v>
      </c>
      <c r="N11" s="924">
        <f t="shared" si="4"/>
        <v>0</v>
      </c>
      <c r="O11" s="924">
        <f t="shared" si="5"/>
        <v>0</v>
      </c>
      <c r="P11" s="924">
        <f t="shared" si="6"/>
        <v>0</v>
      </c>
      <c r="Q11" s="924"/>
      <c r="R11" s="455" t="s">
        <v>2177</v>
      </c>
      <c r="S11" s="899">
        <v>0</v>
      </c>
      <c r="T11" s="456">
        <v>84908.28</v>
      </c>
      <c r="U11" s="456">
        <v>-84908.28</v>
      </c>
      <c r="V11" s="456">
        <v>0</v>
      </c>
      <c r="W11" s="899">
        <v>0</v>
      </c>
      <c r="X11" s="899">
        <v>0</v>
      </c>
      <c r="Y11" s="456">
        <v>0</v>
      </c>
      <c r="Z11" s="456">
        <v>0</v>
      </c>
      <c r="AA11" s="899">
        <v>0</v>
      </c>
      <c r="AB11" s="456">
        <v>0</v>
      </c>
      <c r="AC11" s="456">
        <v>0</v>
      </c>
      <c r="AD11" s="456">
        <v>0</v>
      </c>
      <c r="AE11" s="456">
        <v>0</v>
      </c>
      <c r="AF11" s="456">
        <v>0</v>
      </c>
    </row>
    <row r="12" spans="1:32" ht="15">
      <c r="A12" s="140" t="str">
        <f t="shared" si="7"/>
        <v>E058</v>
      </c>
      <c r="B12" s="140" t="str">
        <f t="shared" si="8"/>
        <v>1.2.1</v>
      </c>
      <c r="C12" s="140" t="str">
        <f t="shared" si="9"/>
        <v>E058-G1053</v>
      </c>
      <c r="D12" s="140">
        <v>1</v>
      </c>
      <c r="E12" s="140" t="str">
        <f t="shared" si="10"/>
        <v>21115-0100</v>
      </c>
      <c r="F12" s="140" t="str">
        <f t="shared" si="11"/>
        <v>2</v>
      </c>
      <c r="G12" s="140" t="str">
        <f t="shared" si="12"/>
        <v>5111</v>
      </c>
      <c r="H12" s="140" t="str">
        <f t="shared" si="13"/>
        <v>1.2.1/E058-G1053/1/21115-0100/2/5111  Muebles de oficina</v>
      </c>
      <c r="I12" s="448" t="s">
        <v>2163</v>
      </c>
      <c r="J12" s="924">
        <f t="shared" si="0"/>
        <v>0</v>
      </c>
      <c r="K12" s="924">
        <f t="shared" si="1"/>
        <v>0</v>
      </c>
      <c r="L12" s="925">
        <f t="shared" si="2"/>
        <v>0</v>
      </c>
      <c r="M12" s="924">
        <f t="shared" si="3"/>
        <v>0</v>
      </c>
      <c r="N12" s="924">
        <f t="shared" si="4"/>
        <v>0</v>
      </c>
      <c r="O12" s="924">
        <f t="shared" si="5"/>
        <v>0</v>
      </c>
      <c r="P12" s="924">
        <f t="shared" si="6"/>
        <v>0</v>
      </c>
      <c r="Q12" s="924"/>
      <c r="R12" s="448" t="s">
        <v>2163</v>
      </c>
      <c r="S12" s="450">
        <v>0</v>
      </c>
      <c r="T12" s="449">
        <v>84908.28</v>
      </c>
      <c r="U12" s="449">
        <v>-84908.28</v>
      </c>
      <c r="V12" s="449">
        <v>0</v>
      </c>
      <c r="W12" s="450">
        <v>0</v>
      </c>
      <c r="X12" s="450">
        <v>0</v>
      </c>
      <c r="Y12" s="449">
        <v>0</v>
      </c>
      <c r="Z12" s="449">
        <v>0</v>
      </c>
      <c r="AA12" s="450">
        <v>0</v>
      </c>
      <c r="AB12" s="449">
        <v>0</v>
      </c>
      <c r="AC12" s="449">
        <v>0</v>
      </c>
      <c r="AD12" s="449">
        <v>0</v>
      </c>
      <c r="AE12" s="449">
        <v>0</v>
      </c>
      <c r="AF12" s="449">
        <v>0</v>
      </c>
    </row>
    <row r="13" spans="1:32" ht="15" hidden="1">
      <c r="A13" s="140" t="str">
        <f t="shared" si="7"/>
        <v>E058</v>
      </c>
      <c r="B13" s="140" t="str">
        <f t="shared" si="8"/>
        <v>1.2.1</v>
      </c>
      <c r="C13" s="140" t="str">
        <f t="shared" si="9"/>
        <v>E058-G1053</v>
      </c>
      <c r="D13" s="140">
        <v>1</v>
      </c>
      <c r="E13" s="140" t="str">
        <f t="shared" si="10"/>
        <v>21115-0105</v>
      </c>
      <c r="F13" s="140" t="str">
        <f t="shared" si="11"/>
        <v>1</v>
      </c>
      <c r="G13" s="140" t="str">
        <f t="shared" si="12"/>
        <v/>
      </c>
      <c r="H13" s="140" t="str">
        <f t="shared" si="13"/>
        <v/>
      </c>
      <c r="I13" s="455" t="s">
        <v>2087</v>
      </c>
      <c r="J13" s="924">
        <f t="shared" si="0"/>
        <v>16083331.42</v>
      </c>
      <c r="K13" s="925">
        <f t="shared" si="1"/>
        <v>1426138.4699999988</v>
      </c>
      <c r="L13" s="925">
        <f t="shared" si="2"/>
        <v>17509469.890000001</v>
      </c>
      <c r="M13" s="924">
        <f t="shared" si="3"/>
        <v>17509464.990000002</v>
      </c>
      <c r="N13" s="924">
        <f t="shared" si="4"/>
        <v>17509464.990000002</v>
      </c>
      <c r="O13" s="924">
        <f t="shared" si="5"/>
        <v>17509464.990000002</v>
      </c>
      <c r="P13" s="924">
        <f t="shared" si="6"/>
        <v>16189406.140000001</v>
      </c>
      <c r="Q13" s="924"/>
      <c r="R13" s="455" t="s">
        <v>2087</v>
      </c>
      <c r="S13" s="456">
        <v>16083331.42</v>
      </c>
      <c r="T13" s="456">
        <v>16816399.829999998</v>
      </c>
      <c r="U13" s="456">
        <v>-15390261.359999999</v>
      </c>
      <c r="V13" s="456">
        <v>17509469.890000001</v>
      </c>
      <c r="W13" s="456">
        <v>1320058.8500000001</v>
      </c>
      <c r="X13" s="456">
        <v>16189406.140000001</v>
      </c>
      <c r="Y13" s="456">
        <v>17509464.989999998</v>
      </c>
      <c r="Z13" s="456">
        <v>100</v>
      </c>
      <c r="AA13" s="456">
        <v>0</v>
      </c>
      <c r="AB13" s="456">
        <v>0</v>
      </c>
      <c r="AC13" s="456">
        <v>17509464.989999998</v>
      </c>
      <c r="AD13" s="456">
        <v>100</v>
      </c>
      <c r="AE13" s="456">
        <v>4.9000000000000004</v>
      </c>
      <c r="AF13" s="456">
        <v>0</v>
      </c>
    </row>
    <row r="14" spans="1:32" ht="15">
      <c r="A14" s="140" t="str">
        <f t="shared" si="7"/>
        <v>E058</v>
      </c>
      <c r="B14" s="140" t="str">
        <f t="shared" si="8"/>
        <v>1.2.1</v>
      </c>
      <c r="C14" s="140" t="str">
        <f t="shared" si="9"/>
        <v>E058-G1053</v>
      </c>
      <c r="D14" s="140">
        <v>1</v>
      </c>
      <c r="E14" s="140" t="str">
        <f t="shared" si="10"/>
        <v>21115-0105</v>
      </c>
      <c r="F14" s="140" t="str">
        <f t="shared" si="11"/>
        <v>1</v>
      </c>
      <c r="G14" s="140" t="str">
        <f t="shared" si="12"/>
        <v>1131</v>
      </c>
      <c r="H14" s="140" t="str">
        <f t="shared" si="13"/>
        <v>1.2.1/E058-G1053/1/21115-0105/1/1131  Sueldos Base</v>
      </c>
      <c r="I14" s="448" t="s">
        <v>2092</v>
      </c>
      <c r="J14" s="924">
        <f t="shared" si="0"/>
        <v>2185633.86</v>
      </c>
      <c r="K14" s="925">
        <f t="shared" si="1"/>
        <v>49522.010000000009</v>
      </c>
      <c r="L14" s="925">
        <f t="shared" si="2"/>
        <v>2235155.87</v>
      </c>
      <c r="M14" s="924">
        <f t="shared" si="3"/>
        <v>2235150.9700000002</v>
      </c>
      <c r="N14" s="924">
        <f t="shared" si="4"/>
        <v>2235150.9700000002</v>
      </c>
      <c r="O14" s="924">
        <f t="shared" si="5"/>
        <v>2235150.9700000002</v>
      </c>
      <c r="P14" s="924">
        <f t="shared" si="6"/>
        <v>2235150.9700000002</v>
      </c>
      <c r="Q14" s="924"/>
      <c r="R14" s="448" t="s">
        <v>2092</v>
      </c>
      <c r="S14" s="449">
        <v>2185633.86</v>
      </c>
      <c r="T14" s="449">
        <v>246934.88</v>
      </c>
      <c r="U14" s="449">
        <v>-197412.87</v>
      </c>
      <c r="V14" s="449">
        <v>2235155.87</v>
      </c>
      <c r="W14" s="449">
        <v>0</v>
      </c>
      <c r="X14" s="449">
        <v>2235150.9700000002</v>
      </c>
      <c r="Y14" s="449">
        <v>2235150.9700000002</v>
      </c>
      <c r="Z14" s="449">
        <v>99.999799999999993</v>
      </c>
      <c r="AA14" s="449">
        <v>0</v>
      </c>
      <c r="AB14" s="449">
        <v>0</v>
      </c>
      <c r="AC14" s="449">
        <v>2235150.9700000002</v>
      </c>
      <c r="AD14" s="449">
        <v>99.999799999999993</v>
      </c>
      <c r="AE14" s="449">
        <v>4.9000000000000004</v>
      </c>
      <c r="AF14" s="449">
        <v>2.0000000000000001E-4</v>
      </c>
    </row>
    <row r="15" spans="1:32" ht="15">
      <c r="A15" s="140" t="str">
        <f t="shared" si="7"/>
        <v>E058</v>
      </c>
      <c r="B15" s="140" t="str">
        <f t="shared" si="8"/>
        <v>1.2.1</v>
      </c>
      <c r="C15" s="140" t="str">
        <f t="shared" si="9"/>
        <v>E058-G1053</v>
      </c>
      <c r="D15" s="140">
        <v>1</v>
      </c>
      <c r="E15" s="140" t="str">
        <f t="shared" si="10"/>
        <v>21115-0105</v>
      </c>
      <c r="F15" s="140" t="str">
        <f t="shared" si="11"/>
        <v>1</v>
      </c>
      <c r="G15" s="140" t="str">
        <f t="shared" si="12"/>
        <v>1212</v>
      </c>
      <c r="H15" s="140" t="str">
        <f t="shared" si="13"/>
        <v>1.2.1/E058-G1053/1/21115-0105/1/1212  Honorarios asimilados</v>
      </c>
      <c r="I15" s="448" t="s">
        <v>2093</v>
      </c>
      <c r="J15" s="924">
        <f t="shared" si="0"/>
        <v>278260.69</v>
      </c>
      <c r="K15" s="924">
        <f t="shared" si="1"/>
        <v>5281.429999999993</v>
      </c>
      <c r="L15" s="925">
        <f t="shared" si="2"/>
        <v>283542.12</v>
      </c>
      <c r="M15" s="924">
        <f t="shared" si="3"/>
        <v>283542.12</v>
      </c>
      <c r="N15" s="924">
        <f t="shared" si="4"/>
        <v>283542.12</v>
      </c>
      <c r="O15" s="924">
        <f t="shared" si="5"/>
        <v>283542.12</v>
      </c>
      <c r="P15" s="924">
        <f t="shared" si="6"/>
        <v>283542.12</v>
      </c>
      <c r="Q15" s="924"/>
      <c r="R15" s="448" t="s">
        <v>2093</v>
      </c>
      <c r="S15" s="449">
        <v>278260.69</v>
      </c>
      <c r="T15" s="449">
        <v>446809.49</v>
      </c>
      <c r="U15" s="449">
        <v>-441528.06</v>
      </c>
      <c r="V15" s="449">
        <v>283542.12</v>
      </c>
      <c r="W15" s="449">
        <v>0</v>
      </c>
      <c r="X15" s="449">
        <v>283542.12</v>
      </c>
      <c r="Y15" s="449">
        <v>283542.12</v>
      </c>
      <c r="Z15" s="449">
        <v>100</v>
      </c>
      <c r="AA15" s="449">
        <v>0</v>
      </c>
      <c r="AB15" s="449">
        <v>0</v>
      </c>
      <c r="AC15" s="449">
        <v>283542.12</v>
      </c>
      <c r="AD15" s="449">
        <v>100</v>
      </c>
      <c r="AE15" s="449">
        <v>0</v>
      </c>
      <c r="AF15" s="449">
        <v>0</v>
      </c>
    </row>
    <row r="16" spans="1:32" ht="15">
      <c r="A16" s="140" t="str">
        <f t="shared" si="7"/>
        <v>E058</v>
      </c>
      <c r="B16" s="140" t="str">
        <f t="shared" si="8"/>
        <v>1.2.1</v>
      </c>
      <c r="C16" s="140" t="str">
        <f t="shared" si="9"/>
        <v>E058-G1053</v>
      </c>
      <c r="D16" s="140">
        <v>1</v>
      </c>
      <c r="E16" s="140" t="str">
        <f t="shared" si="10"/>
        <v>21115-0105</v>
      </c>
      <c r="F16" s="140" t="str">
        <f t="shared" si="11"/>
        <v>1</v>
      </c>
      <c r="G16" s="140" t="str">
        <f t="shared" si="12"/>
        <v>1311</v>
      </c>
      <c r="H16" s="140" t="str">
        <f t="shared" si="13"/>
        <v>1.2.1/E058-G1053/1/21115-0105/1/1311  Prima quinquenal</v>
      </c>
      <c r="I16" s="448" t="s">
        <v>2094</v>
      </c>
      <c r="J16" s="924">
        <f t="shared" si="0"/>
        <v>12101</v>
      </c>
      <c r="K16" s="924">
        <f t="shared" si="1"/>
        <v>-965.6700000000003</v>
      </c>
      <c r="L16" s="925">
        <f t="shared" si="2"/>
        <v>11135.33</v>
      </c>
      <c r="M16" s="924">
        <f t="shared" si="3"/>
        <v>11135.33</v>
      </c>
      <c r="N16" s="924">
        <f t="shared" si="4"/>
        <v>11135.33</v>
      </c>
      <c r="O16" s="924">
        <f t="shared" si="5"/>
        <v>11135.33</v>
      </c>
      <c r="P16" s="924">
        <f t="shared" si="6"/>
        <v>11135.33</v>
      </c>
      <c r="Q16" s="924"/>
      <c r="R16" s="448" t="s">
        <v>2094</v>
      </c>
      <c r="S16" s="449">
        <v>12101</v>
      </c>
      <c r="T16" s="449">
        <v>1476.59</v>
      </c>
      <c r="U16" s="449">
        <v>-2442.2600000000002</v>
      </c>
      <c r="V16" s="449">
        <v>11135.33</v>
      </c>
      <c r="W16" s="449">
        <v>0</v>
      </c>
      <c r="X16" s="449">
        <v>11135.33</v>
      </c>
      <c r="Y16" s="449">
        <v>11135.33</v>
      </c>
      <c r="Z16" s="449">
        <v>100</v>
      </c>
      <c r="AA16" s="449">
        <v>0</v>
      </c>
      <c r="AB16" s="449">
        <v>0</v>
      </c>
      <c r="AC16" s="449">
        <v>11135.33</v>
      </c>
      <c r="AD16" s="449">
        <v>100</v>
      </c>
      <c r="AE16" s="449">
        <v>0</v>
      </c>
      <c r="AF16" s="449">
        <v>0</v>
      </c>
    </row>
    <row r="17" spans="1:32" ht="15">
      <c r="A17" s="140" t="str">
        <f t="shared" si="7"/>
        <v>E058</v>
      </c>
      <c r="B17" s="140" t="str">
        <f t="shared" si="8"/>
        <v>1.2.1</v>
      </c>
      <c r="C17" s="140" t="str">
        <f t="shared" si="9"/>
        <v>E058-G1053</v>
      </c>
      <c r="D17" s="140">
        <v>1</v>
      </c>
      <c r="E17" s="140" t="str">
        <f t="shared" si="10"/>
        <v>21115-0105</v>
      </c>
      <c r="F17" s="140" t="str">
        <f t="shared" si="11"/>
        <v>1</v>
      </c>
      <c r="G17" s="140" t="str">
        <f t="shared" si="12"/>
        <v>1321</v>
      </c>
      <c r="H17" s="140" t="str">
        <f t="shared" si="13"/>
        <v>1.2.1/E058-G1053/1/21115-0105/1/1321  Prima Vacacional</v>
      </c>
      <c r="I17" s="448" t="s">
        <v>2095</v>
      </c>
      <c r="J17" s="924">
        <f t="shared" si="0"/>
        <v>170745.85</v>
      </c>
      <c r="K17" s="924">
        <f t="shared" si="1"/>
        <v>18716.47</v>
      </c>
      <c r="L17" s="925">
        <f t="shared" si="2"/>
        <v>189462.32</v>
      </c>
      <c r="M17" s="924">
        <f t="shared" si="3"/>
        <v>189462.32</v>
      </c>
      <c r="N17" s="924">
        <f t="shared" si="4"/>
        <v>189462.32</v>
      </c>
      <c r="O17" s="924">
        <f t="shared" si="5"/>
        <v>189462.32</v>
      </c>
      <c r="P17" s="924">
        <f t="shared" si="6"/>
        <v>189462.32</v>
      </c>
      <c r="Q17" s="924"/>
      <c r="R17" s="448" t="s">
        <v>2095</v>
      </c>
      <c r="S17" s="449">
        <v>170745.85</v>
      </c>
      <c r="T17" s="449">
        <v>64043.85</v>
      </c>
      <c r="U17" s="449">
        <v>-45327.38</v>
      </c>
      <c r="V17" s="449">
        <v>189462.32</v>
      </c>
      <c r="W17" s="449">
        <v>0</v>
      </c>
      <c r="X17" s="449">
        <v>189462.32</v>
      </c>
      <c r="Y17" s="449">
        <v>189462.32</v>
      </c>
      <c r="Z17" s="449">
        <v>100</v>
      </c>
      <c r="AA17" s="449">
        <v>0</v>
      </c>
      <c r="AB17" s="449">
        <v>0</v>
      </c>
      <c r="AC17" s="449">
        <v>189462.32</v>
      </c>
      <c r="AD17" s="449">
        <v>100</v>
      </c>
      <c r="AE17" s="449">
        <v>0</v>
      </c>
      <c r="AF17" s="449">
        <v>0</v>
      </c>
    </row>
    <row r="18" spans="1:32" ht="15">
      <c r="A18" s="140" t="str">
        <f t="shared" si="7"/>
        <v>E058</v>
      </c>
      <c r="B18" s="140" t="str">
        <f t="shared" si="8"/>
        <v>1.2.1</v>
      </c>
      <c r="C18" s="140" t="str">
        <f t="shared" si="9"/>
        <v>E058-G1053</v>
      </c>
      <c r="D18" s="140">
        <v>1</v>
      </c>
      <c r="E18" s="140" t="str">
        <f t="shared" si="10"/>
        <v>21115-0105</v>
      </c>
      <c r="F18" s="140" t="str">
        <f t="shared" si="11"/>
        <v>1</v>
      </c>
      <c r="G18" s="140" t="str">
        <f t="shared" si="12"/>
        <v>1323</v>
      </c>
      <c r="H18" s="140" t="str">
        <f t="shared" si="13"/>
        <v>1.2.1/E058-G1053/1/21115-0105/1/1323  Gratificación de fin de año</v>
      </c>
      <c r="I18" s="448" t="s">
        <v>2096</v>
      </c>
      <c r="J18" s="924">
        <f t="shared" si="0"/>
        <v>768370.45</v>
      </c>
      <c r="K18" s="924">
        <f t="shared" si="1"/>
        <v>41592.619999999995</v>
      </c>
      <c r="L18" s="925">
        <f t="shared" si="2"/>
        <v>809963.07</v>
      </c>
      <c r="M18" s="924">
        <f t="shared" si="3"/>
        <v>809963.07</v>
      </c>
      <c r="N18" s="924">
        <f t="shared" si="4"/>
        <v>809963.07</v>
      </c>
      <c r="O18" s="924">
        <f t="shared" si="5"/>
        <v>809963.07</v>
      </c>
      <c r="P18" s="924">
        <f t="shared" si="6"/>
        <v>809963.07</v>
      </c>
      <c r="Q18" s="924"/>
      <c r="R18" s="448" t="s">
        <v>2096</v>
      </c>
      <c r="S18" s="449">
        <v>768370.45</v>
      </c>
      <c r="T18" s="449">
        <v>242099.12</v>
      </c>
      <c r="U18" s="449">
        <v>-200506.5</v>
      </c>
      <c r="V18" s="449">
        <v>809963.07</v>
      </c>
      <c r="W18" s="449">
        <v>0</v>
      </c>
      <c r="X18" s="449">
        <v>809963.07</v>
      </c>
      <c r="Y18" s="449">
        <v>809963.07</v>
      </c>
      <c r="Z18" s="449">
        <v>100</v>
      </c>
      <c r="AA18" s="449">
        <v>0</v>
      </c>
      <c r="AB18" s="449">
        <v>0</v>
      </c>
      <c r="AC18" s="449">
        <v>809963.07</v>
      </c>
      <c r="AD18" s="449">
        <v>100</v>
      </c>
      <c r="AE18" s="449">
        <v>0</v>
      </c>
      <c r="AF18" s="449">
        <v>0</v>
      </c>
    </row>
    <row r="19" spans="1:32" ht="15">
      <c r="A19" s="140" t="str">
        <f t="shared" si="7"/>
        <v>E058</v>
      </c>
      <c r="B19" s="140" t="str">
        <f t="shared" si="8"/>
        <v>1.2.1</v>
      </c>
      <c r="C19" s="140" t="str">
        <f t="shared" si="9"/>
        <v>E058-G1053</v>
      </c>
      <c r="D19" s="140">
        <v>1</v>
      </c>
      <c r="E19" s="140" t="str">
        <f t="shared" si="10"/>
        <v>21115-0105</v>
      </c>
      <c r="F19" s="140" t="str">
        <f t="shared" si="11"/>
        <v>1</v>
      </c>
      <c r="G19" s="140" t="str">
        <f t="shared" si="12"/>
        <v>1411</v>
      </c>
      <c r="H19" s="140" t="str">
        <f t="shared" si="13"/>
        <v>1.2.1/E058-G1053/1/21115-0105/1/1411  Aportaciones al ISSEG</v>
      </c>
      <c r="I19" s="448" t="s">
        <v>2097</v>
      </c>
      <c r="J19" s="924">
        <f t="shared" si="0"/>
        <v>502696.74</v>
      </c>
      <c r="K19" s="925">
        <f t="shared" si="1"/>
        <v>60577.869999999995</v>
      </c>
      <c r="L19" s="925">
        <f t="shared" si="2"/>
        <v>563274.61</v>
      </c>
      <c r="M19" s="924">
        <f t="shared" si="3"/>
        <v>563274.61</v>
      </c>
      <c r="N19" s="925">
        <f t="shared" si="4"/>
        <v>563274.61</v>
      </c>
      <c r="O19" s="925">
        <f t="shared" si="5"/>
        <v>563274.61</v>
      </c>
      <c r="P19" s="924">
        <f t="shared" si="6"/>
        <v>563274.61</v>
      </c>
      <c r="Q19" s="924"/>
      <c r="R19" s="448" t="s">
        <v>2097</v>
      </c>
      <c r="S19" s="449">
        <v>502696.74</v>
      </c>
      <c r="T19" s="449">
        <v>90567.53</v>
      </c>
      <c r="U19" s="449">
        <v>-29989.66</v>
      </c>
      <c r="V19" s="449">
        <v>563274.61</v>
      </c>
      <c r="W19" s="449">
        <v>0</v>
      </c>
      <c r="X19" s="449">
        <v>563274.61</v>
      </c>
      <c r="Y19" s="449">
        <v>563274.61</v>
      </c>
      <c r="Z19" s="449">
        <v>100</v>
      </c>
      <c r="AA19" s="449">
        <v>0</v>
      </c>
      <c r="AB19" s="449">
        <v>0</v>
      </c>
      <c r="AC19" s="449">
        <v>563274.61</v>
      </c>
      <c r="AD19" s="449">
        <v>100</v>
      </c>
      <c r="AE19" s="449">
        <v>0</v>
      </c>
      <c r="AF19" s="449">
        <v>0</v>
      </c>
    </row>
    <row r="20" spans="1:32" ht="15">
      <c r="A20" s="140" t="str">
        <f t="shared" si="7"/>
        <v>E058</v>
      </c>
      <c r="B20" s="140" t="str">
        <f t="shared" si="8"/>
        <v>1.2.1</v>
      </c>
      <c r="C20" s="140" t="str">
        <f t="shared" si="9"/>
        <v>E058-G1053</v>
      </c>
      <c r="D20" s="140">
        <v>1</v>
      </c>
      <c r="E20" s="140" t="str">
        <f t="shared" si="10"/>
        <v>21115-0105</v>
      </c>
      <c r="F20" s="140" t="str">
        <f t="shared" si="11"/>
        <v>1</v>
      </c>
      <c r="G20" s="140" t="str">
        <f t="shared" si="12"/>
        <v>1412</v>
      </c>
      <c r="H20" s="140" t="str">
        <f t="shared" si="13"/>
        <v>1.2.1/E058-G1053/1/21115-0105/1/1412  Cuotas al ISSSTE</v>
      </c>
      <c r="I20" s="448" t="s">
        <v>2098</v>
      </c>
      <c r="J20" s="925">
        <f t="shared" si="0"/>
        <v>230472</v>
      </c>
      <c r="K20" s="924">
        <f t="shared" si="1"/>
        <v>-69905.94</v>
      </c>
      <c r="L20" s="925">
        <f t="shared" si="2"/>
        <v>160566.06</v>
      </c>
      <c r="M20" s="924">
        <f t="shared" si="3"/>
        <v>160566.06</v>
      </c>
      <c r="N20" s="924">
        <f t="shared" si="4"/>
        <v>160566.06</v>
      </c>
      <c r="O20" s="924">
        <f t="shared" si="5"/>
        <v>160566.06</v>
      </c>
      <c r="P20" s="924">
        <f t="shared" si="6"/>
        <v>160566.06</v>
      </c>
      <c r="Q20" s="924"/>
      <c r="R20" s="448" t="s">
        <v>2098</v>
      </c>
      <c r="S20" s="449">
        <v>230472</v>
      </c>
      <c r="T20" s="449">
        <v>105095.72</v>
      </c>
      <c r="U20" s="449">
        <v>-175001.66</v>
      </c>
      <c r="V20" s="449">
        <v>160566.06</v>
      </c>
      <c r="W20" s="449">
        <v>0</v>
      </c>
      <c r="X20" s="449">
        <v>160566.06</v>
      </c>
      <c r="Y20" s="449">
        <v>160566.06</v>
      </c>
      <c r="Z20" s="449">
        <v>100</v>
      </c>
      <c r="AA20" s="449">
        <v>0</v>
      </c>
      <c r="AB20" s="449">
        <v>0</v>
      </c>
      <c r="AC20" s="449">
        <v>160566.06</v>
      </c>
      <c r="AD20" s="449">
        <v>100</v>
      </c>
      <c r="AE20" s="449">
        <v>0</v>
      </c>
      <c r="AF20" s="449">
        <v>0</v>
      </c>
    </row>
    <row r="21" spans="1:32" ht="15">
      <c r="A21" s="140" t="str">
        <f t="shared" si="7"/>
        <v>E058</v>
      </c>
      <c r="B21" s="140" t="str">
        <f t="shared" si="8"/>
        <v>1.2.1</v>
      </c>
      <c r="C21" s="140" t="str">
        <f t="shared" si="9"/>
        <v>E058-G1053</v>
      </c>
      <c r="D21" s="140">
        <v>1</v>
      </c>
      <c r="E21" s="140" t="str">
        <f t="shared" si="10"/>
        <v>21115-0105</v>
      </c>
      <c r="F21" s="140" t="str">
        <f t="shared" si="11"/>
        <v>1</v>
      </c>
      <c r="G21" s="140" t="str">
        <f t="shared" si="12"/>
        <v>1441</v>
      </c>
      <c r="H21" s="140" t="str">
        <f t="shared" si="13"/>
        <v>1.2.1/E058-G1053/1/21115-0105/1/1441  Seguros</v>
      </c>
      <c r="I21" s="448" t="s">
        <v>2099</v>
      </c>
      <c r="J21" s="924">
        <f t="shared" si="0"/>
        <v>250488.93</v>
      </c>
      <c r="K21" s="924">
        <f t="shared" si="1"/>
        <v>-60687.440000000061</v>
      </c>
      <c r="L21" s="925">
        <f t="shared" si="2"/>
        <v>189801.49</v>
      </c>
      <c r="M21" s="924">
        <f t="shared" si="3"/>
        <v>189801.49</v>
      </c>
      <c r="N21" s="924">
        <f t="shared" si="4"/>
        <v>189801.49</v>
      </c>
      <c r="O21" s="924">
        <f t="shared" si="5"/>
        <v>189801.49</v>
      </c>
      <c r="P21" s="924">
        <f t="shared" si="6"/>
        <v>189801.49</v>
      </c>
      <c r="Q21" s="924"/>
      <c r="R21" s="448" t="s">
        <v>2099</v>
      </c>
      <c r="S21" s="449">
        <v>250488.93</v>
      </c>
      <c r="T21" s="449">
        <v>493006.86</v>
      </c>
      <c r="U21" s="449">
        <v>-553694.30000000005</v>
      </c>
      <c r="V21" s="449">
        <v>189801.49</v>
      </c>
      <c r="W21" s="449">
        <v>0</v>
      </c>
      <c r="X21" s="449">
        <v>189801.49</v>
      </c>
      <c r="Y21" s="449">
        <v>189801.49</v>
      </c>
      <c r="Z21" s="449">
        <v>100</v>
      </c>
      <c r="AA21" s="449">
        <v>0</v>
      </c>
      <c r="AB21" s="449">
        <v>0</v>
      </c>
      <c r="AC21" s="449">
        <v>189801.49</v>
      </c>
      <c r="AD21" s="449">
        <v>100</v>
      </c>
      <c r="AE21" s="449">
        <v>0</v>
      </c>
      <c r="AF21" s="449">
        <v>0</v>
      </c>
    </row>
    <row r="22" spans="1:32" ht="15">
      <c r="A22" s="140" t="str">
        <f t="shared" si="7"/>
        <v>E058</v>
      </c>
      <c r="B22" s="140" t="str">
        <f t="shared" si="8"/>
        <v>1.2.1</v>
      </c>
      <c r="C22" s="140" t="str">
        <f t="shared" si="9"/>
        <v>E058-G1053</v>
      </c>
      <c r="D22" s="140">
        <v>1</v>
      </c>
      <c r="E22" s="140" t="str">
        <f t="shared" si="10"/>
        <v>21115-0105</v>
      </c>
      <c r="F22" s="140" t="str">
        <f t="shared" si="11"/>
        <v>1</v>
      </c>
      <c r="G22" s="140" t="str">
        <f t="shared" si="12"/>
        <v>1531</v>
      </c>
      <c r="H22" s="140" t="str">
        <f t="shared" si="13"/>
        <v>1.2.1/E058-G1053/1/21115-0105/1/1531  Prestaciones de retiro</v>
      </c>
      <c r="I22" s="448" t="s">
        <v>2100</v>
      </c>
      <c r="J22" s="924">
        <f t="shared" si="0"/>
        <v>0</v>
      </c>
      <c r="K22" s="925">
        <f t="shared" si="1"/>
        <v>1612956.5999999999</v>
      </c>
      <c r="L22" s="924">
        <f t="shared" si="2"/>
        <v>1612956.6</v>
      </c>
      <c r="M22" s="924">
        <f t="shared" si="3"/>
        <v>1612956.6</v>
      </c>
      <c r="N22" s="924">
        <f t="shared" si="4"/>
        <v>1612956.6</v>
      </c>
      <c r="O22" s="924">
        <f t="shared" si="5"/>
        <v>1612956.6</v>
      </c>
      <c r="P22" s="924">
        <f t="shared" si="6"/>
        <v>426856.75</v>
      </c>
      <c r="Q22" s="924"/>
      <c r="R22" s="448" t="s">
        <v>2100</v>
      </c>
      <c r="S22" s="450">
        <v>0</v>
      </c>
      <c r="T22" s="449">
        <v>1612960.68</v>
      </c>
      <c r="U22" s="449">
        <v>-4.08</v>
      </c>
      <c r="V22" s="449">
        <v>1612956.6</v>
      </c>
      <c r="W22" s="449">
        <v>1186099.8500000001</v>
      </c>
      <c r="X22" s="449">
        <v>426856.75</v>
      </c>
      <c r="Y22" s="449">
        <v>1612956.6</v>
      </c>
      <c r="Z22" s="449">
        <v>100</v>
      </c>
      <c r="AA22" s="450">
        <v>0</v>
      </c>
      <c r="AB22" s="449">
        <v>0</v>
      </c>
      <c r="AC22" s="449">
        <v>1612956.6</v>
      </c>
      <c r="AD22" s="449">
        <v>100</v>
      </c>
      <c r="AE22" s="449">
        <v>0</v>
      </c>
      <c r="AF22" s="449">
        <v>0</v>
      </c>
    </row>
    <row r="23" spans="1:32" ht="15">
      <c r="A23" s="140" t="str">
        <f t="shared" si="7"/>
        <v>E058</v>
      </c>
      <c r="B23" s="140" t="str">
        <f t="shared" si="8"/>
        <v>1.2.1</v>
      </c>
      <c r="C23" s="140" t="str">
        <f t="shared" si="9"/>
        <v>E058-G1053</v>
      </c>
      <c r="D23" s="140">
        <v>1</v>
      </c>
      <c r="E23" s="140" t="str">
        <f t="shared" si="10"/>
        <v>21115-0105</v>
      </c>
      <c r="F23" s="140" t="str">
        <f t="shared" si="11"/>
        <v>1</v>
      </c>
      <c r="G23" s="140" t="str">
        <f t="shared" si="12"/>
        <v>1541</v>
      </c>
      <c r="H23" s="140" t="str">
        <f t="shared" si="13"/>
        <v>1.2.1/E058-G1053/1/21115-0105/1/1541  Prestaciones CGT</v>
      </c>
      <c r="I23" s="448" t="s">
        <v>2101</v>
      </c>
      <c r="J23" s="924">
        <f t="shared" si="0"/>
        <v>2301773.7599999998</v>
      </c>
      <c r="K23" s="925">
        <f t="shared" si="1"/>
        <v>214964.45</v>
      </c>
      <c r="L23" s="925">
        <f t="shared" si="2"/>
        <v>2516738.21</v>
      </c>
      <c r="M23" s="924">
        <f t="shared" si="3"/>
        <v>2516738.21</v>
      </c>
      <c r="N23" s="924">
        <f t="shared" si="4"/>
        <v>2516738.21</v>
      </c>
      <c r="O23" s="924">
        <f t="shared" si="5"/>
        <v>2516738.21</v>
      </c>
      <c r="P23" s="924">
        <f t="shared" si="6"/>
        <v>2516738.21</v>
      </c>
      <c r="Q23" s="924"/>
      <c r="R23" s="448" t="s">
        <v>2101</v>
      </c>
      <c r="S23" s="449">
        <v>2301773.7599999998</v>
      </c>
      <c r="T23" s="449">
        <v>445296.75</v>
      </c>
      <c r="U23" s="449">
        <v>-230332.3</v>
      </c>
      <c r="V23" s="449">
        <v>2516738.21</v>
      </c>
      <c r="W23" s="449">
        <v>0</v>
      </c>
      <c r="X23" s="449">
        <v>2516738.21</v>
      </c>
      <c r="Y23" s="449">
        <v>2516738.21</v>
      </c>
      <c r="Z23" s="449">
        <v>100</v>
      </c>
      <c r="AA23" s="449">
        <v>0</v>
      </c>
      <c r="AB23" s="449">
        <v>0</v>
      </c>
      <c r="AC23" s="449">
        <v>2516738.21</v>
      </c>
      <c r="AD23" s="449">
        <v>100</v>
      </c>
      <c r="AE23" s="449">
        <v>0</v>
      </c>
      <c r="AF23" s="449">
        <v>0</v>
      </c>
    </row>
    <row r="24" spans="1:32" ht="15">
      <c r="A24" s="140" t="str">
        <f t="shared" si="7"/>
        <v>E058</v>
      </c>
      <c r="B24" s="140" t="str">
        <f t="shared" si="8"/>
        <v>1.2.1</v>
      </c>
      <c r="C24" s="140" t="str">
        <f t="shared" si="9"/>
        <v>E058-G1053</v>
      </c>
      <c r="D24" s="140">
        <v>1</v>
      </c>
      <c r="E24" s="140" t="str">
        <f t="shared" si="10"/>
        <v>21115-0105</v>
      </c>
      <c r="F24" s="140" t="str">
        <f t="shared" si="11"/>
        <v>1</v>
      </c>
      <c r="G24" s="140" t="str">
        <f t="shared" si="12"/>
        <v>1591</v>
      </c>
      <c r="H24" s="140" t="str">
        <f t="shared" si="13"/>
        <v>1.2.1/E058-G1053/1/21115-0105/1/1591  Asign Adic sueldo</v>
      </c>
      <c r="I24" s="448" t="s">
        <v>2102</v>
      </c>
      <c r="J24" s="924">
        <f t="shared" si="0"/>
        <v>1764300.58</v>
      </c>
      <c r="K24" s="925">
        <f t="shared" si="1"/>
        <v>-19735.75</v>
      </c>
      <c r="L24" s="925">
        <f t="shared" si="2"/>
        <v>1744564.83</v>
      </c>
      <c r="M24" s="924">
        <f t="shared" si="3"/>
        <v>1744564.83</v>
      </c>
      <c r="N24" s="925">
        <f t="shared" si="4"/>
        <v>1744564.83</v>
      </c>
      <c r="O24" s="925">
        <f t="shared" si="5"/>
        <v>1744564.83</v>
      </c>
      <c r="P24" s="924">
        <f t="shared" si="6"/>
        <v>1744564.83</v>
      </c>
      <c r="Q24" s="924"/>
      <c r="R24" s="448" t="s">
        <v>2102</v>
      </c>
      <c r="S24" s="449">
        <v>1764300.58</v>
      </c>
      <c r="T24" s="449">
        <v>104452.3</v>
      </c>
      <c r="U24" s="449">
        <v>-124188.05</v>
      </c>
      <c r="V24" s="449">
        <v>1744564.83</v>
      </c>
      <c r="W24" s="449">
        <v>0</v>
      </c>
      <c r="X24" s="449">
        <v>1744564.83</v>
      </c>
      <c r="Y24" s="449">
        <v>1744564.83</v>
      </c>
      <c r="Z24" s="449">
        <v>100</v>
      </c>
      <c r="AA24" s="449">
        <v>0</v>
      </c>
      <c r="AB24" s="449">
        <v>0</v>
      </c>
      <c r="AC24" s="449">
        <v>1744564.83</v>
      </c>
      <c r="AD24" s="449">
        <v>100</v>
      </c>
      <c r="AE24" s="449">
        <v>0</v>
      </c>
      <c r="AF24" s="449">
        <v>0</v>
      </c>
    </row>
    <row r="25" spans="1:32" ht="15">
      <c r="A25" s="140" t="str">
        <f t="shared" si="7"/>
        <v>E058</v>
      </c>
      <c r="B25" s="140" t="str">
        <f t="shared" si="8"/>
        <v>1.2.1</v>
      </c>
      <c r="C25" s="140" t="str">
        <f t="shared" si="9"/>
        <v>E058-G1053</v>
      </c>
      <c r="D25" s="140">
        <v>1</v>
      </c>
      <c r="E25" s="140" t="str">
        <f t="shared" si="10"/>
        <v>21115-0105</v>
      </c>
      <c r="F25" s="140" t="str">
        <f t="shared" si="11"/>
        <v>1</v>
      </c>
      <c r="G25" s="140" t="str">
        <f t="shared" si="12"/>
        <v>1592</v>
      </c>
      <c r="H25" s="140" t="str">
        <f t="shared" si="13"/>
        <v>1.2.1/E058-G1053/1/21115-0105/1/1592  Otras prestaciones</v>
      </c>
      <c r="I25" s="448" t="s">
        <v>2103</v>
      </c>
      <c r="J25" s="924">
        <f t="shared" si="0"/>
        <v>85316.82</v>
      </c>
      <c r="K25" s="924">
        <f t="shared" si="1"/>
        <v>22970.160000000003</v>
      </c>
      <c r="L25" s="925">
        <f t="shared" si="2"/>
        <v>108286.98</v>
      </c>
      <c r="M25" s="924">
        <f t="shared" si="3"/>
        <v>108286.98</v>
      </c>
      <c r="N25" s="925">
        <f t="shared" si="4"/>
        <v>108286.98</v>
      </c>
      <c r="O25" s="925">
        <f t="shared" si="5"/>
        <v>108286.98</v>
      </c>
      <c r="P25" s="924">
        <f t="shared" si="6"/>
        <v>108286.98</v>
      </c>
      <c r="Q25" s="924"/>
      <c r="R25" s="448" t="s">
        <v>2103</v>
      </c>
      <c r="S25" s="449">
        <v>85316.82</v>
      </c>
      <c r="T25" s="449">
        <v>133905.19</v>
      </c>
      <c r="U25" s="449">
        <v>-110935.03</v>
      </c>
      <c r="V25" s="449">
        <v>108286.98</v>
      </c>
      <c r="W25" s="449">
        <v>0</v>
      </c>
      <c r="X25" s="449">
        <v>108286.98</v>
      </c>
      <c r="Y25" s="449">
        <v>108286.98</v>
      </c>
      <c r="Z25" s="449">
        <v>100</v>
      </c>
      <c r="AA25" s="449">
        <v>0</v>
      </c>
      <c r="AB25" s="449">
        <v>0</v>
      </c>
      <c r="AC25" s="449">
        <v>108286.98</v>
      </c>
      <c r="AD25" s="449">
        <v>100</v>
      </c>
      <c r="AE25" s="449">
        <v>0</v>
      </c>
      <c r="AF25" s="449">
        <v>0</v>
      </c>
    </row>
    <row r="26" spans="1:32" ht="15">
      <c r="A26" s="140" t="str">
        <f t="shared" si="7"/>
        <v>E058</v>
      </c>
      <c r="B26" s="140" t="str">
        <f t="shared" si="8"/>
        <v>1.2.1</v>
      </c>
      <c r="C26" s="140" t="str">
        <f t="shared" si="9"/>
        <v>E058-G1053</v>
      </c>
      <c r="D26" s="140">
        <v>1</v>
      </c>
      <c r="E26" s="140" t="str">
        <f t="shared" si="10"/>
        <v>21115-0105</v>
      </c>
      <c r="F26" s="140" t="str">
        <f t="shared" si="11"/>
        <v>1</v>
      </c>
      <c r="G26" s="140" t="str">
        <f t="shared" si="12"/>
        <v>1611</v>
      </c>
      <c r="H26" s="140" t="str">
        <f t="shared" si="13"/>
        <v>1.2.1/E058-G1053/1/21115-0105/1/1611  Prev de carat labora</v>
      </c>
      <c r="I26" s="448" t="s">
        <v>2104</v>
      </c>
      <c r="J26" s="924">
        <f t="shared" si="0"/>
        <v>297651.51</v>
      </c>
      <c r="K26" s="924">
        <f t="shared" si="1"/>
        <v>-297651.51</v>
      </c>
      <c r="L26" s="925">
        <f t="shared" si="2"/>
        <v>0</v>
      </c>
      <c r="M26" s="924">
        <f t="shared" si="3"/>
        <v>0</v>
      </c>
      <c r="N26" s="925">
        <f t="shared" si="4"/>
        <v>0</v>
      </c>
      <c r="O26" s="925">
        <f t="shared" si="5"/>
        <v>0</v>
      </c>
      <c r="P26" s="924">
        <f t="shared" si="6"/>
        <v>0</v>
      </c>
      <c r="Q26" s="924"/>
      <c r="R26" s="448" t="s">
        <v>2104</v>
      </c>
      <c r="S26" s="449">
        <v>297651.51</v>
      </c>
      <c r="T26" s="449">
        <v>387651.51</v>
      </c>
      <c r="U26" s="449">
        <v>-685303.02</v>
      </c>
      <c r="V26" s="449">
        <v>0</v>
      </c>
      <c r="W26" s="450">
        <v>0</v>
      </c>
      <c r="X26" s="450">
        <v>0</v>
      </c>
      <c r="Y26" s="449">
        <v>0</v>
      </c>
      <c r="Z26" s="449">
        <v>0</v>
      </c>
      <c r="AA26" s="450">
        <v>0</v>
      </c>
      <c r="AB26" s="449">
        <v>0</v>
      </c>
      <c r="AC26" s="449">
        <v>0</v>
      </c>
      <c r="AD26" s="449">
        <v>0</v>
      </c>
      <c r="AE26" s="449">
        <v>0</v>
      </c>
      <c r="AF26" s="449">
        <v>0</v>
      </c>
    </row>
    <row r="27" spans="1:32" ht="15">
      <c r="A27" s="140" t="str">
        <f t="shared" si="7"/>
        <v>E058</v>
      </c>
      <c r="B27" s="140" t="str">
        <f t="shared" si="8"/>
        <v>1.2.1</v>
      </c>
      <c r="C27" s="140" t="str">
        <f t="shared" si="9"/>
        <v>E058-G1053</v>
      </c>
      <c r="D27" s="140">
        <v>1</v>
      </c>
      <c r="E27" s="140" t="str">
        <f t="shared" si="10"/>
        <v>21115-0105</v>
      </c>
      <c r="F27" s="140" t="str">
        <f t="shared" si="11"/>
        <v>1</v>
      </c>
      <c r="G27" s="140" t="str">
        <f t="shared" si="12"/>
        <v>1711</v>
      </c>
      <c r="H27" s="140" t="str">
        <f t="shared" si="13"/>
        <v>1.2.1/E058-G1053/1/21115-0105/1/1711  Estím Productividad</v>
      </c>
      <c r="I27" s="448" t="s">
        <v>2105</v>
      </c>
      <c r="J27" s="924">
        <f t="shared" si="0"/>
        <v>218424.08</v>
      </c>
      <c r="K27" s="925">
        <f t="shared" si="1"/>
        <v>-22336.799999999988</v>
      </c>
      <c r="L27" s="925">
        <f t="shared" si="2"/>
        <v>196087.28</v>
      </c>
      <c r="M27" s="924">
        <f t="shared" si="3"/>
        <v>196087.28</v>
      </c>
      <c r="N27" s="924">
        <f t="shared" si="4"/>
        <v>196087.28</v>
      </c>
      <c r="O27" s="924">
        <f t="shared" si="5"/>
        <v>196087.28</v>
      </c>
      <c r="P27" s="924">
        <f t="shared" si="6"/>
        <v>196087.28</v>
      </c>
      <c r="Q27" s="924"/>
      <c r="R27" s="448" t="s">
        <v>2105</v>
      </c>
      <c r="S27" s="449">
        <v>218424.08</v>
      </c>
      <c r="T27" s="449">
        <v>421963.88</v>
      </c>
      <c r="U27" s="449">
        <v>-444300.68</v>
      </c>
      <c r="V27" s="449">
        <v>196087.28</v>
      </c>
      <c r="W27" s="449">
        <v>0</v>
      </c>
      <c r="X27" s="449">
        <v>196087.28</v>
      </c>
      <c r="Y27" s="449">
        <v>196087.28</v>
      </c>
      <c r="Z27" s="449">
        <v>100</v>
      </c>
      <c r="AA27" s="449">
        <v>0</v>
      </c>
      <c r="AB27" s="449">
        <v>0</v>
      </c>
      <c r="AC27" s="449">
        <v>196087.28</v>
      </c>
      <c r="AD27" s="449">
        <v>100</v>
      </c>
      <c r="AE27" s="449">
        <v>0</v>
      </c>
      <c r="AF27" s="449">
        <v>0</v>
      </c>
    </row>
    <row r="28" spans="1:32" ht="15">
      <c r="A28" s="140" t="str">
        <f t="shared" si="7"/>
        <v>E058</v>
      </c>
      <c r="B28" s="140" t="str">
        <f t="shared" si="8"/>
        <v>1.2.1</v>
      </c>
      <c r="C28" s="140" t="str">
        <f t="shared" si="9"/>
        <v>E058-G1053</v>
      </c>
      <c r="D28" s="140">
        <v>1</v>
      </c>
      <c r="E28" s="140" t="str">
        <f t="shared" si="10"/>
        <v>21115-0105</v>
      </c>
      <c r="F28" s="140" t="str">
        <f t="shared" si="11"/>
        <v>1</v>
      </c>
      <c r="G28" s="140" t="str">
        <f t="shared" si="12"/>
        <v>1712</v>
      </c>
      <c r="H28" s="140" t="str">
        <f t="shared" si="13"/>
        <v>1.2.1/E058-G1053/1/21115-0105/1/1712  Estím Personal Oper</v>
      </c>
      <c r="I28" s="448" t="s">
        <v>2106</v>
      </c>
      <c r="J28" s="924">
        <f t="shared" si="0"/>
        <v>10555.62</v>
      </c>
      <c r="K28" s="925">
        <f t="shared" si="1"/>
        <v>93.599999999999909</v>
      </c>
      <c r="L28" s="925">
        <f t="shared" si="2"/>
        <v>10649.22</v>
      </c>
      <c r="M28" s="924">
        <f t="shared" si="3"/>
        <v>10649.22</v>
      </c>
      <c r="N28" s="924">
        <f t="shared" si="4"/>
        <v>10649.22</v>
      </c>
      <c r="O28" s="924">
        <f t="shared" si="5"/>
        <v>10649.22</v>
      </c>
      <c r="P28" s="924">
        <f t="shared" si="6"/>
        <v>10649.22</v>
      </c>
      <c r="Q28" s="924"/>
      <c r="R28" s="448" t="s">
        <v>2106</v>
      </c>
      <c r="S28" s="449">
        <v>10555.62</v>
      </c>
      <c r="T28" s="449">
        <v>3398.42</v>
      </c>
      <c r="U28" s="449">
        <v>-3304.82</v>
      </c>
      <c r="V28" s="449">
        <v>10649.22</v>
      </c>
      <c r="W28" s="449">
        <v>0</v>
      </c>
      <c r="X28" s="449">
        <v>10649.22</v>
      </c>
      <c r="Y28" s="449">
        <v>10649.22</v>
      </c>
      <c r="Z28" s="449">
        <v>100</v>
      </c>
      <c r="AA28" s="449">
        <v>0</v>
      </c>
      <c r="AB28" s="449">
        <v>0</v>
      </c>
      <c r="AC28" s="449">
        <v>10649.22</v>
      </c>
      <c r="AD28" s="449">
        <v>100</v>
      </c>
      <c r="AE28" s="449">
        <v>0</v>
      </c>
      <c r="AF28" s="449">
        <v>0</v>
      </c>
    </row>
    <row r="29" spans="1:32" ht="15">
      <c r="A29" s="140" t="str">
        <f t="shared" si="7"/>
        <v>E058</v>
      </c>
      <c r="B29" s="140" t="str">
        <f t="shared" si="8"/>
        <v>1.2.1</v>
      </c>
      <c r="C29" s="140" t="str">
        <f t="shared" si="9"/>
        <v>E058-G1053</v>
      </c>
      <c r="D29" s="140">
        <v>1</v>
      </c>
      <c r="E29" s="140" t="str">
        <f t="shared" si="10"/>
        <v>21115-0105</v>
      </c>
      <c r="F29" s="140" t="str">
        <f t="shared" si="11"/>
        <v>1</v>
      </c>
      <c r="G29" s="140" t="str">
        <f t="shared" si="12"/>
        <v>2111</v>
      </c>
      <c r="H29" s="140" t="str">
        <f t="shared" si="13"/>
        <v>1.2.1/E058-G1053/1/21115-0105/1/2111  Materiales y útiles de oficina</v>
      </c>
      <c r="I29" s="448" t="s">
        <v>2107</v>
      </c>
      <c r="J29" s="924">
        <f t="shared" si="0"/>
        <v>275522.78999999998</v>
      </c>
      <c r="K29" s="925">
        <f t="shared" si="1"/>
        <v>-19367.369999999995</v>
      </c>
      <c r="L29" s="925">
        <f t="shared" si="2"/>
        <v>256155.42</v>
      </c>
      <c r="M29" s="924">
        <f t="shared" si="3"/>
        <v>256155.42</v>
      </c>
      <c r="N29" s="925">
        <f t="shared" si="4"/>
        <v>256155.42</v>
      </c>
      <c r="O29" s="925">
        <f t="shared" si="5"/>
        <v>256155.42</v>
      </c>
      <c r="P29" s="924">
        <f t="shared" si="6"/>
        <v>256155.42</v>
      </c>
      <c r="Q29" s="924"/>
      <c r="R29" s="448" t="s">
        <v>2107</v>
      </c>
      <c r="S29" s="449">
        <v>275522.78999999998</v>
      </c>
      <c r="T29" s="449">
        <v>436712.82</v>
      </c>
      <c r="U29" s="449">
        <v>-456080.19</v>
      </c>
      <c r="V29" s="449">
        <v>256155.42</v>
      </c>
      <c r="W29" s="449">
        <v>0</v>
      </c>
      <c r="X29" s="449">
        <v>256155.42</v>
      </c>
      <c r="Y29" s="449">
        <v>256155.42</v>
      </c>
      <c r="Z29" s="449">
        <v>100</v>
      </c>
      <c r="AA29" s="450">
        <v>0</v>
      </c>
      <c r="AB29" s="449">
        <v>0</v>
      </c>
      <c r="AC29" s="449">
        <v>256155.42</v>
      </c>
      <c r="AD29" s="449">
        <v>100</v>
      </c>
      <c r="AE29" s="449">
        <v>0</v>
      </c>
      <c r="AF29" s="449">
        <v>0</v>
      </c>
    </row>
    <row r="30" spans="1:32" ht="15">
      <c r="A30" s="140" t="str">
        <f t="shared" si="7"/>
        <v>E058</v>
      </c>
      <c r="B30" s="140" t="str">
        <f t="shared" si="8"/>
        <v>1.2.1</v>
      </c>
      <c r="C30" s="140" t="str">
        <f t="shared" si="9"/>
        <v>E058-G1053</v>
      </c>
      <c r="D30" s="140">
        <v>1</v>
      </c>
      <c r="E30" s="140" t="str">
        <f t="shared" si="10"/>
        <v>21115-0105</v>
      </c>
      <c r="F30" s="140" t="str">
        <f t="shared" si="11"/>
        <v>1</v>
      </c>
      <c r="G30" s="140" t="str">
        <f t="shared" si="12"/>
        <v>2112</v>
      </c>
      <c r="H30" s="140" t="str">
        <f t="shared" si="13"/>
        <v>1.2.1/E058-G1053/1/21115-0105/1/2112  Equipos menores de oficina</v>
      </c>
      <c r="I30" s="448" t="s">
        <v>2108</v>
      </c>
      <c r="J30" s="924">
        <f t="shared" si="0"/>
        <v>34699.870000000003</v>
      </c>
      <c r="K30" s="925">
        <f t="shared" si="1"/>
        <v>-12778.269999999997</v>
      </c>
      <c r="L30" s="925">
        <f t="shared" si="2"/>
        <v>21921.599999999999</v>
      </c>
      <c r="M30" s="924">
        <f t="shared" si="3"/>
        <v>21921.599999999999</v>
      </c>
      <c r="N30" s="924">
        <f t="shared" si="4"/>
        <v>21921.599999999999</v>
      </c>
      <c r="O30" s="924">
        <f t="shared" si="5"/>
        <v>21921.599999999999</v>
      </c>
      <c r="P30" s="924">
        <f t="shared" si="6"/>
        <v>21921.599999999999</v>
      </c>
      <c r="Q30" s="924"/>
      <c r="R30" s="448" t="s">
        <v>2108</v>
      </c>
      <c r="S30" s="449">
        <v>34699.870000000003</v>
      </c>
      <c r="T30" s="449">
        <v>45126.91</v>
      </c>
      <c r="U30" s="449">
        <v>-57905.18</v>
      </c>
      <c r="V30" s="449">
        <v>21921.599999999999</v>
      </c>
      <c r="W30" s="449">
        <v>0</v>
      </c>
      <c r="X30" s="449">
        <v>21921.599999999999</v>
      </c>
      <c r="Y30" s="449">
        <v>21921.599999999999</v>
      </c>
      <c r="Z30" s="449">
        <v>100</v>
      </c>
      <c r="AA30" s="449">
        <v>0</v>
      </c>
      <c r="AB30" s="449">
        <v>0</v>
      </c>
      <c r="AC30" s="449">
        <v>21921.599999999999</v>
      </c>
      <c r="AD30" s="449">
        <v>100</v>
      </c>
      <c r="AE30" s="449">
        <v>0</v>
      </c>
      <c r="AF30" s="449">
        <v>0</v>
      </c>
    </row>
    <row r="31" spans="1:32" ht="15">
      <c r="A31" s="140" t="str">
        <f t="shared" si="7"/>
        <v>E058</v>
      </c>
      <c r="B31" s="140" t="str">
        <f t="shared" si="8"/>
        <v>1.2.1</v>
      </c>
      <c r="C31" s="140" t="str">
        <f t="shared" si="9"/>
        <v>E058-G1053</v>
      </c>
      <c r="D31" s="140">
        <v>1</v>
      </c>
      <c r="E31" s="140" t="str">
        <f t="shared" si="10"/>
        <v>21115-0105</v>
      </c>
      <c r="F31" s="140" t="str">
        <f t="shared" si="11"/>
        <v>1</v>
      </c>
      <c r="G31" s="140" t="str">
        <f t="shared" si="12"/>
        <v>2121</v>
      </c>
      <c r="H31" s="140" t="str">
        <f t="shared" si="13"/>
        <v>1.2.1/E058-G1053/1/21115-0105/1/2121  Maty útiles impresi</v>
      </c>
      <c r="I31" s="448" t="s">
        <v>2109</v>
      </c>
      <c r="J31" s="924">
        <f t="shared" si="0"/>
        <v>51500</v>
      </c>
      <c r="K31" s="925">
        <f t="shared" si="1"/>
        <v>-51500</v>
      </c>
      <c r="L31" s="924">
        <f t="shared" si="2"/>
        <v>0</v>
      </c>
      <c r="M31" s="924">
        <f t="shared" si="3"/>
        <v>0</v>
      </c>
      <c r="N31" s="924">
        <f t="shared" si="4"/>
        <v>0</v>
      </c>
      <c r="O31" s="924">
        <f t="shared" si="5"/>
        <v>0</v>
      </c>
      <c r="P31" s="924">
        <f t="shared" si="6"/>
        <v>0</v>
      </c>
      <c r="Q31" s="924"/>
      <c r="R31" s="448" t="s">
        <v>2109</v>
      </c>
      <c r="S31" s="449">
        <v>51500</v>
      </c>
      <c r="T31" s="449">
        <v>79279.22</v>
      </c>
      <c r="U31" s="449">
        <v>-130779.22</v>
      </c>
      <c r="V31" s="449">
        <v>0</v>
      </c>
      <c r="W31" s="450">
        <v>0</v>
      </c>
      <c r="X31" s="450">
        <v>0</v>
      </c>
      <c r="Y31" s="449">
        <v>0</v>
      </c>
      <c r="Z31" s="449">
        <v>0</v>
      </c>
      <c r="AA31" s="450">
        <v>0</v>
      </c>
      <c r="AB31" s="449">
        <v>0</v>
      </c>
      <c r="AC31" s="449">
        <v>0</v>
      </c>
      <c r="AD31" s="449">
        <v>0</v>
      </c>
      <c r="AE31" s="449">
        <v>0</v>
      </c>
      <c r="AF31" s="449">
        <v>0</v>
      </c>
    </row>
    <row r="32" spans="1:32" ht="15">
      <c r="A32" s="140" t="str">
        <f t="shared" si="7"/>
        <v>E058</v>
      </c>
      <c r="B32" s="140" t="str">
        <f t="shared" si="8"/>
        <v>1.2.1</v>
      </c>
      <c r="C32" s="140" t="str">
        <f t="shared" si="9"/>
        <v>E058-G1053</v>
      </c>
      <c r="D32" s="140">
        <v>1</v>
      </c>
      <c r="E32" s="140" t="str">
        <f t="shared" si="10"/>
        <v>21115-0105</v>
      </c>
      <c r="F32" s="140" t="str">
        <f t="shared" si="11"/>
        <v>1</v>
      </c>
      <c r="G32" s="140" t="str">
        <f t="shared" si="12"/>
        <v>2141</v>
      </c>
      <c r="H32" s="140" t="str">
        <f t="shared" si="13"/>
        <v>1.2.1/E058-G1053/1/21115-0105/1/2141  Mat y útiles Tec In</v>
      </c>
      <c r="I32" s="448" t="s">
        <v>2110</v>
      </c>
      <c r="J32" s="924">
        <f t="shared" si="0"/>
        <v>488250.33</v>
      </c>
      <c r="K32" s="925">
        <f t="shared" si="1"/>
        <v>-105120.29999999999</v>
      </c>
      <c r="L32" s="925">
        <f t="shared" si="2"/>
        <v>383130.03</v>
      </c>
      <c r="M32" s="924">
        <f t="shared" si="3"/>
        <v>383130.03</v>
      </c>
      <c r="N32" s="925">
        <f t="shared" si="4"/>
        <v>383130.03</v>
      </c>
      <c r="O32" s="925">
        <f t="shared" si="5"/>
        <v>383130.03</v>
      </c>
      <c r="P32" s="924">
        <f t="shared" si="6"/>
        <v>383130.03</v>
      </c>
      <c r="Q32" s="924"/>
      <c r="R32" s="448" t="s">
        <v>2110</v>
      </c>
      <c r="S32" s="449">
        <v>488250.33</v>
      </c>
      <c r="T32" s="449">
        <v>375599.83</v>
      </c>
      <c r="U32" s="449">
        <v>-480720.13</v>
      </c>
      <c r="V32" s="449">
        <v>383130.03</v>
      </c>
      <c r="W32" s="449">
        <v>0</v>
      </c>
      <c r="X32" s="449">
        <v>383130.03</v>
      </c>
      <c r="Y32" s="449">
        <v>383130.03</v>
      </c>
      <c r="Z32" s="449">
        <v>100</v>
      </c>
      <c r="AA32" s="450">
        <v>0</v>
      </c>
      <c r="AB32" s="449">
        <v>0</v>
      </c>
      <c r="AC32" s="449">
        <v>383130.03</v>
      </c>
      <c r="AD32" s="449">
        <v>100</v>
      </c>
      <c r="AE32" s="449">
        <v>0</v>
      </c>
      <c r="AF32" s="449">
        <v>0</v>
      </c>
    </row>
    <row r="33" spans="1:32" ht="15">
      <c r="A33" s="140" t="str">
        <f t="shared" si="7"/>
        <v>E058</v>
      </c>
      <c r="B33" s="140" t="str">
        <f t="shared" si="8"/>
        <v>1.2.1</v>
      </c>
      <c r="C33" s="140" t="str">
        <f t="shared" si="9"/>
        <v>E058-G1053</v>
      </c>
      <c r="D33" s="140">
        <v>1</v>
      </c>
      <c r="E33" s="140" t="str">
        <f t="shared" si="10"/>
        <v>21115-0105</v>
      </c>
      <c r="F33" s="140" t="str">
        <f t="shared" si="11"/>
        <v>1</v>
      </c>
      <c r="G33" s="140" t="str">
        <f t="shared" si="12"/>
        <v>2151</v>
      </c>
      <c r="H33" s="140" t="str">
        <f t="shared" si="13"/>
        <v>1.2.1/E058-G1053/1/21115-0105/1/2151  Mat impreso  e info</v>
      </c>
      <c r="I33" s="448" t="s">
        <v>2111</v>
      </c>
      <c r="J33" s="924">
        <f t="shared" si="0"/>
        <v>126996.61</v>
      </c>
      <c r="K33" s="925">
        <f t="shared" si="1"/>
        <v>-51093.609999999986</v>
      </c>
      <c r="L33" s="925">
        <f t="shared" si="2"/>
        <v>75903</v>
      </c>
      <c r="M33" s="924">
        <f t="shared" si="3"/>
        <v>75903</v>
      </c>
      <c r="N33" s="924">
        <f t="shared" si="4"/>
        <v>75903</v>
      </c>
      <c r="O33" s="924">
        <f t="shared" si="5"/>
        <v>75903</v>
      </c>
      <c r="P33" s="924">
        <f t="shared" si="6"/>
        <v>75903</v>
      </c>
      <c r="Q33" s="924"/>
      <c r="R33" s="448" t="s">
        <v>2111</v>
      </c>
      <c r="S33" s="449">
        <v>126996.61</v>
      </c>
      <c r="T33" s="449">
        <v>101560.38</v>
      </c>
      <c r="U33" s="449">
        <v>-152653.99</v>
      </c>
      <c r="V33" s="449">
        <v>75903</v>
      </c>
      <c r="W33" s="449">
        <v>0</v>
      </c>
      <c r="X33" s="449">
        <v>75903</v>
      </c>
      <c r="Y33" s="449">
        <v>75903</v>
      </c>
      <c r="Z33" s="449">
        <v>100</v>
      </c>
      <c r="AA33" s="449">
        <v>0</v>
      </c>
      <c r="AB33" s="449">
        <v>0</v>
      </c>
      <c r="AC33" s="449">
        <v>75903</v>
      </c>
      <c r="AD33" s="449">
        <v>100</v>
      </c>
      <c r="AE33" s="449">
        <v>0</v>
      </c>
      <c r="AF33" s="449">
        <v>0</v>
      </c>
    </row>
    <row r="34" spans="1:32" ht="15">
      <c r="A34" s="140" t="str">
        <f t="shared" si="7"/>
        <v>E058</v>
      </c>
      <c r="B34" s="140" t="str">
        <f t="shared" si="8"/>
        <v>1.2.1</v>
      </c>
      <c r="C34" s="140" t="str">
        <f t="shared" si="9"/>
        <v>E058-G1053</v>
      </c>
      <c r="D34" s="140">
        <v>1</v>
      </c>
      <c r="E34" s="140" t="str">
        <f t="shared" si="10"/>
        <v>21115-0105</v>
      </c>
      <c r="F34" s="140" t="str">
        <f t="shared" si="11"/>
        <v>1</v>
      </c>
      <c r="G34" s="140" t="str">
        <f t="shared" si="12"/>
        <v>2161</v>
      </c>
      <c r="H34" s="140" t="str">
        <f t="shared" si="13"/>
        <v>1.2.1/E058-G1053/1/21115-0105/1/2161  Material de limpieza</v>
      </c>
      <c r="I34" s="448" t="s">
        <v>2112</v>
      </c>
      <c r="J34" s="924">
        <f t="shared" si="0"/>
        <v>97190.96</v>
      </c>
      <c r="K34" s="925">
        <f t="shared" si="1"/>
        <v>60997.03</v>
      </c>
      <c r="L34" s="925">
        <f t="shared" si="2"/>
        <v>158187.99</v>
      </c>
      <c r="M34" s="924">
        <f t="shared" si="3"/>
        <v>158187.99</v>
      </c>
      <c r="N34" s="925">
        <f t="shared" si="4"/>
        <v>158187.99</v>
      </c>
      <c r="O34" s="925">
        <f t="shared" si="5"/>
        <v>158187.99</v>
      </c>
      <c r="P34" s="924">
        <f t="shared" si="6"/>
        <v>158187.99</v>
      </c>
      <c r="Q34" s="924"/>
      <c r="R34" s="448" t="s">
        <v>2112</v>
      </c>
      <c r="S34" s="449">
        <v>97190.96</v>
      </c>
      <c r="T34" s="449">
        <v>199157.9</v>
      </c>
      <c r="U34" s="449">
        <v>-138160.87</v>
      </c>
      <c r="V34" s="449">
        <v>158187.99</v>
      </c>
      <c r="W34" s="449">
        <v>0</v>
      </c>
      <c r="X34" s="449">
        <v>158187.99</v>
      </c>
      <c r="Y34" s="449">
        <v>158187.99</v>
      </c>
      <c r="Z34" s="449">
        <v>100</v>
      </c>
      <c r="AA34" s="450">
        <v>0</v>
      </c>
      <c r="AB34" s="449">
        <v>0</v>
      </c>
      <c r="AC34" s="449">
        <v>158187.99</v>
      </c>
      <c r="AD34" s="449">
        <v>100</v>
      </c>
      <c r="AE34" s="449">
        <v>0</v>
      </c>
      <c r="AF34" s="449">
        <v>0</v>
      </c>
    </row>
    <row r="35" spans="1:32" ht="15">
      <c r="A35" s="140" t="str">
        <f t="shared" si="7"/>
        <v>E058</v>
      </c>
      <c r="B35" s="140" t="str">
        <f t="shared" si="8"/>
        <v>1.2.1</v>
      </c>
      <c r="C35" s="140" t="str">
        <f t="shared" si="9"/>
        <v>E058-G1053</v>
      </c>
      <c r="D35" s="140">
        <v>1</v>
      </c>
      <c r="E35" s="140" t="str">
        <f t="shared" si="10"/>
        <v>21115-0105</v>
      </c>
      <c r="F35" s="140" t="str">
        <f t="shared" si="11"/>
        <v>1</v>
      </c>
      <c r="G35" s="140" t="str">
        <f t="shared" si="12"/>
        <v>2212</v>
      </c>
      <c r="H35" s="140" t="str">
        <f t="shared" si="13"/>
        <v>1.2.1/E058-G1053/1/21115-0105/1/2212  Prod Alimen instal</v>
      </c>
      <c r="I35" s="448" t="s">
        <v>2113</v>
      </c>
      <c r="J35" s="924">
        <f t="shared" si="0"/>
        <v>22618.71</v>
      </c>
      <c r="K35" s="925">
        <f t="shared" si="1"/>
        <v>-10822.849999999999</v>
      </c>
      <c r="L35" s="924">
        <f t="shared" si="2"/>
        <v>11795.86</v>
      </c>
      <c r="M35" s="924">
        <f t="shared" si="3"/>
        <v>11795.86</v>
      </c>
      <c r="N35" s="924">
        <f t="shared" si="4"/>
        <v>11795.86</v>
      </c>
      <c r="O35" s="924">
        <f t="shared" si="5"/>
        <v>11795.86</v>
      </c>
      <c r="P35" s="924">
        <f t="shared" si="6"/>
        <v>11795.86</v>
      </c>
      <c r="Q35" s="924"/>
      <c r="R35" s="448" t="s">
        <v>2113</v>
      </c>
      <c r="S35" s="449">
        <v>22618.71</v>
      </c>
      <c r="T35" s="449">
        <v>21511.72</v>
      </c>
      <c r="U35" s="449">
        <v>-32334.57</v>
      </c>
      <c r="V35" s="449">
        <v>11795.86</v>
      </c>
      <c r="W35" s="449">
        <v>0</v>
      </c>
      <c r="X35" s="449">
        <v>11795.86</v>
      </c>
      <c r="Y35" s="449">
        <v>11795.86</v>
      </c>
      <c r="Z35" s="449">
        <v>100</v>
      </c>
      <c r="AA35" s="450">
        <v>0</v>
      </c>
      <c r="AB35" s="449">
        <v>0</v>
      </c>
      <c r="AC35" s="449">
        <v>11795.86</v>
      </c>
      <c r="AD35" s="449">
        <v>100</v>
      </c>
      <c r="AE35" s="449">
        <v>0</v>
      </c>
      <c r="AF35" s="449">
        <v>0</v>
      </c>
    </row>
    <row r="36" spans="1:32" ht="15">
      <c r="A36" s="140" t="str">
        <f t="shared" si="7"/>
        <v>E058</v>
      </c>
      <c r="B36" s="140" t="str">
        <f t="shared" si="8"/>
        <v>1.2.1</v>
      </c>
      <c r="C36" s="140" t="str">
        <f t="shared" si="9"/>
        <v>E058-G1053</v>
      </c>
      <c r="D36" s="140">
        <v>1</v>
      </c>
      <c r="E36" s="140" t="str">
        <f t="shared" si="10"/>
        <v>21115-0105</v>
      </c>
      <c r="F36" s="140" t="str">
        <f t="shared" si="11"/>
        <v>1</v>
      </c>
      <c r="G36" s="140" t="str">
        <f t="shared" si="12"/>
        <v>2461</v>
      </c>
      <c r="H36" s="140" t="str">
        <f t="shared" si="13"/>
        <v>1.2.1/E058-G1053/1/21115-0105/1/2461  Mat Eléctrico</v>
      </c>
      <c r="I36" s="448" t="s">
        <v>2114</v>
      </c>
      <c r="J36" s="924">
        <f t="shared" si="0"/>
        <v>23650.05</v>
      </c>
      <c r="K36" s="925">
        <f t="shared" si="1"/>
        <v>-22724.449999999997</v>
      </c>
      <c r="L36" s="924">
        <f t="shared" si="2"/>
        <v>925.6</v>
      </c>
      <c r="M36" s="924">
        <f t="shared" si="3"/>
        <v>925.6</v>
      </c>
      <c r="N36" s="925">
        <f t="shared" si="4"/>
        <v>925.6</v>
      </c>
      <c r="O36" s="925">
        <f t="shared" si="5"/>
        <v>925.6</v>
      </c>
      <c r="P36" s="924">
        <f t="shared" si="6"/>
        <v>925.6</v>
      </c>
      <c r="Q36" s="924"/>
      <c r="R36" s="448" t="s">
        <v>2114</v>
      </c>
      <c r="S36" s="449">
        <v>23650.05</v>
      </c>
      <c r="T36" s="449">
        <v>24486.04</v>
      </c>
      <c r="U36" s="449">
        <v>-47210.49</v>
      </c>
      <c r="V36" s="449">
        <v>925.6</v>
      </c>
      <c r="W36" s="449">
        <v>0</v>
      </c>
      <c r="X36" s="449">
        <v>925.6</v>
      </c>
      <c r="Y36" s="449">
        <v>925.6</v>
      </c>
      <c r="Z36" s="449">
        <v>100</v>
      </c>
      <c r="AA36" s="450">
        <v>0</v>
      </c>
      <c r="AB36" s="449">
        <v>0</v>
      </c>
      <c r="AC36" s="449">
        <v>925.6</v>
      </c>
      <c r="AD36" s="449">
        <v>100</v>
      </c>
      <c r="AE36" s="449">
        <v>0</v>
      </c>
      <c r="AF36" s="449">
        <v>0</v>
      </c>
    </row>
    <row r="37" spans="1:32" ht="15">
      <c r="A37" s="140" t="str">
        <f t="shared" si="7"/>
        <v>E058</v>
      </c>
      <c r="B37" s="140" t="str">
        <f t="shared" si="8"/>
        <v>1.2.1</v>
      </c>
      <c r="C37" s="140" t="str">
        <f t="shared" si="9"/>
        <v>E058-G1053</v>
      </c>
      <c r="D37" s="140">
        <v>1</v>
      </c>
      <c r="E37" s="140" t="str">
        <f t="shared" si="10"/>
        <v>21115-0105</v>
      </c>
      <c r="F37" s="140" t="str">
        <f t="shared" si="11"/>
        <v>1</v>
      </c>
      <c r="G37" s="140" t="str">
        <f t="shared" si="12"/>
        <v>2481</v>
      </c>
      <c r="H37" s="140" t="str">
        <f t="shared" si="13"/>
        <v>1.2.1/E058-G1053/1/21115-0105/1/2481  Materiales complementarios</v>
      </c>
      <c r="I37" s="448" t="s">
        <v>2115</v>
      </c>
      <c r="J37" s="924">
        <f t="shared" si="0"/>
        <v>27911.54</v>
      </c>
      <c r="K37" s="925">
        <f t="shared" si="1"/>
        <v>-12175.369999999999</v>
      </c>
      <c r="L37" s="925">
        <f t="shared" si="2"/>
        <v>15736.17</v>
      </c>
      <c r="M37" s="924">
        <f t="shared" si="3"/>
        <v>15736.17</v>
      </c>
      <c r="N37" s="925">
        <f t="shared" si="4"/>
        <v>15736.17</v>
      </c>
      <c r="O37" s="925">
        <f t="shared" si="5"/>
        <v>15736.17</v>
      </c>
      <c r="P37" s="924">
        <f t="shared" si="6"/>
        <v>15736.17</v>
      </c>
      <c r="Q37" s="924"/>
      <c r="R37" s="448" t="s">
        <v>2115</v>
      </c>
      <c r="S37" s="449">
        <v>27911.54</v>
      </c>
      <c r="T37" s="449">
        <v>25262.09</v>
      </c>
      <c r="U37" s="449">
        <v>-37437.46</v>
      </c>
      <c r="V37" s="449">
        <v>15736.17</v>
      </c>
      <c r="W37" s="449">
        <v>0</v>
      </c>
      <c r="X37" s="449">
        <v>15736.17</v>
      </c>
      <c r="Y37" s="449">
        <v>15736.17</v>
      </c>
      <c r="Z37" s="449">
        <v>100</v>
      </c>
      <c r="AA37" s="449">
        <v>0</v>
      </c>
      <c r="AB37" s="449">
        <v>0</v>
      </c>
      <c r="AC37" s="449">
        <v>15736.17</v>
      </c>
      <c r="AD37" s="449">
        <v>100</v>
      </c>
      <c r="AE37" s="449">
        <v>0</v>
      </c>
      <c r="AF37" s="449">
        <v>0</v>
      </c>
    </row>
    <row r="38" spans="1:32" ht="15">
      <c r="A38" s="140" t="str">
        <f t="shared" si="7"/>
        <v>E058</v>
      </c>
      <c r="B38" s="140" t="str">
        <f t="shared" si="8"/>
        <v>1.2.1</v>
      </c>
      <c r="C38" s="140" t="str">
        <f t="shared" si="9"/>
        <v>E058-G1053</v>
      </c>
      <c r="D38" s="140">
        <v>1</v>
      </c>
      <c r="E38" s="140" t="str">
        <f t="shared" si="10"/>
        <v>21115-0105</v>
      </c>
      <c r="F38" s="140" t="str">
        <f t="shared" si="11"/>
        <v>1</v>
      </c>
      <c r="G38" s="140" t="str">
        <f t="shared" si="12"/>
        <v>2491</v>
      </c>
      <c r="H38" s="140" t="str">
        <f t="shared" si="13"/>
        <v>1.2.1/E058-G1053/1/21115-0105/1/2491  Materiales diversos</v>
      </c>
      <c r="I38" s="448" t="s">
        <v>2116</v>
      </c>
      <c r="J38" s="924">
        <f t="shared" si="0"/>
        <v>25910.07</v>
      </c>
      <c r="K38" s="925">
        <f t="shared" si="1"/>
        <v>-11151.669999999998</v>
      </c>
      <c r="L38" s="924">
        <f t="shared" si="2"/>
        <v>14758.4</v>
      </c>
      <c r="M38" s="924">
        <f t="shared" si="3"/>
        <v>14758.4</v>
      </c>
      <c r="N38" s="924">
        <f t="shared" si="4"/>
        <v>14758.4</v>
      </c>
      <c r="O38" s="924">
        <f t="shared" si="5"/>
        <v>14758.4</v>
      </c>
      <c r="P38" s="924">
        <f t="shared" si="6"/>
        <v>14758.4</v>
      </c>
      <c r="Q38" s="924"/>
      <c r="R38" s="448" t="s">
        <v>2116</v>
      </c>
      <c r="S38" s="449">
        <v>25910.07</v>
      </c>
      <c r="T38" s="449">
        <v>45668.47</v>
      </c>
      <c r="U38" s="449">
        <v>-56820.14</v>
      </c>
      <c r="V38" s="449">
        <v>14758.4</v>
      </c>
      <c r="W38" s="449">
        <v>0</v>
      </c>
      <c r="X38" s="449">
        <v>14758.4</v>
      </c>
      <c r="Y38" s="449">
        <v>14758.4</v>
      </c>
      <c r="Z38" s="449">
        <v>100</v>
      </c>
      <c r="AA38" s="450">
        <v>0</v>
      </c>
      <c r="AB38" s="449">
        <v>0</v>
      </c>
      <c r="AC38" s="449">
        <v>14758.4</v>
      </c>
      <c r="AD38" s="449">
        <v>100</v>
      </c>
      <c r="AE38" s="449">
        <v>0</v>
      </c>
      <c r="AF38" s="449">
        <v>0</v>
      </c>
    </row>
    <row r="39" spans="1:32" ht="15">
      <c r="A39" s="140" t="str">
        <f t="shared" si="7"/>
        <v>E058</v>
      </c>
      <c r="B39" s="140" t="str">
        <f t="shared" si="8"/>
        <v>1.2.1</v>
      </c>
      <c r="C39" s="140" t="str">
        <f t="shared" si="9"/>
        <v>E058-G1053</v>
      </c>
      <c r="D39" s="140">
        <v>1</v>
      </c>
      <c r="E39" s="140" t="str">
        <f t="shared" si="10"/>
        <v>21115-0105</v>
      </c>
      <c r="F39" s="140" t="str">
        <f t="shared" si="11"/>
        <v>1</v>
      </c>
      <c r="G39" s="140" t="str">
        <f t="shared" si="12"/>
        <v>2531</v>
      </c>
      <c r="H39" s="140" t="str">
        <f t="shared" si="13"/>
        <v>1.2.1/E058-G1053/1/21115-0105/1/2531  Medicinas y prod far</v>
      </c>
      <c r="I39" s="448" t="s">
        <v>2117</v>
      </c>
      <c r="J39" s="924">
        <f t="shared" si="0"/>
        <v>2980.42</v>
      </c>
      <c r="K39" s="925">
        <f t="shared" si="1"/>
        <v>-1415.92</v>
      </c>
      <c r="L39" s="925">
        <f t="shared" si="2"/>
        <v>1564.5</v>
      </c>
      <c r="M39" s="924">
        <f t="shared" si="3"/>
        <v>1564.5</v>
      </c>
      <c r="N39" s="925">
        <f t="shared" si="4"/>
        <v>1564.5</v>
      </c>
      <c r="O39" s="925">
        <f t="shared" si="5"/>
        <v>1564.5</v>
      </c>
      <c r="P39" s="924">
        <f t="shared" si="6"/>
        <v>1564.5</v>
      </c>
      <c r="Q39" s="924"/>
      <c r="R39" s="448" t="s">
        <v>2117</v>
      </c>
      <c r="S39" s="449">
        <v>2980.42</v>
      </c>
      <c r="T39" s="449">
        <v>4100.46</v>
      </c>
      <c r="U39" s="449">
        <v>-5516.38</v>
      </c>
      <c r="V39" s="449">
        <v>1564.5</v>
      </c>
      <c r="W39" s="449">
        <v>0</v>
      </c>
      <c r="X39" s="449">
        <v>1564.5</v>
      </c>
      <c r="Y39" s="449">
        <v>1564.5</v>
      </c>
      <c r="Z39" s="449">
        <v>100</v>
      </c>
      <c r="AA39" s="450">
        <v>0</v>
      </c>
      <c r="AB39" s="449">
        <v>0</v>
      </c>
      <c r="AC39" s="449">
        <v>1564.5</v>
      </c>
      <c r="AD39" s="449">
        <v>100</v>
      </c>
      <c r="AE39" s="449">
        <v>0</v>
      </c>
      <c r="AF39" s="449">
        <v>0</v>
      </c>
    </row>
    <row r="40" spans="1:32" ht="15">
      <c r="A40" s="140" t="str">
        <f t="shared" si="7"/>
        <v>E058</v>
      </c>
      <c r="B40" s="140" t="str">
        <f t="shared" si="8"/>
        <v>1.2.1</v>
      </c>
      <c r="C40" s="140" t="str">
        <f t="shared" si="9"/>
        <v>E058-G1053</v>
      </c>
      <c r="D40" s="140">
        <v>1</v>
      </c>
      <c r="E40" s="140" t="str">
        <f t="shared" si="10"/>
        <v>21115-0105</v>
      </c>
      <c r="F40" s="140" t="str">
        <f t="shared" si="11"/>
        <v>1</v>
      </c>
      <c r="G40" s="140" t="str">
        <f t="shared" si="12"/>
        <v>2611</v>
      </c>
      <c r="H40" s="140" t="str">
        <f t="shared" si="13"/>
        <v>1.2.1/E058-G1053/1/21115-0105/1/2611  Combus p Seg pub</v>
      </c>
      <c r="I40" s="448" t="s">
        <v>2982</v>
      </c>
      <c r="J40" s="924">
        <f t="shared" si="0"/>
        <v>0</v>
      </c>
      <c r="K40" s="925">
        <f t="shared" si="1"/>
        <v>0</v>
      </c>
      <c r="L40" s="925">
        <f t="shared" si="2"/>
        <v>0</v>
      </c>
      <c r="M40" s="924">
        <f t="shared" si="3"/>
        <v>0</v>
      </c>
      <c r="N40" s="925">
        <f t="shared" si="4"/>
        <v>0</v>
      </c>
      <c r="O40" s="925">
        <f t="shared" si="5"/>
        <v>0</v>
      </c>
      <c r="P40" s="924">
        <f t="shared" si="6"/>
        <v>0</v>
      </c>
      <c r="Q40" s="924"/>
      <c r="R40" s="448" t="s">
        <v>2982</v>
      </c>
      <c r="S40" s="449">
        <v>0</v>
      </c>
      <c r="T40" s="449">
        <v>46854.28</v>
      </c>
      <c r="U40" s="449">
        <v>-46854.28</v>
      </c>
      <c r="V40" s="449">
        <v>0</v>
      </c>
      <c r="W40" s="450">
        <v>0</v>
      </c>
      <c r="X40" s="450">
        <v>0</v>
      </c>
      <c r="Y40" s="449">
        <v>0</v>
      </c>
      <c r="Z40" s="449">
        <v>0</v>
      </c>
      <c r="AA40" s="450">
        <v>0</v>
      </c>
      <c r="AB40" s="449">
        <v>0</v>
      </c>
      <c r="AC40" s="449">
        <v>0</v>
      </c>
      <c r="AD40" s="449">
        <v>0</v>
      </c>
      <c r="AE40" s="449">
        <v>0</v>
      </c>
      <c r="AF40" s="449">
        <v>0</v>
      </c>
    </row>
    <row r="41" spans="1:32" ht="15">
      <c r="A41" s="140" t="str">
        <f t="shared" si="7"/>
        <v>E058</v>
      </c>
      <c r="B41" s="140" t="str">
        <f t="shared" si="8"/>
        <v>1.2.1</v>
      </c>
      <c r="C41" s="140" t="str">
        <f t="shared" si="9"/>
        <v>E058-G1053</v>
      </c>
      <c r="D41" s="140">
        <v>1</v>
      </c>
      <c r="E41" s="140" t="str">
        <f t="shared" si="10"/>
        <v>21115-0105</v>
      </c>
      <c r="F41" s="140" t="str">
        <f t="shared" si="11"/>
        <v>1</v>
      </c>
      <c r="G41" s="140" t="str">
        <f t="shared" si="12"/>
        <v>2612</v>
      </c>
      <c r="H41" s="140" t="str">
        <f t="shared" si="13"/>
        <v>1.2.1/E058-G1053/1/21115-0105/1/2612  Combus p Serv pub</v>
      </c>
      <c r="I41" s="448" t="s">
        <v>2118</v>
      </c>
      <c r="J41" s="924">
        <f t="shared" si="0"/>
        <v>51113.760000000002</v>
      </c>
      <c r="K41" s="925">
        <f t="shared" si="1"/>
        <v>-9043.8299999999945</v>
      </c>
      <c r="L41" s="925">
        <f t="shared" si="2"/>
        <v>42069.93</v>
      </c>
      <c r="M41" s="924">
        <f t="shared" si="3"/>
        <v>42069.93</v>
      </c>
      <c r="N41" s="925">
        <f t="shared" si="4"/>
        <v>42069.93</v>
      </c>
      <c r="O41" s="925">
        <f t="shared" si="5"/>
        <v>42069.93</v>
      </c>
      <c r="P41" s="924">
        <f t="shared" si="6"/>
        <v>42069.93</v>
      </c>
      <c r="Q41" s="924"/>
      <c r="R41" s="448" t="s">
        <v>2118</v>
      </c>
      <c r="S41" s="449">
        <v>51113.760000000002</v>
      </c>
      <c r="T41" s="449">
        <v>50690.94</v>
      </c>
      <c r="U41" s="449">
        <v>-59734.77</v>
      </c>
      <c r="V41" s="449">
        <v>42069.93</v>
      </c>
      <c r="W41" s="449">
        <v>0</v>
      </c>
      <c r="X41" s="449">
        <v>42069.93</v>
      </c>
      <c r="Y41" s="449">
        <v>42069.93</v>
      </c>
      <c r="Z41" s="449">
        <v>100</v>
      </c>
      <c r="AA41" s="449">
        <v>0</v>
      </c>
      <c r="AB41" s="449">
        <v>0</v>
      </c>
      <c r="AC41" s="449">
        <v>42069.93</v>
      </c>
      <c r="AD41" s="449">
        <v>100</v>
      </c>
      <c r="AE41" s="449">
        <v>0</v>
      </c>
      <c r="AF41" s="449">
        <v>0</v>
      </c>
    </row>
    <row r="42" spans="1:32" ht="15">
      <c r="A42" s="140" t="str">
        <f t="shared" si="7"/>
        <v>E058</v>
      </c>
      <c r="B42" s="140" t="str">
        <f t="shared" si="8"/>
        <v>1.2.1</v>
      </c>
      <c r="C42" s="140" t="str">
        <f t="shared" si="9"/>
        <v>E058-G1053</v>
      </c>
      <c r="D42" s="140">
        <v>1</v>
      </c>
      <c r="E42" s="140" t="str">
        <f t="shared" si="10"/>
        <v>21115-0105</v>
      </c>
      <c r="F42" s="140" t="str">
        <f t="shared" si="11"/>
        <v>1</v>
      </c>
      <c r="G42" s="140" t="str">
        <f t="shared" si="12"/>
        <v>2711</v>
      </c>
      <c r="H42" s="140" t="str">
        <f t="shared" si="13"/>
        <v>1.2.1/E058-G1053/1/21115-0105/1/2711  Vestuario y uniformes</v>
      </c>
      <c r="I42" s="448" t="s">
        <v>2119</v>
      </c>
      <c r="J42" s="924">
        <f t="shared" si="0"/>
        <v>80518.42</v>
      </c>
      <c r="K42" s="925">
        <f t="shared" si="1"/>
        <v>1515.4300000000221</v>
      </c>
      <c r="L42" s="925">
        <f t="shared" si="2"/>
        <v>82033.850000000006</v>
      </c>
      <c r="M42" s="924">
        <f t="shared" si="3"/>
        <v>82033.850000000006</v>
      </c>
      <c r="N42" s="925">
        <f t="shared" si="4"/>
        <v>82033.850000000006</v>
      </c>
      <c r="O42" s="925">
        <f t="shared" si="5"/>
        <v>82033.850000000006</v>
      </c>
      <c r="P42" s="924">
        <f t="shared" si="6"/>
        <v>82033.850000000006</v>
      </c>
      <c r="Q42" s="924"/>
      <c r="R42" s="448" t="s">
        <v>2119</v>
      </c>
      <c r="S42" s="449">
        <v>80518.42</v>
      </c>
      <c r="T42" s="449">
        <v>145134.64000000001</v>
      </c>
      <c r="U42" s="449">
        <v>-143619.21</v>
      </c>
      <c r="V42" s="449">
        <v>82033.850000000006</v>
      </c>
      <c r="W42" s="449">
        <v>0</v>
      </c>
      <c r="X42" s="449">
        <v>82033.850000000006</v>
      </c>
      <c r="Y42" s="449">
        <v>82033.850000000006</v>
      </c>
      <c r="Z42" s="449">
        <v>100</v>
      </c>
      <c r="AA42" s="450">
        <v>0</v>
      </c>
      <c r="AB42" s="449">
        <v>0</v>
      </c>
      <c r="AC42" s="449">
        <v>82033.850000000006</v>
      </c>
      <c r="AD42" s="449">
        <v>100</v>
      </c>
      <c r="AE42" s="449">
        <v>0</v>
      </c>
      <c r="AF42" s="449">
        <v>0</v>
      </c>
    </row>
    <row r="43" spans="1:32" ht="15">
      <c r="A43" s="140" t="str">
        <f t="shared" si="7"/>
        <v>E058</v>
      </c>
      <c r="B43" s="140" t="str">
        <f t="shared" si="8"/>
        <v>1.2.1</v>
      </c>
      <c r="C43" s="140" t="str">
        <f t="shared" si="9"/>
        <v>E058-G1053</v>
      </c>
      <c r="D43" s="140">
        <v>1</v>
      </c>
      <c r="E43" s="140" t="str">
        <f t="shared" si="10"/>
        <v>21115-0105</v>
      </c>
      <c r="F43" s="140" t="str">
        <f t="shared" si="11"/>
        <v>1</v>
      </c>
      <c r="G43" s="140" t="str">
        <f t="shared" si="12"/>
        <v>2731</v>
      </c>
      <c r="H43" s="140" t="str">
        <f t="shared" si="13"/>
        <v>1.2.1/E058-G1053/1/21115-0105/1/2731  Artículos deportivos</v>
      </c>
      <c r="I43" s="448" t="s">
        <v>2120</v>
      </c>
      <c r="J43" s="924">
        <f t="shared" si="0"/>
        <v>1732.46</v>
      </c>
      <c r="K43" s="925">
        <f t="shared" si="1"/>
        <v>-1732.46</v>
      </c>
      <c r="L43" s="924">
        <f t="shared" si="2"/>
        <v>0</v>
      </c>
      <c r="M43" s="924">
        <f t="shared" si="3"/>
        <v>0</v>
      </c>
      <c r="N43" s="924">
        <f t="shared" si="4"/>
        <v>0</v>
      </c>
      <c r="O43" s="924">
        <f t="shared" si="5"/>
        <v>0</v>
      </c>
      <c r="P43" s="924">
        <f t="shared" si="6"/>
        <v>0</v>
      </c>
      <c r="Q43" s="924"/>
      <c r="R43" s="448" t="s">
        <v>2120</v>
      </c>
      <c r="S43" s="449">
        <v>1732.46</v>
      </c>
      <c r="T43" s="449">
        <v>3464.92</v>
      </c>
      <c r="U43" s="449">
        <v>-5197.38</v>
      </c>
      <c r="V43" s="449">
        <v>0</v>
      </c>
      <c r="W43" s="450">
        <v>0</v>
      </c>
      <c r="X43" s="450">
        <v>0</v>
      </c>
      <c r="Y43" s="449">
        <v>0</v>
      </c>
      <c r="Z43" s="449">
        <v>0</v>
      </c>
      <c r="AA43" s="450">
        <v>0</v>
      </c>
      <c r="AB43" s="449">
        <v>0</v>
      </c>
      <c r="AC43" s="449">
        <v>0</v>
      </c>
      <c r="AD43" s="449">
        <v>0</v>
      </c>
      <c r="AE43" s="449">
        <v>0</v>
      </c>
      <c r="AF43" s="449">
        <v>0</v>
      </c>
    </row>
    <row r="44" spans="1:32" ht="15">
      <c r="A44" s="140" t="str">
        <f t="shared" si="7"/>
        <v>E058</v>
      </c>
      <c r="B44" s="140" t="str">
        <f t="shared" si="8"/>
        <v>1.2.1</v>
      </c>
      <c r="C44" s="140" t="str">
        <f t="shared" si="9"/>
        <v>E058-G1053</v>
      </c>
      <c r="D44" s="140">
        <v>1</v>
      </c>
      <c r="E44" s="140" t="str">
        <f t="shared" si="10"/>
        <v>21115-0105</v>
      </c>
      <c r="F44" s="140" t="str">
        <f t="shared" si="11"/>
        <v>1</v>
      </c>
      <c r="G44" s="140" t="str">
        <f t="shared" si="12"/>
        <v>2911</v>
      </c>
      <c r="H44" s="140" t="str">
        <f t="shared" si="13"/>
        <v>1.2.1/E058-G1053/1/21115-0105/1/2911  Herramientas menores</v>
      </c>
      <c r="I44" s="448" t="s">
        <v>2121</v>
      </c>
      <c r="J44" s="924">
        <f t="shared" si="0"/>
        <v>1736.46</v>
      </c>
      <c r="K44" s="925">
        <f t="shared" si="1"/>
        <v>6012.8899999999994</v>
      </c>
      <c r="L44" s="925">
        <f t="shared" si="2"/>
        <v>7749.35</v>
      </c>
      <c r="M44" s="924">
        <f t="shared" si="3"/>
        <v>7749.35</v>
      </c>
      <c r="N44" s="924">
        <f t="shared" si="4"/>
        <v>7749.35</v>
      </c>
      <c r="O44" s="924">
        <f t="shared" si="5"/>
        <v>7749.35</v>
      </c>
      <c r="P44" s="924">
        <f t="shared" si="6"/>
        <v>7749.35</v>
      </c>
      <c r="Q44" s="924"/>
      <c r="R44" s="448" t="s">
        <v>2121</v>
      </c>
      <c r="S44" s="449">
        <v>1736.46</v>
      </c>
      <c r="T44" s="449">
        <v>10061.459999999999</v>
      </c>
      <c r="U44" s="449">
        <v>-4048.57</v>
      </c>
      <c r="V44" s="449">
        <v>7749.35</v>
      </c>
      <c r="W44" s="449">
        <v>0</v>
      </c>
      <c r="X44" s="449">
        <v>7749.35</v>
      </c>
      <c r="Y44" s="449">
        <v>7749.35</v>
      </c>
      <c r="Z44" s="449">
        <v>100</v>
      </c>
      <c r="AA44" s="449">
        <v>0</v>
      </c>
      <c r="AB44" s="449">
        <v>0</v>
      </c>
      <c r="AC44" s="449">
        <v>7749.35</v>
      </c>
      <c r="AD44" s="449">
        <v>100</v>
      </c>
      <c r="AE44" s="449">
        <v>0</v>
      </c>
      <c r="AF44" s="449">
        <v>0</v>
      </c>
    </row>
    <row r="45" spans="1:32" ht="15">
      <c r="A45" s="140" t="str">
        <f t="shared" si="7"/>
        <v>E058</v>
      </c>
      <c r="B45" s="140" t="str">
        <f t="shared" si="8"/>
        <v>1.2.1</v>
      </c>
      <c r="C45" s="140" t="str">
        <f t="shared" si="9"/>
        <v>E058-G1053</v>
      </c>
      <c r="D45" s="140">
        <v>1</v>
      </c>
      <c r="E45" s="140" t="str">
        <f t="shared" si="10"/>
        <v>21115-0105</v>
      </c>
      <c r="F45" s="140" t="str">
        <f t="shared" si="11"/>
        <v>1</v>
      </c>
      <c r="G45" s="140" t="str">
        <f t="shared" si="12"/>
        <v>2921</v>
      </c>
      <c r="H45" s="140" t="str">
        <f t="shared" si="13"/>
        <v>1.2.1/E058-G1053/1/21115-0105/1/2921  Ref Edificios</v>
      </c>
      <c r="I45" s="448" t="s">
        <v>2554</v>
      </c>
      <c r="J45" s="924">
        <f t="shared" si="0"/>
        <v>0</v>
      </c>
      <c r="K45" s="925">
        <f t="shared" si="1"/>
        <v>1801.0100000000002</v>
      </c>
      <c r="L45" s="925">
        <f t="shared" si="2"/>
        <v>1801.01</v>
      </c>
      <c r="M45" s="924">
        <f t="shared" si="3"/>
        <v>1801.01</v>
      </c>
      <c r="N45" s="924">
        <f t="shared" si="4"/>
        <v>1801.01</v>
      </c>
      <c r="O45" s="924">
        <f t="shared" si="5"/>
        <v>1801.01</v>
      </c>
      <c r="P45" s="924">
        <f t="shared" si="6"/>
        <v>1801.01</v>
      </c>
      <c r="Q45" s="924"/>
      <c r="R45" s="448" t="s">
        <v>2554</v>
      </c>
      <c r="S45" s="450">
        <v>0</v>
      </c>
      <c r="T45" s="449">
        <v>2219.0100000000002</v>
      </c>
      <c r="U45" s="449">
        <v>-418</v>
      </c>
      <c r="V45" s="449">
        <v>1801.01</v>
      </c>
      <c r="W45" s="449">
        <v>0</v>
      </c>
      <c r="X45" s="449">
        <v>1801.01</v>
      </c>
      <c r="Y45" s="449">
        <v>1801.01</v>
      </c>
      <c r="Z45" s="449">
        <v>100</v>
      </c>
      <c r="AA45" s="450">
        <v>0</v>
      </c>
      <c r="AB45" s="449">
        <v>0</v>
      </c>
      <c r="AC45" s="449">
        <v>1801.01</v>
      </c>
      <c r="AD45" s="449">
        <v>100</v>
      </c>
      <c r="AE45" s="449">
        <v>0</v>
      </c>
      <c r="AF45" s="449">
        <v>0</v>
      </c>
    </row>
    <row r="46" spans="1:32" ht="15">
      <c r="A46" s="140" t="str">
        <f t="shared" si="7"/>
        <v>E058</v>
      </c>
      <c r="B46" s="140" t="str">
        <f t="shared" si="8"/>
        <v>1.2.1</v>
      </c>
      <c r="C46" s="140" t="str">
        <f t="shared" si="9"/>
        <v>E058-G1053</v>
      </c>
      <c r="D46" s="140">
        <v>1</v>
      </c>
      <c r="E46" s="140" t="str">
        <f t="shared" si="10"/>
        <v>21115-0105</v>
      </c>
      <c r="F46" s="140" t="str">
        <f t="shared" si="11"/>
        <v>1</v>
      </c>
      <c r="G46" s="140" t="str">
        <f t="shared" si="12"/>
        <v>2931</v>
      </c>
      <c r="H46" s="140" t="str">
        <f t="shared" si="13"/>
        <v>1.2.1/E058-G1053/1/21115-0105/1/2931  Ref Mobiliario</v>
      </c>
      <c r="I46" s="448" t="s">
        <v>2122</v>
      </c>
      <c r="J46" s="924">
        <f t="shared" si="0"/>
        <v>28460.959999999999</v>
      </c>
      <c r="K46" s="925">
        <f t="shared" si="1"/>
        <v>-28460.959999999999</v>
      </c>
      <c r="L46" s="925">
        <f t="shared" si="2"/>
        <v>0</v>
      </c>
      <c r="M46" s="924">
        <f t="shared" si="3"/>
        <v>0</v>
      </c>
      <c r="N46" s="924">
        <f t="shared" si="4"/>
        <v>0</v>
      </c>
      <c r="O46" s="924">
        <f t="shared" si="5"/>
        <v>0</v>
      </c>
      <c r="P46" s="924">
        <f t="shared" si="6"/>
        <v>0</v>
      </c>
      <c r="Q46" s="924"/>
      <c r="R46" s="448" t="s">
        <v>2122</v>
      </c>
      <c r="S46" s="449">
        <v>28460.959999999999</v>
      </c>
      <c r="T46" s="449">
        <v>56656.62</v>
      </c>
      <c r="U46" s="449">
        <v>-85117.58</v>
      </c>
      <c r="V46" s="449">
        <v>0</v>
      </c>
      <c r="W46" s="450">
        <v>0</v>
      </c>
      <c r="X46" s="450">
        <v>0</v>
      </c>
      <c r="Y46" s="449">
        <v>0</v>
      </c>
      <c r="Z46" s="449">
        <v>0</v>
      </c>
      <c r="AA46" s="450">
        <v>0</v>
      </c>
      <c r="AB46" s="449">
        <v>0</v>
      </c>
      <c r="AC46" s="449">
        <v>0</v>
      </c>
      <c r="AD46" s="449">
        <v>0</v>
      </c>
      <c r="AE46" s="449">
        <v>0</v>
      </c>
      <c r="AF46" s="449">
        <v>0</v>
      </c>
    </row>
    <row r="47" spans="1:32" ht="15">
      <c r="A47" s="140" t="str">
        <f t="shared" si="7"/>
        <v>E058</v>
      </c>
      <c r="B47" s="140" t="str">
        <f t="shared" si="8"/>
        <v>1.2.1</v>
      </c>
      <c r="C47" s="140" t="str">
        <f t="shared" si="9"/>
        <v>E058-G1053</v>
      </c>
      <c r="D47" s="140">
        <v>1</v>
      </c>
      <c r="E47" s="140" t="str">
        <f t="shared" si="10"/>
        <v>21115-0105</v>
      </c>
      <c r="F47" s="140" t="str">
        <f t="shared" si="11"/>
        <v>1</v>
      </c>
      <c r="G47" s="140" t="str">
        <f t="shared" si="12"/>
        <v>2941</v>
      </c>
      <c r="H47" s="140" t="str">
        <f t="shared" si="13"/>
        <v>1.2.1/E058-G1053/1/21115-0105/1/2941  Ref Eq Cómputo</v>
      </c>
      <c r="I47" s="448" t="s">
        <v>2123</v>
      </c>
      <c r="J47" s="924">
        <f t="shared" si="0"/>
        <v>51828.62</v>
      </c>
      <c r="K47" s="925">
        <f t="shared" si="1"/>
        <v>29460.179999999993</v>
      </c>
      <c r="L47" s="925">
        <f t="shared" si="2"/>
        <v>81288.800000000003</v>
      </c>
      <c r="M47" s="924">
        <f t="shared" si="3"/>
        <v>81288.800000000003</v>
      </c>
      <c r="N47" s="924">
        <f t="shared" si="4"/>
        <v>81288.800000000003</v>
      </c>
      <c r="O47" s="924">
        <f t="shared" si="5"/>
        <v>81288.800000000003</v>
      </c>
      <c r="P47" s="924">
        <f t="shared" si="6"/>
        <v>81288.800000000003</v>
      </c>
      <c r="Q47" s="924"/>
      <c r="R47" s="448" t="s">
        <v>2123</v>
      </c>
      <c r="S47" s="449">
        <v>51828.62</v>
      </c>
      <c r="T47" s="449">
        <v>91686.68</v>
      </c>
      <c r="U47" s="449">
        <v>-62226.5</v>
      </c>
      <c r="V47" s="449">
        <v>81288.800000000003</v>
      </c>
      <c r="W47" s="449">
        <v>0</v>
      </c>
      <c r="X47" s="449">
        <v>81288.800000000003</v>
      </c>
      <c r="Y47" s="449">
        <v>81288.800000000003</v>
      </c>
      <c r="Z47" s="449">
        <v>100</v>
      </c>
      <c r="AA47" s="450">
        <v>0</v>
      </c>
      <c r="AB47" s="449">
        <v>0</v>
      </c>
      <c r="AC47" s="449">
        <v>81288.800000000003</v>
      </c>
      <c r="AD47" s="449">
        <v>100</v>
      </c>
      <c r="AE47" s="449">
        <v>0</v>
      </c>
      <c r="AF47" s="449">
        <v>0</v>
      </c>
    </row>
    <row r="48" spans="1:32" ht="15">
      <c r="A48" s="140" t="str">
        <f t="shared" si="7"/>
        <v>E058</v>
      </c>
      <c r="B48" s="140" t="str">
        <f t="shared" si="8"/>
        <v>1.2.1</v>
      </c>
      <c r="C48" s="140" t="str">
        <f t="shared" si="9"/>
        <v>E058-G1053</v>
      </c>
      <c r="D48" s="140">
        <v>1</v>
      </c>
      <c r="E48" s="140" t="str">
        <f t="shared" si="10"/>
        <v>21115-0105</v>
      </c>
      <c r="F48" s="140" t="str">
        <f t="shared" si="11"/>
        <v>1</v>
      </c>
      <c r="G48" s="140" t="str">
        <f t="shared" si="12"/>
        <v>3111</v>
      </c>
      <c r="H48" s="140" t="str">
        <f t="shared" si="13"/>
        <v>1.2.1/E058-G1053/1/21115-0105/1/3111  Servicio de energía eléctrica</v>
      </c>
      <c r="I48" s="448" t="s">
        <v>2124</v>
      </c>
      <c r="J48" s="924">
        <f t="shared" si="0"/>
        <v>187038.45</v>
      </c>
      <c r="K48" s="925">
        <f t="shared" si="1"/>
        <v>117621.54999999999</v>
      </c>
      <c r="L48" s="925">
        <f t="shared" si="2"/>
        <v>304660</v>
      </c>
      <c r="M48" s="924">
        <f t="shared" si="3"/>
        <v>304660</v>
      </c>
      <c r="N48" s="924">
        <f t="shared" si="4"/>
        <v>304660</v>
      </c>
      <c r="O48" s="924">
        <f t="shared" si="5"/>
        <v>304660</v>
      </c>
      <c r="P48" s="924">
        <f t="shared" si="6"/>
        <v>269660</v>
      </c>
      <c r="Q48" s="924"/>
      <c r="R48" s="448" t="s">
        <v>2124</v>
      </c>
      <c r="S48" s="449">
        <v>187038.45</v>
      </c>
      <c r="T48" s="449">
        <v>279675.53999999998</v>
      </c>
      <c r="U48" s="449">
        <v>-162053.99</v>
      </c>
      <c r="V48" s="449">
        <v>304660</v>
      </c>
      <c r="W48" s="449">
        <v>35000</v>
      </c>
      <c r="X48" s="449">
        <v>269660</v>
      </c>
      <c r="Y48" s="449">
        <v>304660</v>
      </c>
      <c r="Z48" s="449">
        <v>100</v>
      </c>
      <c r="AA48" s="450">
        <v>0</v>
      </c>
      <c r="AB48" s="449">
        <v>0</v>
      </c>
      <c r="AC48" s="449">
        <v>304660</v>
      </c>
      <c r="AD48" s="449">
        <v>100</v>
      </c>
      <c r="AE48" s="449">
        <v>0</v>
      </c>
      <c r="AF48" s="449">
        <v>0</v>
      </c>
    </row>
    <row r="49" spans="1:32" ht="15">
      <c r="A49" s="140" t="str">
        <f t="shared" si="7"/>
        <v>E058</v>
      </c>
      <c r="B49" s="140" t="str">
        <f t="shared" si="8"/>
        <v>1.2.1</v>
      </c>
      <c r="C49" s="140" t="str">
        <f t="shared" si="9"/>
        <v>E058-G1053</v>
      </c>
      <c r="D49" s="140">
        <v>1</v>
      </c>
      <c r="E49" s="140" t="str">
        <f t="shared" si="10"/>
        <v>21115-0105</v>
      </c>
      <c r="F49" s="140" t="str">
        <f t="shared" si="11"/>
        <v>1</v>
      </c>
      <c r="G49" s="140" t="str">
        <f t="shared" si="12"/>
        <v>3131</v>
      </c>
      <c r="H49" s="140" t="str">
        <f t="shared" si="13"/>
        <v>1.2.1/E058-G1053/1/21115-0105/1/3131  Servicio de agua</v>
      </c>
      <c r="I49" s="448" t="s">
        <v>2125</v>
      </c>
      <c r="J49" s="924">
        <f t="shared" si="0"/>
        <v>30693.93</v>
      </c>
      <c r="K49" s="925">
        <f t="shared" si="1"/>
        <v>-21261.93</v>
      </c>
      <c r="L49" s="925">
        <f t="shared" si="2"/>
        <v>9432</v>
      </c>
      <c r="M49" s="924">
        <f t="shared" si="3"/>
        <v>9432</v>
      </c>
      <c r="N49" s="925">
        <f t="shared" si="4"/>
        <v>9432</v>
      </c>
      <c r="O49" s="925">
        <f t="shared" si="5"/>
        <v>9432</v>
      </c>
      <c r="P49" s="924">
        <f t="shared" si="6"/>
        <v>8740</v>
      </c>
      <c r="Q49" s="924"/>
      <c r="R49" s="448" t="s">
        <v>2125</v>
      </c>
      <c r="S49" s="449">
        <v>30693.93</v>
      </c>
      <c r="T49" s="449">
        <v>21363.11</v>
      </c>
      <c r="U49" s="449">
        <v>-42625.04</v>
      </c>
      <c r="V49" s="449">
        <v>9432</v>
      </c>
      <c r="W49" s="449">
        <v>692</v>
      </c>
      <c r="X49" s="449">
        <v>8740</v>
      </c>
      <c r="Y49" s="449">
        <v>9432</v>
      </c>
      <c r="Z49" s="449">
        <v>100</v>
      </c>
      <c r="AA49" s="450">
        <v>0</v>
      </c>
      <c r="AB49" s="449">
        <v>0</v>
      </c>
      <c r="AC49" s="449">
        <v>9432</v>
      </c>
      <c r="AD49" s="449">
        <v>100</v>
      </c>
      <c r="AE49" s="449">
        <v>0</v>
      </c>
      <c r="AF49" s="449">
        <v>0</v>
      </c>
    </row>
    <row r="50" spans="1:32" ht="15">
      <c r="A50" s="140" t="str">
        <f t="shared" si="7"/>
        <v>E058</v>
      </c>
      <c r="B50" s="140" t="str">
        <f t="shared" si="8"/>
        <v>1.2.1</v>
      </c>
      <c r="C50" s="140" t="str">
        <f t="shared" si="9"/>
        <v>E058-G1053</v>
      </c>
      <c r="D50" s="140">
        <v>1</v>
      </c>
      <c r="E50" s="140" t="str">
        <f t="shared" si="10"/>
        <v>21115-0105</v>
      </c>
      <c r="F50" s="140" t="str">
        <f t="shared" si="11"/>
        <v>1</v>
      </c>
      <c r="G50" s="140" t="str">
        <f t="shared" si="12"/>
        <v>3141</v>
      </c>
      <c r="H50" s="140" t="str">
        <f t="shared" si="13"/>
        <v>1.2.1/E058-G1053/1/21115-0105/1/3141  Servicio telefonía tradicional</v>
      </c>
      <c r="I50" s="448" t="s">
        <v>2126</v>
      </c>
      <c r="J50" s="924">
        <f t="shared" si="0"/>
        <v>169353.17</v>
      </c>
      <c r="K50" s="924">
        <f t="shared" si="1"/>
        <v>-77920.180000000008</v>
      </c>
      <c r="L50" s="925">
        <f t="shared" si="2"/>
        <v>91432.99</v>
      </c>
      <c r="M50" s="924">
        <f t="shared" si="3"/>
        <v>91432.99</v>
      </c>
      <c r="N50" s="924">
        <f t="shared" si="4"/>
        <v>91432.99</v>
      </c>
      <c r="O50" s="924">
        <f t="shared" si="5"/>
        <v>91432.99</v>
      </c>
      <c r="P50" s="924">
        <f t="shared" si="6"/>
        <v>77993.990000000005</v>
      </c>
      <c r="Q50" s="924"/>
      <c r="R50" s="448" t="s">
        <v>2126</v>
      </c>
      <c r="S50" s="449">
        <v>169353.17</v>
      </c>
      <c r="T50" s="449">
        <v>114788.46</v>
      </c>
      <c r="U50" s="449">
        <v>-192708.64</v>
      </c>
      <c r="V50" s="449">
        <v>91432.99</v>
      </c>
      <c r="W50" s="449">
        <v>13439</v>
      </c>
      <c r="X50" s="449">
        <v>77993.990000000005</v>
      </c>
      <c r="Y50" s="449">
        <v>91432.99</v>
      </c>
      <c r="Z50" s="449">
        <v>100</v>
      </c>
      <c r="AA50" s="450">
        <v>0</v>
      </c>
      <c r="AB50" s="449">
        <v>0</v>
      </c>
      <c r="AC50" s="449">
        <v>91432.99</v>
      </c>
      <c r="AD50" s="449">
        <v>100</v>
      </c>
      <c r="AE50" s="449">
        <v>0</v>
      </c>
      <c r="AF50" s="449">
        <v>0</v>
      </c>
    </row>
    <row r="51" spans="1:32" ht="15">
      <c r="A51" s="140" t="str">
        <f t="shared" si="7"/>
        <v>E058</v>
      </c>
      <c r="B51" s="140" t="str">
        <f t="shared" si="8"/>
        <v>1.2.1</v>
      </c>
      <c r="C51" s="140" t="str">
        <f t="shared" si="9"/>
        <v>E058-G1053</v>
      </c>
      <c r="D51" s="140">
        <v>1</v>
      </c>
      <c r="E51" s="140" t="str">
        <f t="shared" si="10"/>
        <v>21115-0105</v>
      </c>
      <c r="F51" s="140" t="str">
        <f t="shared" si="11"/>
        <v>1</v>
      </c>
      <c r="G51" s="140" t="str">
        <f t="shared" si="12"/>
        <v>3151</v>
      </c>
      <c r="H51" s="140" t="str">
        <f t="shared" si="13"/>
        <v>1.2.1/E058-G1053/1/21115-0105/1/3151  Servicio telefonía celular</v>
      </c>
      <c r="I51" s="448" t="s">
        <v>2127</v>
      </c>
      <c r="J51" s="924">
        <f t="shared" si="0"/>
        <v>105743.77</v>
      </c>
      <c r="K51" s="924">
        <f t="shared" si="1"/>
        <v>-33145.770000000004</v>
      </c>
      <c r="L51" s="925">
        <f t="shared" si="2"/>
        <v>72598</v>
      </c>
      <c r="M51" s="924">
        <f t="shared" si="3"/>
        <v>72598</v>
      </c>
      <c r="N51" s="924">
        <f t="shared" si="4"/>
        <v>72598</v>
      </c>
      <c r="O51" s="924">
        <f t="shared" si="5"/>
        <v>72598</v>
      </c>
      <c r="P51" s="924">
        <f t="shared" si="6"/>
        <v>64598</v>
      </c>
      <c r="Q51" s="924"/>
      <c r="R51" s="448" t="s">
        <v>2127</v>
      </c>
      <c r="S51" s="449">
        <v>105743.77</v>
      </c>
      <c r="T51" s="449">
        <v>82954.86</v>
      </c>
      <c r="U51" s="449">
        <v>-116100.63</v>
      </c>
      <c r="V51" s="449">
        <v>72598</v>
      </c>
      <c r="W51" s="449">
        <v>8000</v>
      </c>
      <c r="X51" s="449">
        <v>64598</v>
      </c>
      <c r="Y51" s="449">
        <v>72598</v>
      </c>
      <c r="Z51" s="449">
        <v>100</v>
      </c>
      <c r="AA51" s="450">
        <v>0</v>
      </c>
      <c r="AB51" s="449">
        <v>0</v>
      </c>
      <c r="AC51" s="449">
        <v>72598</v>
      </c>
      <c r="AD51" s="449">
        <v>100</v>
      </c>
      <c r="AE51" s="449">
        <v>0</v>
      </c>
      <c r="AF51" s="449">
        <v>0</v>
      </c>
    </row>
    <row r="52" spans="1:32" ht="15">
      <c r="A52" s="140" t="str">
        <f t="shared" si="7"/>
        <v>E058</v>
      </c>
      <c r="B52" s="140" t="str">
        <f t="shared" si="8"/>
        <v>1.2.1</v>
      </c>
      <c r="C52" s="140" t="str">
        <f t="shared" si="9"/>
        <v>E058-G1053</v>
      </c>
      <c r="D52" s="140">
        <v>1</v>
      </c>
      <c r="E52" s="140" t="str">
        <f t="shared" si="10"/>
        <v>21115-0105</v>
      </c>
      <c r="F52" s="140" t="str">
        <f t="shared" si="11"/>
        <v>1</v>
      </c>
      <c r="G52" s="140" t="str">
        <f t="shared" si="12"/>
        <v>3171</v>
      </c>
      <c r="H52" s="140" t="str">
        <f t="shared" si="13"/>
        <v>1.2.1/E058-G1053/1/21115-0105/1/3171  Serv Internet</v>
      </c>
      <c r="I52" s="448" t="s">
        <v>2128</v>
      </c>
      <c r="J52" s="924">
        <f t="shared" si="0"/>
        <v>289130.88</v>
      </c>
      <c r="K52" s="925">
        <f t="shared" si="1"/>
        <v>44435.45</v>
      </c>
      <c r="L52" s="925">
        <f t="shared" si="2"/>
        <v>333566.33</v>
      </c>
      <c r="M52" s="924">
        <f t="shared" si="3"/>
        <v>333566.33</v>
      </c>
      <c r="N52" s="924">
        <f t="shared" si="4"/>
        <v>333566.33</v>
      </c>
      <c r="O52" s="924">
        <f t="shared" si="5"/>
        <v>333566.33</v>
      </c>
      <c r="P52" s="924">
        <f t="shared" si="6"/>
        <v>304066.33</v>
      </c>
      <c r="Q52" s="924"/>
      <c r="R52" s="448" t="s">
        <v>2128</v>
      </c>
      <c r="S52" s="449">
        <v>289130.88</v>
      </c>
      <c r="T52" s="449">
        <v>67443.399999999994</v>
      </c>
      <c r="U52" s="449">
        <v>-23007.95</v>
      </c>
      <c r="V52" s="449">
        <v>333566.33</v>
      </c>
      <c r="W52" s="449">
        <v>29500</v>
      </c>
      <c r="X52" s="449">
        <v>304066.33</v>
      </c>
      <c r="Y52" s="449">
        <v>333566.33</v>
      </c>
      <c r="Z52" s="449">
        <v>100</v>
      </c>
      <c r="AA52" s="449">
        <v>0</v>
      </c>
      <c r="AB52" s="449">
        <v>0</v>
      </c>
      <c r="AC52" s="449">
        <v>333566.33</v>
      </c>
      <c r="AD52" s="449">
        <v>100</v>
      </c>
      <c r="AE52" s="449">
        <v>0</v>
      </c>
      <c r="AF52" s="449">
        <v>0</v>
      </c>
    </row>
    <row r="53" spans="1:32" ht="15">
      <c r="A53" s="140" t="str">
        <f t="shared" si="7"/>
        <v>E058</v>
      </c>
      <c r="B53" s="140" t="str">
        <f t="shared" si="8"/>
        <v>1.2.1</v>
      </c>
      <c r="C53" s="140" t="str">
        <f t="shared" si="9"/>
        <v>E058-G1053</v>
      </c>
      <c r="D53" s="140">
        <v>1</v>
      </c>
      <c r="E53" s="140" t="str">
        <f t="shared" si="10"/>
        <v>21115-0105</v>
      </c>
      <c r="F53" s="140" t="str">
        <f t="shared" si="11"/>
        <v>1</v>
      </c>
      <c r="G53" s="140" t="str">
        <f t="shared" si="12"/>
        <v>3181</v>
      </c>
      <c r="H53" s="140" t="str">
        <f t="shared" si="13"/>
        <v>1.2.1/E058-G1053/1/21115-0105/1/3181  Servicio postal</v>
      </c>
      <c r="I53" s="448" t="s">
        <v>2129</v>
      </c>
      <c r="J53" s="924">
        <f t="shared" si="0"/>
        <v>11880.59</v>
      </c>
      <c r="K53" s="925">
        <f t="shared" si="1"/>
        <v>-11880.59</v>
      </c>
      <c r="L53" s="925">
        <f t="shared" si="2"/>
        <v>0</v>
      </c>
      <c r="M53" s="924">
        <f t="shared" si="3"/>
        <v>0</v>
      </c>
      <c r="N53" s="925">
        <f t="shared" si="4"/>
        <v>0</v>
      </c>
      <c r="O53" s="925">
        <f t="shared" si="5"/>
        <v>0</v>
      </c>
      <c r="P53" s="924">
        <f t="shared" si="6"/>
        <v>0</v>
      </c>
      <c r="Q53" s="924"/>
      <c r="R53" s="448" t="s">
        <v>2129</v>
      </c>
      <c r="S53" s="449">
        <v>11880.59</v>
      </c>
      <c r="T53" s="449">
        <v>11880.59</v>
      </c>
      <c r="U53" s="449">
        <v>-23761.18</v>
      </c>
      <c r="V53" s="449">
        <v>0</v>
      </c>
      <c r="W53" s="450">
        <v>0</v>
      </c>
      <c r="X53" s="450">
        <v>0</v>
      </c>
      <c r="Y53" s="449">
        <v>0</v>
      </c>
      <c r="Z53" s="449">
        <v>0</v>
      </c>
      <c r="AA53" s="450">
        <v>0</v>
      </c>
      <c r="AB53" s="449">
        <v>0</v>
      </c>
      <c r="AC53" s="449">
        <v>0</v>
      </c>
      <c r="AD53" s="449">
        <v>0</v>
      </c>
      <c r="AE53" s="449">
        <v>0</v>
      </c>
      <c r="AF53" s="449">
        <v>0</v>
      </c>
    </row>
    <row r="54" spans="1:32" ht="15">
      <c r="A54" s="140" t="str">
        <f t="shared" si="7"/>
        <v>E058</v>
      </c>
      <c r="B54" s="140" t="str">
        <f t="shared" si="8"/>
        <v>1.2.1</v>
      </c>
      <c r="C54" s="140" t="str">
        <f t="shared" si="9"/>
        <v>E058-G1053</v>
      </c>
      <c r="D54" s="140">
        <v>1</v>
      </c>
      <c r="E54" s="140" t="str">
        <f t="shared" si="10"/>
        <v>21115-0105</v>
      </c>
      <c r="F54" s="140" t="str">
        <f t="shared" si="11"/>
        <v>1</v>
      </c>
      <c r="G54" s="140" t="str">
        <f t="shared" si="12"/>
        <v>3221</v>
      </c>
      <c r="H54" s="140" t="str">
        <f t="shared" si="13"/>
        <v>1.2.1/E058-G1053/1/21115-0105/1/3221  Arrendam Edificios</v>
      </c>
      <c r="I54" s="448" t="s">
        <v>2130</v>
      </c>
      <c r="J54" s="924">
        <f t="shared" si="0"/>
        <v>260785.11</v>
      </c>
      <c r="K54" s="925">
        <f t="shared" si="1"/>
        <v>159068.87000000005</v>
      </c>
      <c r="L54" s="925">
        <f t="shared" si="2"/>
        <v>419853.98</v>
      </c>
      <c r="M54" s="924">
        <f t="shared" si="3"/>
        <v>419853.98</v>
      </c>
      <c r="N54" s="925">
        <f t="shared" si="4"/>
        <v>419853.98</v>
      </c>
      <c r="O54" s="925">
        <f t="shared" si="5"/>
        <v>419853.98</v>
      </c>
      <c r="P54" s="924">
        <f t="shared" si="6"/>
        <v>419853.98</v>
      </c>
      <c r="Q54" s="924"/>
      <c r="R54" s="448" t="s">
        <v>2130</v>
      </c>
      <c r="S54" s="449">
        <v>260785.11</v>
      </c>
      <c r="T54" s="449">
        <v>675145.43</v>
      </c>
      <c r="U54" s="449">
        <v>-516076.56</v>
      </c>
      <c r="V54" s="449">
        <v>419853.98</v>
      </c>
      <c r="W54" s="449">
        <v>0</v>
      </c>
      <c r="X54" s="449">
        <v>419853.98</v>
      </c>
      <c r="Y54" s="449">
        <v>419853.98</v>
      </c>
      <c r="Z54" s="449">
        <v>100</v>
      </c>
      <c r="AA54" s="449">
        <v>0</v>
      </c>
      <c r="AB54" s="449">
        <v>0</v>
      </c>
      <c r="AC54" s="449">
        <v>419853.98</v>
      </c>
      <c r="AD54" s="449">
        <v>100</v>
      </c>
      <c r="AE54" s="449">
        <v>0</v>
      </c>
      <c r="AF54" s="449">
        <v>0</v>
      </c>
    </row>
    <row r="55" spans="1:32" ht="15">
      <c r="A55" s="140" t="str">
        <f t="shared" si="7"/>
        <v>E058</v>
      </c>
      <c r="B55" s="140" t="str">
        <f t="shared" si="8"/>
        <v>1.2.1</v>
      </c>
      <c r="C55" s="140" t="str">
        <f t="shared" si="9"/>
        <v>E058-G1053</v>
      </c>
      <c r="D55" s="140">
        <v>1</v>
      </c>
      <c r="E55" s="140" t="str">
        <f t="shared" si="10"/>
        <v>21115-0105</v>
      </c>
      <c r="F55" s="140" t="str">
        <f t="shared" si="11"/>
        <v>1</v>
      </c>
      <c r="G55" s="140" t="str">
        <f t="shared" si="12"/>
        <v>3231</v>
      </c>
      <c r="H55" s="140" t="str">
        <f t="shared" si="13"/>
        <v>1.2.1/E058-G1053/1/21115-0105/1/3231  Arren Mobiliario</v>
      </c>
      <c r="I55" s="448" t="s">
        <v>2131</v>
      </c>
      <c r="J55" s="925">
        <f t="shared" si="0"/>
        <v>51615.360000000001</v>
      </c>
      <c r="K55" s="924">
        <f t="shared" si="1"/>
        <v>22392.639999999999</v>
      </c>
      <c r="L55" s="925">
        <f t="shared" si="2"/>
        <v>74008</v>
      </c>
      <c r="M55" s="924">
        <f t="shared" si="3"/>
        <v>74008</v>
      </c>
      <c r="N55" s="924">
        <f t="shared" si="4"/>
        <v>74008</v>
      </c>
      <c r="O55" s="924">
        <f t="shared" si="5"/>
        <v>74008</v>
      </c>
      <c r="P55" s="924">
        <f t="shared" si="6"/>
        <v>74008</v>
      </c>
      <c r="Q55" s="924"/>
      <c r="R55" s="448" t="s">
        <v>2131</v>
      </c>
      <c r="S55" s="449">
        <v>51615.360000000001</v>
      </c>
      <c r="T55" s="449">
        <v>126175.52</v>
      </c>
      <c r="U55" s="449">
        <v>-103782.88</v>
      </c>
      <c r="V55" s="449">
        <v>74008</v>
      </c>
      <c r="W55" s="449">
        <v>0</v>
      </c>
      <c r="X55" s="449">
        <v>74008</v>
      </c>
      <c r="Y55" s="449">
        <v>74008</v>
      </c>
      <c r="Z55" s="449">
        <v>100</v>
      </c>
      <c r="AA55" s="449">
        <v>0</v>
      </c>
      <c r="AB55" s="449">
        <v>0</v>
      </c>
      <c r="AC55" s="449">
        <v>74008</v>
      </c>
      <c r="AD55" s="449">
        <v>100</v>
      </c>
      <c r="AE55" s="449">
        <v>0</v>
      </c>
      <c r="AF55" s="449">
        <v>0</v>
      </c>
    </row>
    <row r="56" spans="1:32" ht="15">
      <c r="A56" s="140" t="str">
        <f t="shared" si="7"/>
        <v>E058</v>
      </c>
      <c r="B56" s="140" t="str">
        <f t="shared" si="8"/>
        <v>1.2.1</v>
      </c>
      <c r="C56" s="140" t="str">
        <f t="shared" si="9"/>
        <v>E058-G1053</v>
      </c>
      <c r="D56" s="140">
        <v>1</v>
      </c>
      <c r="E56" s="140" t="str">
        <f t="shared" si="10"/>
        <v>21115-0105</v>
      </c>
      <c r="F56" s="140" t="str">
        <f t="shared" si="11"/>
        <v>1</v>
      </c>
      <c r="G56" s="140" t="str">
        <f t="shared" si="12"/>
        <v>3261</v>
      </c>
      <c r="H56" s="140" t="str">
        <f t="shared" si="13"/>
        <v>1.2.1/E058-G1053/1/21115-0105/1/3261  Arren Maq y eq</v>
      </c>
      <c r="I56" s="448" t="s">
        <v>2607</v>
      </c>
      <c r="J56" s="924">
        <f t="shared" si="0"/>
        <v>0</v>
      </c>
      <c r="K56" s="925">
        <f t="shared" si="1"/>
        <v>6728</v>
      </c>
      <c r="L56" s="925">
        <f t="shared" si="2"/>
        <v>6728</v>
      </c>
      <c r="M56" s="924">
        <f t="shared" si="3"/>
        <v>6728</v>
      </c>
      <c r="N56" s="924">
        <f t="shared" si="4"/>
        <v>6728</v>
      </c>
      <c r="O56" s="924">
        <f t="shared" si="5"/>
        <v>6728</v>
      </c>
      <c r="P56" s="924">
        <f t="shared" si="6"/>
        <v>0</v>
      </c>
      <c r="Q56" s="924"/>
      <c r="R56" s="448" t="s">
        <v>2607</v>
      </c>
      <c r="S56" s="450">
        <v>0</v>
      </c>
      <c r="T56" s="449">
        <v>6728</v>
      </c>
      <c r="U56" s="450">
        <v>0</v>
      </c>
      <c r="V56" s="449">
        <v>6728</v>
      </c>
      <c r="W56" s="449">
        <v>6728</v>
      </c>
      <c r="X56" s="450">
        <v>0</v>
      </c>
      <c r="Y56" s="449">
        <v>6728</v>
      </c>
      <c r="Z56" s="449">
        <v>100</v>
      </c>
      <c r="AA56" s="450">
        <v>0</v>
      </c>
      <c r="AB56" s="449">
        <v>0</v>
      </c>
      <c r="AC56" s="449">
        <v>6728</v>
      </c>
      <c r="AD56" s="449">
        <v>100</v>
      </c>
      <c r="AE56" s="449">
        <v>0</v>
      </c>
      <c r="AF56" s="449">
        <v>0</v>
      </c>
    </row>
    <row r="57" spans="1:32" ht="15">
      <c r="A57" s="140" t="str">
        <f t="shared" si="7"/>
        <v>E058</v>
      </c>
      <c r="B57" s="140" t="str">
        <f t="shared" si="8"/>
        <v>1.2.1</v>
      </c>
      <c r="C57" s="140" t="str">
        <f t="shared" si="9"/>
        <v>E058-G1053</v>
      </c>
      <c r="D57" s="140">
        <v>1</v>
      </c>
      <c r="E57" s="140" t="str">
        <f t="shared" si="10"/>
        <v>21115-0105</v>
      </c>
      <c r="F57" s="140" t="str">
        <f t="shared" si="11"/>
        <v>1</v>
      </c>
      <c r="G57" s="140" t="str">
        <f t="shared" si="12"/>
        <v>3271</v>
      </c>
      <c r="H57" s="140" t="str">
        <f t="shared" si="13"/>
        <v>1.2.1/E058-G1053/1/21115-0105/1/3271  Arren Act Intangib</v>
      </c>
      <c r="I57" s="448" t="s">
        <v>2132</v>
      </c>
      <c r="J57" s="924">
        <f t="shared" si="0"/>
        <v>149082.63</v>
      </c>
      <c r="K57" s="925">
        <f t="shared" si="1"/>
        <v>-13839.669999999984</v>
      </c>
      <c r="L57" s="924">
        <f t="shared" si="2"/>
        <v>135242.96</v>
      </c>
      <c r="M57" s="924">
        <f t="shared" si="3"/>
        <v>135242.96</v>
      </c>
      <c r="N57" s="924">
        <f t="shared" si="4"/>
        <v>135242.96</v>
      </c>
      <c r="O57" s="924">
        <f t="shared" si="5"/>
        <v>135242.96</v>
      </c>
      <c r="P57" s="924">
        <f t="shared" si="6"/>
        <v>135242.96</v>
      </c>
      <c r="Q57" s="924"/>
      <c r="R57" s="448" t="s">
        <v>2132</v>
      </c>
      <c r="S57" s="449">
        <v>149082.63</v>
      </c>
      <c r="T57" s="449">
        <v>284325.59000000003</v>
      </c>
      <c r="U57" s="449">
        <v>-298165.26</v>
      </c>
      <c r="V57" s="449">
        <v>135242.96</v>
      </c>
      <c r="W57" s="449">
        <v>0</v>
      </c>
      <c r="X57" s="449">
        <v>135242.96</v>
      </c>
      <c r="Y57" s="449">
        <v>135242.96</v>
      </c>
      <c r="Z57" s="449">
        <v>100</v>
      </c>
      <c r="AA57" s="449">
        <v>0</v>
      </c>
      <c r="AB57" s="449">
        <v>0</v>
      </c>
      <c r="AC57" s="449">
        <v>135242.96</v>
      </c>
      <c r="AD57" s="449">
        <v>100</v>
      </c>
      <c r="AE57" s="449">
        <v>0</v>
      </c>
      <c r="AF57" s="449">
        <v>0</v>
      </c>
    </row>
    <row r="58" spans="1:32" ht="15">
      <c r="A58" s="140" t="str">
        <f t="shared" si="7"/>
        <v>E058</v>
      </c>
      <c r="B58" s="140" t="str">
        <f t="shared" si="8"/>
        <v>1.2.1</v>
      </c>
      <c r="C58" s="140" t="str">
        <f t="shared" si="9"/>
        <v>E058-G1053</v>
      </c>
      <c r="D58" s="140">
        <v>1</v>
      </c>
      <c r="E58" s="140" t="str">
        <f t="shared" si="10"/>
        <v>21115-0105</v>
      </c>
      <c r="F58" s="140" t="str">
        <f t="shared" si="11"/>
        <v>1</v>
      </c>
      <c r="G58" s="140" t="str">
        <f t="shared" si="12"/>
        <v>3311</v>
      </c>
      <c r="H58" s="140" t="str">
        <f t="shared" si="13"/>
        <v>1.2.1/E058-G1053/1/21115-0105/1/3311  Servicios legales</v>
      </c>
      <c r="I58" s="448" t="s">
        <v>2983</v>
      </c>
      <c r="J58" s="924">
        <f t="shared" si="0"/>
        <v>0</v>
      </c>
      <c r="K58" s="925">
        <f t="shared" si="1"/>
        <v>0</v>
      </c>
      <c r="L58" s="925">
        <f t="shared" si="2"/>
        <v>0</v>
      </c>
      <c r="M58" s="924">
        <f t="shared" si="3"/>
        <v>0</v>
      </c>
      <c r="N58" s="924">
        <f t="shared" si="4"/>
        <v>0</v>
      </c>
      <c r="O58" s="924">
        <f t="shared" si="5"/>
        <v>0</v>
      </c>
      <c r="P58" s="924">
        <f t="shared" si="6"/>
        <v>0</v>
      </c>
      <c r="Q58" s="924"/>
      <c r="R58" s="448" t="s">
        <v>2983</v>
      </c>
      <c r="S58" s="449">
        <v>0</v>
      </c>
      <c r="T58" s="449">
        <v>87000</v>
      </c>
      <c r="U58" s="449">
        <v>-87000</v>
      </c>
      <c r="V58" s="449">
        <v>0</v>
      </c>
      <c r="W58" s="450">
        <v>0</v>
      </c>
      <c r="X58" s="450">
        <v>0</v>
      </c>
      <c r="Y58" s="449">
        <v>0</v>
      </c>
      <c r="Z58" s="449">
        <v>0</v>
      </c>
      <c r="AA58" s="450">
        <v>0</v>
      </c>
      <c r="AB58" s="449">
        <v>0</v>
      </c>
      <c r="AC58" s="449">
        <v>0</v>
      </c>
      <c r="AD58" s="449">
        <v>0</v>
      </c>
      <c r="AE58" s="449">
        <v>0</v>
      </c>
      <c r="AF58" s="449">
        <v>0</v>
      </c>
    </row>
    <row r="59" spans="1:32" ht="15">
      <c r="A59" s="140" t="str">
        <f t="shared" si="7"/>
        <v>E058</v>
      </c>
      <c r="B59" s="140" t="str">
        <f t="shared" si="8"/>
        <v>1.2.1</v>
      </c>
      <c r="C59" s="140" t="str">
        <f t="shared" si="9"/>
        <v>E058-G1053</v>
      </c>
      <c r="D59" s="140">
        <v>1</v>
      </c>
      <c r="E59" s="140" t="str">
        <f t="shared" si="10"/>
        <v>21115-0105</v>
      </c>
      <c r="F59" s="140" t="str">
        <f t="shared" si="11"/>
        <v>1</v>
      </c>
      <c r="G59" s="140" t="str">
        <f t="shared" si="12"/>
        <v>3312</v>
      </c>
      <c r="H59" s="140" t="str">
        <f t="shared" si="13"/>
        <v>1.2.1/E058-G1053/1/21115-0105/1/3312  Servicios de contabilidad</v>
      </c>
      <c r="I59" s="448" t="s">
        <v>2133</v>
      </c>
      <c r="J59" s="924">
        <f t="shared" si="0"/>
        <v>116000</v>
      </c>
      <c r="K59" s="925">
        <f t="shared" si="1"/>
        <v>162400</v>
      </c>
      <c r="L59" s="925">
        <f t="shared" si="2"/>
        <v>278400</v>
      </c>
      <c r="M59" s="924">
        <f t="shared" si="3"/>
        <v>278400</v>
      </c>
      <c r="N59" s="924">
        <f t="shared" si="4"/>
        <v>278400</v>
      </c>
      <c r="O59" s="924">
        <f t="shared" si="5"/>
        <v>278400</v>
      </c>
      <c r="P59" s="924">
        <f t="shared" si="6"/>
        <v>237800</v>
      </c>
      <c r="Q59" s="924"/>
      <c r="R59" s="448" t="s">
        <v>2133</v>
      </c>
      <c r="S59" s="449">
        <v>116000</v>
      </c>
      <c r="T59" s="449">
        <v>435000</v>
      </c>
      <c r="U59" s="449">
        <v>-272600</v>
      </c>
      <c r="V59" s="449">
        <v>278400</v>
      </c>
      <c r="W59" s="449">
        <v>40600</v>
      </c>
      <c r="X59" s="449">
        <v>237800</v>
      </c>
      <c r="Y59" s="449">
        <v>278400</v>
      </c>
      <c r="Z59" s="449">
        <v>100</v>
      </c>
      <c r="AA59" s="450">
        <v>0</v>
      </c>
      <c r="AB59" s="449">
        <v>0</v>
      </c>
      <c r="AC59" s="449">
        <v>278400</v>
      </c>
      <c r="AD59" s="449">
        <v>100</v>
      </c>
      <c r="AE59" s="449">
        <v>0</v>
      </c>
      <c r="AF59" s="449">
        <v>0</v>
      </c>
    </row>
    <row r="60" spans="1:32" ht="15">
      <c r="A60" s="140" t="str">
        <f t="shared" si="7"/>
        <v>E058</v>
      </c>
      <c r="B60" s="140" t="str">
        <f t="shared" si="8"/>
        <v>1.2.1</v>
      </c>
      <c r="C60" s="140" t="str">
        <f t="shared" si="9"/>
        <v>E058-G1053</v>
      </c>
      <c r="D60" s="140">
        <v>1</v>
      </c>
      <c r="E60" s="140" t="str">
        <f t="shared" si="10"/>
        <v>21115-0105</v>
      </c>
      <c r="F60" s="140" t="str">
        <f t="shared" si="11"/>
        <v>1</v>
      </c>
      <c r="G60" s="140" t="str">
        <f t="shared" si="12"/>
        <v>3331</v>
      </c>
      <c r="H60" s="140" t="str">
        <f t="shared" si="13"/>
        <v>1.2.1/E058-G1053/1/21115-0105/1/3331  Serv Consultoría</v>
      </c>
      <c r="I60" s="448" t="s">
        <v>2134</v>
      </c>
      <c r="J60" s="924">
        <f t="shared" si="0"/>
        <v>32120.55</v>
      </c>
      <c r="K60" s="925">
        <f t="shared" si="1"/>
        <v>-32120.550000000003</v>
      </c>
      <c r="L60" s="925">
        <f t="shared" si="2"/>
        <v>0</v>
      </c>
      <c r="M60" s="924">
        <f t="shared" si="3"/>
        <v>0</v>
      </c>
      <c r="N60" s="925">
        <f t="shared" si="4"/>
        <v>0</v>
      </c>
      <c r="O60" s="925">
        <f t="shared" si="5"/>
        <v>0</v>
      </c>
      <c r="P60" s="924">
        <f t="shared" si="6"/>
        <v>0</v>
      </c>
      <c r="Q60" s="924"/>
      <c r="R60" s="448" t="s">
        <v>2134</v>
      </c>
      <c r="S60" s="449">
        <v>32120.55</v>
      </c>
      <c r="T60" s="449">
        <v>39577.5</v>
      </c>
      <c r="U60" s="449">
        <v>-71698.05</v>
      </c>
      <c r="V60" s="449">
        <v>0</v>
      </c>
      <c r="W60" s="450">
        <v>0</v>
      </c>
      <c r="X60" s="450">
        <v>0</v>
      </c>
      <c r="Y60" s="449">
        <v>0</v>
      </c>
      <c r="Z60" s="449">
        <v>0</v>
      </c>
      <c r="AA60" s="450">
        <v>0</v>
      </c>
      <c r="AB60" s="449">
        <v>0</v>
      </c>
      <c r="AC60" s="449">
        <v>0</v>
      </c>
      <c r="AD60" s="449">
        <v>0</v>
      </c>
      <c r="AE60" s="449">
        <v>0</v>
      </c>
      <c r="AF60" s="449">
        <v>0</v>
      </c>
    </row>
    <row r="61" spans="1:32" ht="15">
      <c r="A61" s="140" t="str">
        <f t="shared" si="7"/>
        <v>E058</v>
      </c>
      <c r="B61" s="140" t="str">
        <f t="shared" si="8"/>
        <v>1.2.1</v>
      </c>
      <c r="C61" s="140" t="str">
        <f t="shared" si="9"/>
        <v>E058-G1053</v>
      </c>
      <c r="D61" s="140">
        <v>1</v>
      </c>
      <c r="E61" s="140" t="str">
        <f t="shared" si="10"/>
        <v>21115-0105</v>
      </c>
      <c r="F61" s="140" t="str">
        <f t="shared" si="11"/>
        <v>1</v>
      </c>
      <c r="G61" s="140" t="str">
        <f t="shared" si="12"/>
        <v>3332</v>
      </c>
      <c r="H61" s="140" t="str">
        <f t="shared" si="13"/>
        <v>1.2.1/E058-G1053/1/21115-0105/1/3332  Serv Procesos</v>
      </c>
      <c r="I61" s="448" t="s">
        <v>2135</v>
      </c>
      <c r="J61" s="924">
        <f t="shared" si="0"/>
        <v>0</v>
      </c>
      <c r="K61" s="925">
        <f t="shared" si="1"/>
        <v>6380</v>
      </c>
      <c r="L61" s="925">
        <f t="shared" si="2"/>
        <v>6380</v>
      </c>
      <c r="M61" s="924">
        <f t="shared" si="3"/>
        <v>6380</v>
      </c>
      <c r="N61" s="925">
        <f t="shared" si="4"/>
        <v>6380</v>
      </c>
      <c r="O61" s="925">
        <f t="shared" si="5"/>
        <v>6380</v>
      </c>
      <c r="P61" s="924">
        <f t="shared" si="6"/>
        <v>6380</v>
      </c>
      <c r="Q61" s="924"/>
      <c r="R61" s="448" t="s">
        <v>2135</v>
      </c>
      <c r="S61" s="450">
        <v>0</v>
      </c>
      <c r="T61" s="449">
        <v>16380</v>
      </c>
      <c r="U61" s="449">
        <v>-10000</v>
      </c>
      <c r="V61" s="449">
        <v>6380</v>
      </c>
      <c r="W61" s="449">
        <v>0</v>
      </c>
      <c r="X61" s="449">
        <v>6380</v>
      </c>
      <c r="Y61" s="449">
        <v>6380</v>
      </c>
      <c r="Z61" s="449">
        <v>100</v>
      </c>
      <c r="AA61" s="450">
        <v>0</v>
      </c>
      <c r="AB61" s="449">
        <v>0</v>
      </c>
      <c r="AC61" s="449">
        <v>6380</v>
      </c>
      <c r="AD61" s="449">
        <v>100</v>
      </c>
      <c r="AE61" s="449">
        <v>0</v>
      </c>
      <c r="AF61" s="449">
        <v>0</v>
      </c>
    </row>
    <row r="62" spans="1:32" ht="15">
      <c r="A62" s="140" t="str">
        <f t="shared" si="7"/>
        <v>E058</v>
      </c>
      <c r="B62" s="140" t="str">
        <f t="shared" si="8"/>
        <v>1.2.1</v>
      </c>
      <c r="C62" s="140" t="str">
        <f t="shared" si="9"/>
        <v>E058-G1053</v>
      </c>
      <c r="D62" s="140">
        <v>1</v>
      </c>
      <c r="E62" s="140" t="str">
        <f t="shared" si="10"/>
        <v>21115-0105</v>
      </c>
      <c r="F62" s="140" t="str">
        <f t="shared" si="11"/>
        <v>1</v>
      </c>
      <c r="G62" s="140" t="str">
        <f t="shared" si="12"/>
        <v>3341</v>
      </c>
      <c r="H62" s="140" t="str">
        <f t="shared" si="13"/>
        <v>1.2.1/E058-G1053/1/21115-0105/1/3341  Servicios de capacitación</v>
      </c>
      <c r="I62" s="448" t="s">
        <v>2136</v>
      </c>
      <c r="J62" s="924">
        <f t="shared" si="0"/>
        <v>415688.67</v>
      </c>
      <c r="K62" s="925">
        <f t="shared" si="1"/>
        <v>-108429.65999999992</v>
      </c>
      <c r="L62" s="925">
        <f t="shared" si="2"/>
        <v>307259.01</v>
      </c>
      <c r="M62" s="924">
        <f t="shared" si="3"/>
        <v>307259.01</v>
      </c>
      <c r="N62" s="924">
        <f t="shared" si="4"/>
        <v>307259.01</v>
      </c>
      <c r="O62" s="924">
        <f t="shared" si="5"/>
        <v>307259.01</v>
      </c>
      <c r="P62" s="924">
        <f t="shared" si="6"/>
        <v>307259.01</v>
      </c>
      <c r="Q62" s="924"/>
      <c r="R62" s="448" t="s">
        <v>2136</v>
      </c>
      <c r="S62" s="449">
        <v>415688.67</v>
      </c>
      <c r="T62" s="449">
        <v>567381.56000000006</v>
      </c>
      <c r="U62" s="449">
        <v>-675811.22</v>
      </c>
      <c r="V62" s="449">
        <v>307259.01</v>
      </c>
      <c r="W62" s="449">
        <v>0</v>
      </c>
      <c r="X62" s="449">
        <v>307259.01</v>
      </c>
      <c r="Y62" s="449">
        <v>307259.01</v>
      </c>
      <c r="Z62" s="449">
        <v>100</v>
      </c>
      <c r="AA62" s="449">
        <v>0</v>
      </c>
      <c r="AB62" s="449">
        <v>0</v>
      </c>
      <c r="AC62" s="449">
        <v>307259.01</v>
      </c>
      <c r="AD62" s="449">
        <v>100</v>
      </c>
      <c r="AE62" s="449">
        <v>0</v>
      </c>
      <c r="AF62" s="449">
        <v>0</v>
      </c>
    </row>
    <row r="63" spans="1:32" ht="15">
      <c r="A63" s="140" t="str">
        <f t="shared" si="7"/>
        <v>E058</v>
      </c>
      <c r="B63" s="140" t="str">
        <f t="shared" si="8"/>
        <v>1.2.1</v>
      </c>
      <c r="C63" s="140" t="str">
        <f t="shared" si="9"/>
        <v>E058-G1053</v>
      </c>
      <c r="D63" s="140">
        <v>1</v>
      </c>
      <c r="E63" s="140" t="str">
        <f t="shared" si="10"/>
        <v>21115-0105</v>
      </c>
      <c r="F63" s="140" t="str">
        <f t="shared" si="11"/>
        <v>1</v>
      </c>
      <c r="G63" s="140" t="str">
        <f t="shared" si="12"/>
        <v>3361</v>
      </c>
      <c r="H63" s="140" t="str">
        <f t="shared" si="13"/>
        <v>1.2.1/E058-G1053/1/21115-0105/1/3361  Impresiones docofic</v>
      </c>
      <c r="I63" s="448" t="s">
        <v>2137</v>
      </c>
      <c r="J63" s="924">
        <f t="shared" si="0"/>
        <v>164558.15</v>
      </c>
      <c r="K63" s="925">
        <f t="shared" si="1"/>
        <v>517415.48999999993</v>
      </c>
      <c r="L63" s="925">
        <f t="shared" si="2"/>
        <v>681973.64</v>
      </c>
      <c r="M63" s="924">
        <f t="shared" si="3"/>
        <v>681973.64</v>
      </c>
      <c r="N63" s="924">
        <f t="shared" si="4"/>
        <v>681973.64</v>
      </c>
      <c r="O63" s="924">
        <f t="shared" si="5"/>
        <v>681973.64</v>
      </c>
      <c r="P63" s="924">
        <f t="shared" si="6"/>
        <v>681973.64</v>
      </c>
      <c r="Q63" s="924"/>
      <c r="R63" s="448" t="s">
        <v>2137</v>
      </c>
      <c r="S63" s="449">
        <v>164558.15</v>
      </c>
      <c r="T63" s="449">
        <v>829677.19</v>
      </c>
      <c r="U63" s="449">
        <v>-312261.7</v>
      </c>
      <c r="V63" s="449">
        <v>681973.64</v>
      </c>
      <c r="W63" s="449">
        <v>0</v>
      </c>
      <c r="X63" s="449">
        <v>681973.64</v>
      </c>
      <c r="Y63" s="449">
        <v>681973.64</v>
      </c>
      <c r="Z63" s="449">
        <v>100</v>
      </c>
      <c r="AA63" s="450">
        <v>0</v>
      </c>
      <c r="AB63" s="449">
        <v>0</v>
      </c>
      <c r="AC63" s="449">
        <v>681973.64</v>
      </c>
      <c r="AD63" s="449">
        <v>100</v>
      </c>
      <c r="AE63" s="449">
        <v>0</v>
      </c>
      <c r="AF63" s="449">
        <v>0</v>
      </c>
    </row>
    <row r="64" spans="1:32" ht="15">
      <c r="A64" s="140" t="str">
        <f t="shared" si="7"/>
        <v>E058</v>
      </c>
      <c r="B64" s="140" t="str">
        <f t="shared" si="8"/>
        <v>1.2.1</v>
      </c>
      <c r="C64" s="140" t="str">
        <f t="shared" si="9"/>
        <v>E058-G1053</v>
      </c>
      <c r="D64" s="140">
        <v>1</v>
      </c>
      <c r="E64" s="140" t="str">
        <f t="shared" si="10"/>
        <v>21115-0105</v>
      </c>
      <c r="F64" s="140" t="str">
        <f t="shared" si="11"/>
        <v>1</v>
      </c>
      <c r="G64" s="140" t="str">
        <f t="shared" si="12"/>
        <v>3381</v>
      </c>
      <c r="H64" s="140" t="str">
        <f t="shared" si="13"/>
        <v>1.2.1/E058-G1053/1/21115-0105/1/3381  Servicios de vigilancia</v>
      </c>
      <c r="I64" s="448" t="s">
        <v>2138</v>
      </c>
      <c r="J64" s="924">
        <f t="shared" si="0"/>
        <v>321478.24</v>
      </c>
      <c r="K64" s="925">
        <f t="shared" si="1"/>
        <v>-8910.7700000000186</v>
      </c>
      <c r="L64" s="925">
        <f t="shared" si="2"/>
        <v>312567.46999999997</v>
      </c>
      <c r="M64" s="924">
        <f t="shared" si="3"/>
        <v>312567.46999999997</v>
      </c>
      <c r="N64" s="925">
        <f t="shared" si="4"/>
        <v>312567.46999999997</v>
      </c>
      <c r="O64" s="925">
        <f t="shared" si="5"/>
        <v>312567.46999999997</v>
      </c>
      <c r="P64" s="924">
        <f t="shared" si="6"/>
        <v>312567.46999999997</v>
      </c>
      <c r="Q64" s="924"/>
      <c r="R64" s="448" t="s">
        <v>2138</v>
      </c>
      <c r="S64" s="449">
        <v>321478.24</v>
      </c>
      <c r="T64" s="449">
        <v>520223.63</v>
      </c>
      <c r="U64" s="449">
        <v>-529134.4</v>
      </c>
      <c r="V64" s="449">
        <v>312567.46999999997</v>
      </c>
      <c r="W64" s="449">
        <v>0</v>
      </c>
      <c r="X64" s="449">
        <v>312567.46999999997</v>
      </c>
      <c r="Y64" s="449">
        <v>312567.46999999997</v>
      </c>
      <c r="Z64" s="449">
        <v>100</v>
      </c>
      <c r="AA64" s="449">
        <v>0</v>
      </c>
      <c r="AB64" s="449">
        <v>0</v>
      </c>
      <c r="AC64" s="449">
        <v>312567.46999999997</v>
      </c>
      <c r="AD64" s="449">
        <v>100</v>
      </c>
      <c r="AE64" s="449">
        <v>0</v>
      </c>
      <c r="AF64" s="449">
        <v>0</v>
      </c>
    </row>
    <row r="65" spans="1:32" ht="15">
      <c r="A65" s="140" t="str">
        <f t="shared" si="7"/>
        <v>E058</v>
      </c>
      <c r="B65" s="140" t="str">
        <f t="shared" si="8"/>
        <v>1.2.1</v>
      </c>
      <c r="C65" s="140" t="str">
        <f t="shared" si="9"/>
        <v>E058-G1053</v>
      </c>
      <c r="D65" s="140">
        <v>1</v>
      </c>
      <c r="E65" s="140" t="str">
        <f t="shared" si="10"/>
        <v>21115-0105</v>
      </c>
      <c r="F65" s="140" t="str">
        <f t="shared" si="11"/>
        <v>1</v>
      </c>
      <c r="G65" s="140" t="str">
        <f t="shared" si="12"/>
        <v>3411</v>
      </c>
      <c r="H65" s="140" t="str">
        <f t="shared" si="13"/>
        <v>1.2.1/E058-G1053/1/21115-0105/1/3411  Serv Financieros</v>
      </c>
      <c r="I65" s="448" t="s">
        <v>2139</v>
      </c>
      <c r="J65" s="924">
        <f t="shared" si="0"/>
        <v>19216.57</v>
      </c>
      <c r="K65" s="925">
        <f t="shared" si="1"/>
        <v>-15925.439999999999</v>
      </c>
      <c r="L65" s="925">
        <f t="shared" si="2"/>
        <v>3291.13</v>
      </c>
      <c r="M65" s="924">
        <f t="shared" si="3"/>
        <v>3291.13</v>
      </c>
      <c r="N65" s="924">
        <f t="shared" si="4"/>
        <v>3291.13</v>
      </c>
      <c r="O65" s="924">
        <f t="shared" si="5"/>
        <v>3291.13</v>
      </c>
      <c r="P65" s="924">
        <f t="shared" si="6"/>
        <v>3291.13</v>
      </c>
      <c r="Q65" s="924"/>
      <c r="R65" s="448" t="s">
        <v>2139</v>
      </c>
      <c r="S65" s="449">
        <v>19216.57</v>
      </c>
      <c r="T65" s="449">
        <v>24657.27</v>
      </c>
      <c r="U65" s="449">
        <v>-40582.71</v>
      </c>
      <c r="V65" s="449">
        <v>3291.13</v>
      </c>
      <c r="W65" s="449">
        <v>0</v>
      </c>
      <c r="X65" s="449">
        <v>3291.13</v>
      </c>
      <c r="Y65" s="449">
        <v>3291.13</v>
      </c>
      <c r="Z65" s="449">
        <v>100</v>
      </c>
      <c r="AA65" s="450">
        <v>0</v>
      </c>
      <c r="AB65" s="449">
        <v>0</v>
      </c>
      <c r="AC65" s="449">
        <v>3291.13</v>
      </c>
      <c r="AD65" s="449">
        <v>100</v>
      </c>
      <c r="AE65" s="449">
        <v>0</v>
      </c>
      <c r="AF65" s="449">
        <v>0</v>
      </c>
    </row>
    <row r="66" spans="1:32" ht="15">
      <c r="A66" s="140" t="str">
        <f t="shared" si="7"/>
        <v>E058</v>
      </c>
      <c r="B66" s="140" t="str">
        <f t="shared" si="8"/>
        <v>1.2.1</v>
      </c>
      <c r="C66" s="140" t="str">
        <f t="shared" si="9"/>
        <v>E058-G1053</v>
      </c>
      <c r="D66" s="140">
        <v>1</v>
      </c>
      <c r="E66" s="140" t="str">
        <f t="shared" si="10"/>
        <v>21115-0105</v>
      </c>
      <c r="F66" s="140" t="str">
        <f t="shared" si="11"/>
        <v>1</v>
      </c>
      <c r="G66" s="140" t="str">
        <f t="shared" si="12"/>
        <v>3441</v>
      </c>
      <c r="H66" s="140" t="str">
        <f t="shared" si="13"/>
        <v>1.2.1/E058-G1053/1/21115-0105/1/3441  Seg Resp Patrimon</v>
      </c>
      <c r="I66" s="448" t="s">
        <v>2140</v>
      </c>
      <c r="J66" s="924">
        <f t="shared" si="0"/>
        <v>8632.7900000000009</v>
      </c>
      <c r="K66" s="925">
        <f t="shared" si="1"/>
        <v>-8632.7899999999972</v>
      </c>
      <c r="L66" s="924">
        <f t="shared" si="2"/>
        <v>0</v>
      </c>
      <c r="M66" s="924">
        <f t="shared" si="3"/>
        <v>0</v>
      </c>
      <c r="N66" s="925">
        <f t="shared" si="4"/>
        <v>0</v>
      </c>
      <c r="O66" s="925">
        <f t="shared" si="5"/>
        <v>0</v>
      </c>
      <c r="P66" s="924">
        <f t="shared" si="6"/>
        <v>0</v>
      </c>
      <c r="Q66" s="924"/>
      <c r="R66" s="448" t="s">
        <v>2140</v>
      </c>
      <c r="S66" s="449">
        <v>8632.7900000000009</v>
      </c>
      <c r="T66" s="449">
        <v>17265.580000000002</v>
      </c>
      <c r="U66" s="449">
        <v>-25898.37</v>
      </c>
      <c r="V66" s="449">
        <v>0</v>
      </c>
      <c r="W66" s="450">
        <v>0</v>
      </c>
      <c r="X66" s="450">
        <v>0</v>
      </c>
      <c r="Y66" s="449">
        <v>0</v>
      </c>
      <c r="Z66" s="449">
        <v>0</v>
      </c>
      <c r="AA66" s="450">
        <v>0</v>
      </c>
      <c r="AB66" s="449">
        <v>0</v>
      </c>
      <c r="AC66" s="449">
        <v>0</v>
      </c>
      <c r="AD66" s="449">
        <v>0</v>
      </c>
      <c r="AE66" s="449">
        <v>0</v>
      </c>
      <c r="AF66" s="449">
        <v>0</v>
      </c>
    </row>
    <row r="67" spans="1:32" ht="15">
      <c r="A67" s="140" t="str">
        <f t="shared" ref="A67:A130" si="14">IF((LEFT($I67,6))="***** ","E001",+A66)</f>
        <v>E058</v>
      </c>
      <c r="B67" s="140" t="str">
        <f t="shared" si="8"/>
        <v>1.2.1</v>
      </c>
      <c r="C67" s="140" t="str">
        <f t="shared" si="9"/>
        <v>E058-G1053</v>
      </c>
      <c r="D67" s="140">
        <v>1</v>
      </c>
      <c r="E67" s="140" t="str">
        <f t="shared" si="10"/>
        <v>21115-0105</v>
      </c>
      <c r="F67" s="140" t="str">
        <f t="shared" si="11"/>
        <v>1</v>
      </c>
      <c r="G67" s="140" t="str">
        <f t="shared" si="12"/>
        <v>3451</v>
      </c>
      <c r="H67" s="140" t="str">
        <f t="shared" si="13"/>
        <v>1.2.1/E058-G1053/1/21115-0105/1/3451  Seguro de bienes patrimoniales</v>
      </c>
      <c r="I67" s="448" t="s">
        <v>2141</v>
      </c>
      <c r="J67" s="924">
        <f t="shared" ref="J67:J130" si="15">+S67</f>
        <v>114826.14</v>
      </c>
      <c r="K67" s="925">
        <f t="shared" ref="K67:K130" si="16">+T67+U67</f>
        <v>29364.73</v>
      </c>
      <c r="L67" s="925">
        <f t="shared" ref="L67:L130" si="17">+V67</f>
        <v>144190.87</v>
      </c>
      <c r="M67" s="924">
        <f t="shared" ref="M67:M130" si="18">+AA67+N67</f>
        <v>144190.87</v>
      </c>
      <c r="N67" s="924">
        <f t="shared" ref="N67:N130" si="19">+W67+P67</f>
        <v>144190.87</v>
      </c>
      <c r="O67" s="924">
        <f t="shared" ref="O67:O130" si="20">+W67+P67</f>
        <v>144190.87</v>
      </c>
      <c r="P67" s="924">
        <f t="shared" ref="P67:P130" si="21">+X67</f>
        <v>144190.87</v>
      </c>
      <c r="Q67" s="924"/>
      <c r="R67" s="448" t="s">
        <v>2141</v>
      </c>
      <c r="S67" s="449">
        <v>114826.14</v>
      </c>
      <c r="T67" s="449">
        <v>31850.41</v>
      </c>
      <c r="U67" s="449">
        <v>-2485.6799999999998</v>
      </c>
      <c r="V67" s="449">
        <v>144190.87</v>
      </c>
      <c r="W67" s="449">
        <v>0</v>
      </c>
      <c r="X67" s="449">
        <v>144190.87</v>
      </c>
      <c r="Y67" s="449">
        <v>144190.87</v>
      </c>
      <c r="Z67" s="449">
        <v>100</v>
      </c>
      <c r="AA67" s="450">
        <v>0</v>
      </c>
      <c r="AB67" s="449">
        <v>0</v>
      </c>
      <c r="AC67" s="449">
        <v>144190.87</v>
      </c>
      <c r="AD67" s="449">
        <v>100</v>
      </c>
      <c r="AE67" s="449">
        <v>0</v>
      </c>
      <c r="AF67" s="449">
        <v>0</v>
      </c>
    </row>
    <row r="68" spans="1:32" ht="15">
      <c r="A68" s="140" t="str">
        <f t="shared" si="14"/>
        <v>E058</v>
      </c>
      <c r="B68" s="140" t="str">
        <f t="shared" ref="B68:B123" si="22">IF((LEFT($I68,5))="**** ",MID($I68,7,5),+B67)</f>
        <v>1.2.1</v>
      </c>
      <c r="C68" s="140" t="str">
        <f t="shared" ref="C68:C131" si="23">IF((LEFT($I68,4))="*** ",A68&amp;"-"&amp;MID($I68,7,5),+C67)</f>
        <v>E058-G1053</v>
      </c>
      <c r="D68" s="140">
        <v>1</v>
      </c>
      <c r="E68" s="140" t="str">
        <f t="shared" ref="E68:E131" si="24">IF((LEFT($I68,2))="* ",MID($I68,7,10),+E67)</f>
        <v>21115-0105</v>
      </c>
      <c r="F68" s="140" t="str">
        <f t="shared" ref="F68:F131" si="25">IF((LEFT($G68,1))="5","2","1")</f>
        <v>1</v>
      </c>
      <c r="G68" s="140" t="str">
        <f t="shared" ref="G68:G131" si="26">IF((LEFT($I68,1))=" ",MID($I68,7,4),"")</f>
        <v>3471</v>
      </c>
      <c r="H68" s="140" t="str">
        <f t="shared" ref="H68:H131" si="27">IF((LEFT($I68,1))=" ",B68&amp;"/"&amp;C68&amp;"/"&amp;D68&amp;"/"&amp;E68&amp;"/"&amp;F68&amp;"/"&amp;MID($I68,7,50),"")</f>
        <v>1.2.1/E058-G1053/1/21115-0105/1/3471  Fletes y maniobras</v>
      </c>
      <c r="I68" s="448" t="s">
        <v>2142</v>
      </c>
      <c r="J68" s="924">
        <f t="shared" si="15"/>
        <v>26298.46</v>
      </c>
      <c r="K68" s="925">
        <f t="shared" si="16"/>
        <v>16959.650000000001</v>
      </c>
      <c r="L68" s="925">
        <f t="shared" si="17"/>
        <v>43258.11</v>
      </c>
      <c r="M68" s="924">
        <f t="shared" si="18"/>
        <v>43258.11</v>
      </c>
      <c r="N68" s="925">
        <f t="shared" si="19"/>
        <v>43258.11</v>
      </c>
      <c r="O68" s="925">
        <f t="shared" si="20"/>
        <v>43258.11</v>
      </c>
      <c r="P68" s="924">
        <f t="shared" si="21"/>
        <v>43258.11</v>
      </c>
      <c r="Q68" s="924"/>
      <c r="R68" s="448" t="s">
        <v>2142</v>
      </c>
      <c r="S68" s="449">
        <v>26298.46</v>
      </c>
      <c r="T68" s="449">
        <v>43848.22</v>
      </c>
      <c r="U68" s="449">
        <v>-26888.57</v>
      </c>
      <c r="V68" s="449">
        <v>43258.11</v>
      </c>
      <c r="W68" s="449">
        <v>0</v>
      </c>
      <c r="X68" s="449">
        <v>43258.11</v>
      </c>
      <c r="Y68" s="449">
        <v>43258.11</v>
      </c>
      <c r="Z68" s="449">
        <v>100</v>
      </c>
      <c r="AA68" s="450">
        <v>0</v>
      </c>
      <c r="AB68" s="449">
        <v>0</v>
      </c>
      <c r="AC68" s="449">
        <v>43258.11</v>
      </c>
      <c r="AD68" s="449">
        <v>100</v>
      </c>
      <c r="AE68" s="449">
        <v>0</v>
      </c>
      <c r="AF68" s="449">
        <v>0</v>
      </c>
    </row>
    <row r="69" spans="1:32" ht="15">
      <c r="A69" s="140" t="str">
        <f t="shared" si="14"/>
        <v>E058</v>
      </c>
      <c r="B69" s="140" t="str">
        <f t="shared" si="22"/>
        <v>1.2.1</v>
      </c>
      <c r="C69" s="140" t="str">
        <f t="shared" si="23"/>
        <v>E058-G1053</v>
      </c>
      <c r="D69" s="140">
        <v>1</v>
      </c>
      <c r="E69" s="140" t="str">
        <f t="shared" si="24"/>
        <v>21115-0105</v>
      </c>
      <c r="F69" s="140" t="str">
        <f t="shared" si="25"/>
        <v>1</v>
      </c>
      <c r="G69" s="140" t="str">
        <f t="shared" si="26"/>
        <v>3511</v>
      </c>
      <c r="H69" s="140" t="str">
        <f t="shared" si="27"/>
        <v>1.2.1/E058-G1053/1/21115-0105/1/3511  Cons y mantto Inm</v>
      </c>
      <c r="I69" s="448" t="s">
        <v>2143</v>
      </c>
      <c r="J69" s="924">
        <f t="shared" si="15"/>
        <v>137920.46</v>
      </c>
      <c r="K69" s="925">
        <f t="shared" si="16"/>
        <v>-66801.580000000016</v>
      </c>
      <c r="L69" s="925">
        <f t="shared" si="17"/>
        <v>71118.880000000005</v>
      </c>
      <c r="M69" s="924">
        <f t="shared" si="18"/>
        <v>71118.880000000005</v>
      </c>
      <c r="N69" s="925">
        <f t="shared" si="19"/>
        <v>71118.880000000005</v>
      </c>
      <c r="O69" s="925">
        <f t="shared" si="20"/>
        <v>71118.880000000005</v>
      </c>
      <c r="P69" s="924">
        <f t="shared" si="21"/>
        <v>71118.880000000005</v>
      </c>
      <c r="Q69" s="924"/>
      <c r="R69" s="448" t="s">
        <v>2143</v>
      </c>
      <c r="S69" s="449">
        <v>137920.46</v>
      </c>
      <c r="T69" s="449">
        <v>321156.24</v>
      </c>
      <c r="U69" s="449">
        <v>-387957.82</v>
      </c>
      <c r="V69" s="449">
        <v>71118.880000000005</v>
      </c>
      <c r="W69" s="449">
        <v>0</v>
      </c>
      <c r="X69" s="449">
        <v>71118.880000000005</v>
      </c>
      <c r="Y69" s="449">
        <v>71118.880000000005</v>
      </c>
      <c r="Z69" s="449">
        <v>100</v>
      </c>
      <c r="AA69" s="450">
        <v>0</v>
      </c>
      <c r="AB69" s="449">
        <v>0</v>
      </c>
      <c r="AC69" s="449">
        <v>71118.880000000005</v>
      </c>
      <c r="AD69" s="449">
        <v>100</v>
      </c>
      <c r="AE69" s="449">
        <v>0</v>
      </c>
      <c r="AF69" s="449">
        <v>0</v>
      </c>
    </row>
    <row r="70" spans="1:32" ht="15">
      <c r="A70" s="140" t="str">
        <f t="shared" si="14"/>
        <v>E058</v>
      </c>
      <c r="B70" s="140" t="str">
        <f t="shared" si="22"/>
        <v>1.2.1</v>
      </c>
      <c r="C70" s="140" t="str">
        <f t="shared" si="23"/>
        <v>E058-G1053</v>
      </c>
      <c r="D70" s="140">
        <v>1</v>
      </c>
      <c r="E70" s="140" t="str">
        <f t="shared" si="24"/>
        <v>21115-0105</v>
      </c>
      <c r="F70" s="140" t="str">
        <f t="shared" si="25"/>
        <v>1</v>
      </c>
      <c r="G70" s="140" t="str">
        <f t="shared" si="26"/>
        <v>3512</v>
      </c>
      <c r="H70" s="140" t="str">
        <f t="shared" si="27"/>
        <v>1.2.1/E058-G1053/1/21115-0105/1/3512  Adaptación de inmuebles</v>
      </c>
      <c r="I70" s="448" t="s">
        <v>2144</v>
      </c>
      <c r="J70" s="924">
        <f t="shared" si="15"/>
        <v>65116.6</v>
      </c>
      <c r="K70" s="925">
        <f t="shared" si="16"/>
        <v>-56126.600000000006</v>
      </c>
      <c r="L70" s="925">
        <f t="shared" si="17"/>
        <v>8990</v>
      </c>
      <c r="M70" s="924">
        <f t="shared" si="18"/>
        <v>8990</v>
      </c>
      <c r="N70" s="924">
        <f t="shared" si="19"/>
        <v>8990</v>
      </c>
      <c r="O70" s="924">
        <f t="shared" si="20"/>
        <v>8990</v>
      </c>
      <c r="P70" s="924">
        <f t="shared" si="21"/>
        <v>8990</v>
      </c>
      <c r="Q70" s="924"/>
      <c r="R70" s="448" t="s">
        <v>2144</v>
      </c>
      <c r="S70" s="449">
        <v>65116.6</v>
      </c>
      <c r="T70" s="449">
        <v>43990</v>
      </c>
      <c r="U70" s="449">
        <v>-100116.6</v>
      </c>
      <c r="V70" s="449">
        <v>8990</v>
      </c>
      <c r="W70" s="449">
        <v>0</v>
      </c>
      <c r="X70" s="449">
        <v>8990</v>
      </c>
      <c r="Y70" s="449">
        <v>8990</v>
      </c>
      <c r="Z70" s="449">
        <v>100</v>
      </c>
      <c r="AA70" s="450">
        <v>0</v>
      </c>
      <c r="AB70" s="449">
        <v>0</v>
      </c>
      <c r="AC70" s="449">
        <v>8990</v>
      </c>
      <c r="AD70" s="449">
        <v>100</v>
      </c>
      <c r="AE70" s="449">
        <v>0</v>
      </c>
      <c r="AF70" s="449">
        <v>0</v>
      </c>
    </row>
    <row r="71" spans="1:32" ht="15">
      <c r="A71" s="140" t="str">
        <f t="shared" si="14"/>
        <v>E058</v>
      </c>
      <c r="B71" s="140" t="str">
        <f t="shared" si="22"/>
        <v>1.2.1</v>
      </c>
      <c r="C71" s="140" t="str">
        <f t="shared" si="23"/>
        <v>E058-G1053</v>
      </c>
      <c r="D71" s="140">
        <v>1</v>
      </c>
      <c r="E71" s="140" t="str">
        <f t="shared" si="24"/>
        <v>21115-0105</v>
      </c>
      <c r="F71" s="140" t="str">
        <f t="shared" si="25"/>
        <v>1</v>
      </c>
      <c r="G71" s="140" t="str">
        <f t="shared" si="26"/>
        <v>3521</v>
      </c>
      <c r="H71" s="140" t="str">
        <f t="shared" si="27"/>
        <v>1.2.1/E058-G1053/1/21115-0105/1/3521  Instal Mobil Adm</v>
      </c>
      <c r="I71" s="448" t="s">
        <v>2145</v>
      </c>
      <c r="J71" s="924">
        <f t="shared" si="15"/>
        <v>58350.73</v>
      </c>
      <c r="K71" s="925">
        <f t="shared" si="16"/>
        <v>-26196.61</v>
      </c>
      <c r="L71" s="924">
        <f t="shared" si="17"/>
        <v>32154.12</v>
      </c>
      <c r="M71" s="924">
        <f t="shared" si="18"/>
        <v>32154.12</v>
      </c>
      <c r="N71" s="925">
        <f t="shared" si="19"/>
        <v>32154.12</v>
      </c>
      <c r="O71" s="925">
        <f t="shared" si="20"/>
        <v>32154.12</v>
      </c>
      <c r="P71" s="924">
        <f t="shared" si="21"/>
        <v>32154.12</v>
      </c>
      <c r="Q71" s="924"/>
      <c r="R71" s="448" t="s">
        <v>2145</v>
      </c>
      <c r="S71" s="449">
        <v>58350.73</v>
      </c>
      <c r="T71" s="449">
        <v>74701.460000000006</v>
      </c>
      <c r="U71" s="449">
        <v>-100898.07</v>
      </c>
      <c r="V71" s="449">
        <v>32154.12</v>
      </c>
      <c r="W71" s="449">
        <v>0</v>
      </c>
      <c r="X71" s="449">
        <v>32154.12</v>
      </c>
      <c r="Y71" s="449">
        <v>32154.12</v>
      </c>
      <c r="Z71" s="449">
        <v>100</v>
      </c>
      <c r="AA71" s="450">
        <v>0</v>
      </c>
      <c r="AB71" s="449">
        <v>0</v>
      </c>
      <c r="AC71" s="449">
        <v>32154.12</v>
      </c>
      <c r="AD71" s="449">
        <v>100</v>
      </c>
      <c r="AE71" s="449">
        <v>0</v>
      </c>
      <c r="AF71" s="449">
        <v>0</v>
      </c>
    </row>
    <row r="72" spans="1:32" ht="15">
      <c r="A72" s="140" t="str">
        <f t="shared" si="14"/>
        <v>E058</v>
      </c>
      <c r="B72" s="140" t="str">
        <f t="shared" si="22"/>
        <v>1.2.1</v>
      </c>
      <c r="C72" s="140" t="str">
        <f t="shared" si="23"/>
        <v>E058-G1053</v>
      </c>
      <c r="D72" s="140">
        <v>1</v>
      </c>
      <c r="E72" s="140" t="str">
        <f t="shared" si="24"/>
        <v>21115-0105</v>
      </c>
      <c r="F72" s="140" t="str">
        <f t="shared" si="25"/>
        <v>1</v>
      </c>
      <c r="G72" s="140" t="str">
        <f t="shared" si="26"/>
        <v>3531</v>
      </c>
      <c r="H72" s="140" t="str">
        <f t="shared" si="27"/>
        <v>1.2.1/E058-G1053/1/21115-0105/1/3531  Instal BInformat</v>
      </c>
      <c r="I72" s="448" t="s">
        <v>2146</v>
      </c>
      <c r="J72" s="924">
        <f t="shared" si="15"/>
        <v>95933.22</v>
      </c>
      <c r="K72" s="925">
        <f t="shared" si="16"/>
        <v>-85891.41</v>
      </c>
      <c r="L72" s="925">
        <f t="shared" si="17"/>
        <v>10041.81</v>
      </c>
      <c r="M72" s="924">
        <f t="shared" si="18"/>
        <v>10041.81</v>
      </c>
      <c r="N72" s="925">
        <f t="shared" si="19"/>
        <v>10041.81</v>
      </c>
      <c r="O72" s="925">
        <f t="shared" si="20"/>
        <v>10041.81</v>
      </c>
      <c r="P72" s="924">
        <f t="shared" si="21"/>
        <v>10041.81</v>
      </c>
      <c r="Q72" s="924"/>
      <c r="R72" s="448" t="s">
        <v>2146</v>
      </c>
      <c r="S72" s="449">
        <v>95933.22</v>
      </c>
      <c r="T72" s="449">
        <v>96959.47</v>
      </c>
      <c r="U72" s="449">
        <v>-182850.88</v>
      </c>
      <c r="V72" s="449">
        <v>10041.81</v>
      </c>
      <c r="W72" s="449">
        <v>0</v>
      </c>
      <c r="X72" s="449">
        <v>10041.81</v>
      </c>
      <c r="Y72" s="449">
        <v>10041.81</v>
      </c>
      <c r="Z72" s="449">
        <v>100</v>
      </c>
      <c r="AA72" s="450">
        <v>0</v>
      </c>
      <c r="AB72" s="449">
        <v>0</v>
      </c>
      <c r="AC72" s="449">
        <v>10041.81</v>
      </c>
      <c r="AD72" s="449">
        <v>100</v>
      </c>
      <c r="AE72" s="449">
        <v>0</v>
      </c>
      <c r="AF72" s="449">
        <v>0</v>
      </c>
    </row>
    <row r="73" spans="1:32" ht="15">
      <c r="A73" s="140" t="str">
        <f t="shared" si="14"/>
        <v>E058</v>
      </c>
      <c r="B73" s="140" t="str">
        <f t="shared" si="22"/>
        <v>1.2.1</v>
      </c>
      <c r="C73" s="140" t="str">
        <f t="shared" si="23"/>
        <v>E058-G1053</v>
      </c>
      <c r="D73" s="140">
        <v>1</v>
      </c>
      <c r="E73" s="140" t="str">
        <f t="shared" si="24"/>
        <v>21115-0105</v>
      </c>
      <c r="F73" s="140" t="str">
        <f t="shared" si="25"/>
        <v>1</v>
      </c>
      <c r="G73" s="140" t="str">
        <f t="shared" si="26"/>
        <v>3551</v>
      </c>
      <c r="H73" s="140" t="str">
        <f t="shared" si="27"/>
        <v>1.2.1/E058-G1053/1/21115-0105/1/3551  Mantto Vehíc</v>
      </c>
      <c r="I73" s="448" t="s">
        <v>2147</v>
      </c>
      <c r="J73" s="924">
        <f t="shared" si="15"/>
        <v>51370.41</v>
      </c>
      <c r="K73" s="925">
        <f t="shared" si="16"/>
        <v>-47630.41</v>
      </c>
      <c r="L73" s="925">
        <f t="shared" si="17"/>
        <v>3740</v>
      </c>
      <c r="M73" s="924">
        <f t="shared" si="18"/>
        <v>3740</v>
      </c>
      <c r="N73" s="925">
        <f t="shared" si="19"/>
        <v>3740</v>
      </c>
      <c r="O73" s="925">
        <f t="shared" si="20"/>
        <v>3740</v>
      </c>
      <c r="P73" s="924">
        <f t="shared" si="21"/>
        <v>3740</v>
      </c>
      <c r="Q73" s="924"/>
      <c r="R73" s="448" t="s">
        <v>2147</v>
      </c>
      <c r="S73" s="449">
        <v>51370.41</v>
      </c>
      <c r="T73" s="449">
        <v>84900.41</v>
      </c>
      <c r="U73" s="449">
        <v>-132530.82</v>
      </c>
      <c r="V73" s="449">
        <v>3740</v>
      </c>
      <c r="W73" s="449">
        <v>0</v>
      </c>
      <c r="X73" s="449">
        <v>3740</v>
      </c>
      <c r="Y73" s="449">
        <v>3740</v>
      </c>
      <c r="Z73" s="449">
        <v>100</v>
      </c>
      <c r="AA73" s="450">
        <v>0</v>
      </c>
      <c r="AB73" s="449">
        <v>0</v>
      </c>
      <c r="AC73" s="449">
        <v>3740</v>
      </c>
      <c r="AD73" s="449">
        <v>100</v>
      </c>
      <c r="AE73" s="449">
        <v>0</v>
      </c>
      <c r="AF73" s="449">
        <v>0</v>
      </c>
    </row>
    <row r="74" spans="1:32" ht="15">
      <c r="A74" s="140" t="str">
        <f t="shared" si="14"/>
        <v>E058</v>
      </c>
      <c r="B74" s="140" t="str">
        <f t="shared" si="22"/>
        <v>1.2.1</v>
      </c>
      <c r="C74" s="140" t="str">
        <f t="shared" si="23"/>
        <v>E058-G1053</v>
      </c>
      <c r="D74" s="140">
        <v>1</v>
      </c>
      <c r="E74" s="140" t="str">
        <f t="shared" si="24"/>
        <v>21115-0105</v>
      </c>
      <c r="F74" s="140" t="str">
        <f t="shared" si="25"/>
        <v>1</v>
      </c>
      <c r="G74" s="140" t="str">
        <f t="shared" si="26"/>
        <v>3571</v>
      </c>
      <c r="H74" s="140" t="str">
        <f t="shared" si="27"/>
        <v>1.2.1/E058-G1053/1/21115-0105/1/3571  Instal Maqy otros</v>
      </c>
      <c r="I74" s="448" t="s">
        <v>2148</v>
      </c>
      <c r="J74" s="924">
        <f t="shared" si="15"/>
        <v>28897.63</v>
      </c>
      <c r="K74" s="925">
        <f t="shared" si="16"/>
        <v>-16137.630000000005</v>
      </c>
      <c r="L74" s="925">
        <f t="shared" si="17"/>
        <v>12760</v>
      </c>
      <c r="M74" s="924">
        <f t="shared" si="18"/>
        <v>12760</v>
      </c>
      <c r="N74" s="925">
        <f t="shared" si="19"/>
        <v>12760</v>
      </c>
      <c r="O74" s="925">
        <f t="shared" si="20"/>
        <v>12760</v>
      </c>
      <c r="P74" s="924">
        <f t="shared" si="21"/>
        <v>12760</v>
      </c>
      <c r="Q74" s="924"/>
      <c r="R74" s="448" t="s">
        <v>2148</v>
      </c>
      <c r="S74" s="449">
        <v>28897.63</v>
      </c>
      <c r="T74" s="449">
        <v>41657.629999999997</v>
      </c>
      <c r="U74" s="449">
        <v>-57795.26</v>
      </c>
      <c r="V74" s="449">
        <v>12760</v>
      </c>
      <c r="W74" s="449">
        <v>0</v>
      </c>
      <c r="X74" s="449">
        <v>12760</v>
      </c>
      <c r="Y74" s="449">
        <v>12760</v>
      </c>
      <c r="Z74" s="449">
        <v>100</v>
      </c>
      <c r="AA74" s="450">
        <v>0</v>
      </c>
      <c r="AB74" s="449">
        <v>0</v>
      </c>
      <c r="AC74" s="449">
        <v>12760</v>
      </c>
      <c r="AD74" s="449">
        <v>100</v>
      </c>
      <c r="AE74" s="449">
        <v>0</v>
      </c>
      <c r="AF74" s="449">
        <v>0</v>
      </c>
    </row>
    <row r="75" spans="1:32" ht="15">
      <c r="A75" s="140" t="str">
        <f t="shared" si="14"/>
        <v>E058</v>
      </c>
      <c r="B75" s="140" t="str">
        <f t="shared" si="22"/>
        <v>1.2.1</v>
      </c>
      <c r="C75" s="140" t="str">
        <f t="shared" si="23"/>
        <v>E058-G1053</v>
      </c>
      <c r="D75" s="140">
        <v>1</v>
      </c>
      <c r="E75" s="140" t="str">
        <f t="shared" si="24"/>
        <v>21115-0105</v>
      </c>
      <c r="F75" s="140" t="str">
        <f t="shared" si="25"/>
        <v>1</v>
      </c>
      <c r="G75" s="140" t="str">
        <f t="shared" si="26"/>
        <v>3581</v>
      </c>
      <c r="H75" s="140" t="str">
        <f t="shared" si="27"/>
        <v>1.2.1/E058-G1053/1/21115-0105/1/3581  Serv Limpieza</v>
      </c>
      <c r="I75" s="448" t="s">
        <v>2149</v>
      </c>
      <c r="J75" s="924">
        <f t="shared" si="15"/>
        <v>56003.97</v>
      </c>
      <c r="K75" s="925">
        <f t="shared" si="16"/>
        <v>-52912.959999999999</v>
      </c>
      <c r="L75" s="925">
        <f t="shared" si="17"/>
        <v>3091.01</v>
      </c>
      <c r="M75" s="924">
        <f t="shared" si="18"/>
        <v>3091.01</v>
      </c>
      <c r="N75" s="925">
        <f t="shared" si="19"/>
        <v>3091.01</v>
      </c>
      <c r="O75" s="925">
        <f t="shared" si="20"/>
        <v>3091.01</v>
      </c>
      <c r="P75" s="924">
        <f t="shared" si="21"/>
        <v>3091.01</v>
      </c>
      <c r="Q75" s="924"/>
      <c r="R75" s="448" t="s">
        <v>2149</v>
      </c>
      <c r="S75" s="449">
        <v>56003.97</v>
      </c>
      <c r="T75" s="449">
        <v>59088.9</v>
      </c>
      <c r="U75" s="449">
        <v>-112001.86</v>
      </c>
      <c r="V75" s="449">
        <v>3091.01</v>
      </c>
      <c r="W75" s="449">
        <v>0</v>
      </c>
      <c r="X75" s="449">
        <v>3091.01</v>
      </c>
      <c r="Y75" s="449">
        <v>3091.01</v>
      </c>
      <c r="Z75" s="449">
        <v>100</v>
      </c>
      <c r="AA75" s="449">
        <v>0</v>
      </c>
      <c r="AB75" s="449">
        <v>0</v>
      </c>
      <c r="AC75" s="449">
        <v>3091.01</v>
      </c>
      <c r="AD75" s="449">
        <v>100</v>
      </c>
      <c r="AE75" s="449">
        <v>0</v>
      </c>
      <c r="AF75" s="449">
        <v>0</v>
      </c>
    </row>
    <row r="76" spans="1:32" ht="15">
      <c r="A76" s="140" t="str">
        <f t="shared" si="14"/>
        <v>E058</v>
      </c>
      <c r="B76" s="140" t="str">
        <f t="shared" si="22"/>
        <v>1.2.1</v>
      </c>
      <c r="C76" s="140" t="str">
        <f t="shared" si="23"/>
        <v>E058-G1053</v>
      </c>
      <c r="D76" s="140">
        <v>1</v>
      </c>
      <c r="E76" s="140" t="str">
        <f t="shared" si="24"/>
        <v>21115-0105</v>
      </c>
      <c r="F76" s="140" t="str">
        <f t="shared" si="25"/>
        <v>1</v>
      </c>
      <c r="G76" s="140" t="str">
        <f t="shared" si="26"/>
        <v>3591</v>
      </c>
      <c r="H76" s="140" t="str">
        <f t="shared" si="27"/>
        <v>1.2.1/E058-G1053/1/21115-0105/1/3591  Serv Jardinería</v>
      </c>
      <c r="I76" s="448" t="s">
        <v>2582</v>
      </c>
      <c r="J76" s="924">
        <f t="shared" si="15"/>
        <v>0</v>
      </c>
      <c r="K76" s="925">
        <f t="shared" si="16"/>
        <v>23592.480000000003</v>
      </c>
      <c r="L76" s="925">
        <f t="shared" si="17"/>
        <v>23592.48</v>
      </c>
      <c r="M76" s="924">
        <f t="shared" si="18"/>
        <v>23592.48</v>
      </c>
      <c r="N76" s="924">
        <f t="shared" si="19"/>
        <v>23592.48</v>
      </c>
      <c r="O76" s="924">
        <f t="shared" si="20"/>
        <v>23592.48</v>
      </c>
      <c r="P76" s="924">
        <f t="shared" si="21"/>
        <v>23592.48</v>
      </c>
      <c r="Q76" s="924"/>
      <c r="R76" s="448" t="s">
        <v>2582</v>
      </c>
      <c r="S76" s="450">
        <v>0</v>
      </c>
      <c r="T76" s="449">
        <v>28096.080000000002</v>
      </c>
      <c r="U76" s="449">
        <v>-4503.6000000000004</v>
      </c>
      <c r="V76" s="449">
        <v>23592.48</v>
      </c>
      <c r="W76" s="449">
        <v>0</v>
      </c>
      <c r="X76" s="449">
        <v>23592.48</v>
      </c>
      <c r="Y76" s="449">
        <v>23592.48</v>
      </c>
      <c r="Z76" s="449">
        <v>100</v>
      </c>
      <c r="AA76" s="450">
        <v>0</v>
      </c>
      <c r="AB76" s="449">
        <v>0</v>
      </c>
      <c r="AC76" s="449">
        <v>23592.48</v>
      </c>
      <c r="AD76" s="449">
        <v>100</v>
      </c>
      <c r="AE76" s="449">
        <v>0</v>
      </c>
      <c r="AF76" s="449">
        <v>0</v>
      </c>
    </row>
    <row r="77" spans="1:32" ht="15">
      <c r="A77" s="140" t="str">
        <f t="shared" si="14"/>
        <v>E058</v>
      </c>
      <c r="B77" s="140" t="str">
        <f t="shared" si="22"/>
        <v>1.2.1</v>
      </c>
      <c r="C77" s="140" t="str">
        <f t="shared" si="23"/>
        <v>E058-G1053</v>
      </c>
      <c r="D77" s="140">
        <v>1</v>
      </c>
      <c r="E77" s="140" t="str">
        <f t="shared" si="24"/>
        <v>21115-0105</v>
      </c>
      <c r="F77" s="140" t="str">
        <f t="shared" si="25"/>
        <v>1</v>
      </c>
      <c r="G77" s="140" t="str">
        <f t="shared" si="26"/>
        <v>3611</v>
      </c>
      <c r="H77" s="140" t="str">
        <f t="shared" si="27"/>
        <v>1.2.1/E058-G1053/1/21115-0105/1/3611  Difusión Activ Gub</v>
      </c>
      <c r="I77" s="448" t="s">
        <v>2150</v>
      </c>
      <c r="J77" s="924">
        <f t="shared" si="15"/>
        <v>10300</v>
      </c>
      <c r="K77" s="925">
        <f t="shared" si="16"/>
        <v>307766.64</v>
      </c>
      <c r="L77" s="925">
        <f t="shared" si="17"/>
        <v>318066.64</v>
      </c>
      <c r="M77" s="924">
        <f t="shared" si="18"/>
        <v>318066.64</v>
      </c>
      <c r="N77" s="924">
        <f t="shared" si="19"/>
        <v>318066.64</v>
      </c>
      <c r="O77" s="924">
        <f t="shared" si="20"/>
        <v>318066.64</v>
      </c>
      <c r="P77" s="924">
        <f t="shared" si="21"/>
        <v>318066.64</v>
      </c>
      <c r="Q77" s="924"/>
      <c r="R77" s="448" t="s">
        <v>2150</v>
      </c>
      <c r="S77" s="449">
        <v>10300</v>
      </c>
      <c r="T77" s="449">
        <v>382166.75</v>
      </c>
      <c r="U77" s="449">
        <v>-74400.11</v>
      </c>
      <c r="V77" s="449">
        <v>318066.64</v>
      </c>
      <c r="W77" s="449">
        <v>0</v>
      </c>
      <c r="X77" s="449">
        <v>318066.64</v>
      </c>
      <c r="Y77" s="449">
        <v>318066.64</v>
      </c>
      <c r="Z77" s="449">
        <v>100</v>
      </c>
      <c r="AA77" s="450">
        <v>0</v>
      </c>
      <c r="AB77" s="449">
        <v>0</v>
      </c>
      <c r="AC77" s="449">
        <v>318066.64</v>
      </c>
      <c r="AD77" s="449">
        <v>100</v>
      </c>
      <c r="AE77" s="449">
        <v>0</v>
      </c>
      <c r="AF77" s="449">
        <v>0</v>
      </c>
    </row>
    <row r="78" spans="1:32" ht="15">
      <c r="A78" s="140" t="str">
        <f t="shared" si="14"/>
        <v>E058</v>
      </c>
      <c r="B78" s="140" t="str">
        <f t="shared" si="22"/>
        <v>1.2.1</v>
      </c>
      <c r="C78" s="140" t="str">
        <f t="shared" si="23"/>
        <v>E058-G1053</v>
      </c>
      <c r="D78" s="140">
        <v>1</v>
      </c>
      <c r="E78" s="140" t="str">
        <f t="shared" si="24"/>
        <v>21115-0105</v>
      </c>
      <c r="F78" s="140" t="str">
        <f t="shared" si="25"/>
        <v>1</v>
      </c>
      <c r="G78" s="140" t="str">
        <f t="shared" si="26"/>
        <v>3612</v>
      </c>
      <c r="H78" s="140" t="str">
        <f t="shared" si="27"/>
        <v>1.2.1/E058-G1053/1/21115-0105/1/3612  Impresión Pub ofic</v>
      </c>
      <c r="I78" s="448" t="s">
        <v>2151</v>
      </c>
      <c r="J78" s="924">
        <f t="shared" si="15"/>
        <v>164954.13</v>
      </c>
      <c r="K78" s="925">
        <f t="shared" si="16"/>
        <v>-96367.210000000021</v>
      </c>
      <c r="L78" s="925">
        <f t="shared" si="17"/>
        <v>68586.92</v>
      </c>
      <c r="M78" s="924">
        <f t="shared" si="18"/>
        <v>68586.92</v>
      </c>
      <c r="N78" s="924">
        <f t="shared" si="19"/>
        <v>68586.92</v>
      </c>
      <c r="O78" s="924">
        <f t="shared" si="20"/>
        <v>68586.92</v>
      </c>
      <c r="P78" s="924">
        <f t="shared" si="21"/>
        <v>68586.92</v>
      </c>
      <c r="Q78" s="924"/>
      <c r="R78" s="448" t="s">
        <v>2151</v>
      </c>
      <c r="S78" s="449">
        <v>164954.13</v>
      </c>
      <c r="T78" s="449">
        <v>187554.13</v>
      </c>
      <c r="U78" s="449">
        <v>-283921.34000000003</v>
      </c>
      <c r="V78" s="449">
        <v>68586.92</v>
      </c>
      <c r="W78" s="449">
        <v>0</v>
      </c>
      <c r="X78" s="449">
        <v>68586.92</v>
      </c>
      <c r="Y78" s="449">
        <v>68586.92</v>
      </c>
      <c r="Z78" s="449">
        <v>100</v>
      </c>
      <c r="AA78" s="450">
        <v>0</v>
      </c>
      <c r="AB78" s="449">
        <v>0</v>
      </c>
      <c r="AC78" s="449">
        <v>68586.92</v>
      </c>
      <c r="AD78" s="449">
        <v>100</v>
      </c>
      <c r="AE78" s="449">
        <v>0</v>
      </c>
      <c r="AF78" s="449">
        <v>0</v>
      </c>
    </row>
    <row r="79" spans="1:32" ht="15">
      <c r="A79" s="140" t="str">
        <f t="shared" si="14"/>
        <v>E058</v>
      </c>
      <c r="B79" s="140" t="str">
        <f t="shared" si="22"/>
        <v>1.2.1</v>
      </c>
      <c r="C79" s="140" t="str">
        <f t="shared" si="23"/>
        <v>E058-G1053</v>
      </c>
      <c r="D79" s="140">
        <v>1</v>
      </c>
      <c r="E79" s="140" t="str">
        <f t="shared" si="24"/>
        <v>21115-0105</v>
      </c>
      <c r="F79" s="140" t="str">
        <f t="shared" si="25"/>
        <v>1</v>
      </c>
      <c r="G79" s="140" t="str">
        <f t="shared" si="26"/>
        <v>3631</v>
      </c>
      <c r="H79" s="140" t="str">
        <f t="shared" si="27"/>
        <v>1.2.1/E058-G1053/1/21115-0105/1/3631  Serv Creatividad</v>
      </c>
      <c r="I79" s="448" t="s">
        <v>2152</v>
      </c>
      <c r="J79" s="924">
        <f t="shared" si="15"/>
        <v>10815</v>
      </c>
      <c r="K79" s="925">
        <f t="shared" si="16"/>
        <v>-10815</v>
      </c>
      <c r="L79" s="925">
        <f t="shared" si="17"/>
        <v>0</v>
      </c>
      <c r="M79" s="924">
        <f t="shared" si="18"/>
        <v>0</v>
      </c>
      <c r="N79" s="925">
        <f t="shared" si="19"/>
        <v>0</v>
      </c>
      <c r="O79" s="925">
        <f t="shared" si="20"/>
        <v>0</v>
      </c>
      <c r="P79" s="924">
        <f t="shared" si="21"/>
        <v>0</v>
      </c>
      <c r="Q79" s="924"/>
      <c r="R79" s="448" t="s">
        <v>2152</v>
      </c>
      <c r="S79" s="449">
        <v>10815</v>
      </c>
      <c r="T79" s="449">
        <v>20194.78</v>
      </c>
      <c r="U79" s="449">
        <v>-31009.78</v>
      </c>
      <c r="V79" s="449">
        <v>0</v>
      </c>
      <c r="W79" s="450">
        <v>0</v>
      </c>
      <c r="X79" s="450">
        <v>0</v>
      </c>
      <c r="Y79" s="449">
        <v>0</v>
      </c>
      <c r="Z79" s="449">
        <v>0</v>
      </c>
      <c r="AA79" s="450">
        <v>0</v>
      </c>
      <c r="AB79" s="449">
        <v>0</v>
      </c>
      <c r="AC79" s="449">
        <v>0</v>
      </c>
      <c r="AD79" s="449">
        <v>0</v>
      </c>
      <c r="AE79" s="449">
        <v>0</v>
      </c>
      <c r="AF79" s="449">
        <v>0</v>
      </c>
    </row>
    <row r="80" spans="1:32" ht="15">
      <c r="A80" s="140" t="str">
        <f t="shared" si="14"/>
        <v>E058</v>
      </c>
      <c r="B80" s="140" t="str">
        <f t="shared" si="22"/>
        <v>1.2.1</v>
      </c>
      <c r="C80" s="140" t="str">
        <f t="shared" si="23"/>
        <v>E058-G1053</v>
      </c>
      <c r="D80" s="140">
        <v>1</v>
      </c>
      <c r="E80" s="140" t="str">
        <f t="shared" si="24"/>
        <v>21115-0105</v>
      </c>
      <c r="F80" s="140" t="str">
        <f t="shared" si="25"/>
        <v>1</v>
      </c>
      <c r="G80" s="140" t="str">
        <f t="shared" si="26"/>
        <v>3641</v>
      </c>
      <c r="H80" s="140" t="str">
        <f t="shared" si="27"/>
        <v>1.2.1/E058-G1053/1/21115-0105/1/3641  Serv Revelado Fotog</v>
      </c>
      <c r="I80" s="448" t="s">
        <v>2153</v>
      </c>
      <c r="J80" s="924">
        <f t="shared" si="15"/>
        <v>295.25</v>
      </c>
      <c r="K80" s="925">
        <f t="shared" si="16"/>
        <v>-295.25</v>
      </c>
      <c r="L80" s="925">
        <f t="shared" si="17"/>
        <v>0</v>
      </c>
      <c r="M80" s="924">
        <f t="shared" si="18"/>
        <v>0</v>
      </c>
      <c r="N80" s="924">
        <f t="shared" si="19"/>
        <v>0</v>
      </c>
      <c r="O80" s="924">
        <f t="shared" si="20"/>
        <v>0</v>
      </c>
      <c r="P80" s="924">
        <f t="shared" si="21"/>
        <v>0</v>
      </c>
      <c r="Q80" s="924"/>
      <c r="R80" s="448" t="s">
        <v>2153</v>
      </c>
      <c r="S80" s="449">
        <v>295.25</v>
      </c>
      <c r="T80" s="449">
        <v>590.5</v>
      </c>
      <c r="U80" s="449">
        <v>-885.75</v>
      </c>
      <c r="V80" s="449">
        <v>0</v>
      </c>
      <c r="W80" s="450">
        <v>0</v>
      </c>
      <c r="X80" s="450">
        <v>0</v>
      </c>
      <c r="Y80" s="449">
        <v>0</v>
      </c>
      <c r="Z80" s="449">
        <v>0</v>
      </c>
      <c r="AA80" s="450">
        <v>0</v>
      </c>
      <c r="AB80" s="449">
        <v>0</v>
      </c>
      <c r="AC80" s="449">
        <v>0</v>
      </c>
      <c r="AD80" s="449">
        <v>0</v>
      </c>
      <c r="AE80" s="449">
        <v>0</v>
      </c>
      <c r="AF80" s="449">
        <v>0</v>
      </c>
    </row>
    <row r="81" spans="1:32" ht="15">
      <c r="A81" s="140" t="str">
        <f t="shared" si="14"/>
        <v>E058</v>
      </c>
      <c r="B81" s="140" t="str">
        <f t="shared" si="22"/>
        <v>1.2.1</v>
      </c>
      <c r="C81" s="140" t="str">
        <f t="shared" si="23"/>
        <v>E058-G1053</v>
      </c>
      <c r="D81" s="140">
        <v>1</v>
      </c>
      <c r="E81" s="140" t="str">
        <f t="shared" si="24"/>
        <v>21115-0105</v>
      </c>
      <c r="F81" s="140" t="str">
        <f t="shared" si="25"/>
        <v>1</v>
      </c>
      <c r="G81" s="140" t="str">
        <f t="shared" si="26"/>
        <v>3661</v>
      </c>
      <c r="H81" s="140" t="str">
        <f t="shared" si="27"/>
        <v>1.2.1/E058-G1053/1/21115-0105/1/3661  Serv Creación</v>
      </c>
      <c r="I81" s="448" t="s">
        <v>2154</v>
      </c>
      <c r="J81" s="924">
        <f t="shared" si="15"/>
        <v>377160.08</v>
      </c>
      <c r="K81" s="925">
        <f t="shared" si="16"/>
        <v>-377160.08</v>
      </c>
      <c r="L81" s="925">
        <f t="shared" si="17"/>
        <v>0</v>
      </c>
      <c r="M81" s="924">
        <f t="shared" si="18"/>
        <v>0</v>
      </c>
      <c r="N81" s="924">
        <f t="shared" si="19"/>
        <v>0</v>
      </c>
      <c r="O81" s="924">
        <f t="shared" si="20"/>
        <v>0</v>
      </c>
      <c r="P81" s="924">
        <f t="shared" si="21"/>
        <v>0</v>
      </c>
      <c r="Q81" s="924"/>
      <c r="R81" s="448" t="s">
        <v>2154</v>
      </c>
      <c r="S81" s="449">
        <v>377160.08</v>
      </c>
      <c r="T81" s="449">
        <v>482604.08</v>
      </c>
      <c r="U81" s="449">
        <v>-859764.16</v>
      </c>
      <c r="V81" s="449">
        <v>0</v>
      </c>
      <c r="W81" s="450">
        <v>0</v>
      </c>
      <c r="X81" s="450">
        <v>0</v>
      </c>
      <c r="Y81" s="449">
        <v>0</v>
      </c>
      <c r="Z81" s="449">
        <v>0</v>
      </c>
      <c r="AA81" s="450">
        <v>0</v>
      </c>
      <c r="AB81" s="449">
        <v>0</v>
      </c>
      <c r="AC81" s="449">
        <v>0</v>
      </c>
      <c r="AD81" s="449">
        <v>0</v>
      </c>
      <c r="AE81" s="449">
        <v>0</v>
      </c>
      <c r="AF81" s="449">
        <v>0</v>
      </c>
    </row>
    <row r="82" spans="1:32" ht="15">
      <c r="A82" s="140" t="str">
        <f t="shared" si="14"/>
        <v>E058</v>
      </c>
      <c r="B82" s="140" t="str">
        <f t="shared" si="22"/>
        <v>1.2.1</v>
      </c>
      <c r="C82" s="140" t="str">
        <f t="shared" si="23"/>
        <v>E058-G1053</v>
      </c>
      <c r="D82" s="140">
        <v>1</v>
      </c>
      <c r="E82" s="140" t="str">
        <f t="shared" si="24"/>
        <v>21115-0105</v>
      </c>
      <c r="F82" s="140" t="str">
        <f t="shared" si="25"/>
        <v>1</v>
      </c>
      <c r="G82" s="140" t="str">
        <f t="shared" si="26"/>
        <v>3711</v>
      </c>
      <c r="H82" s="140" t="str">
        <f t="shared" si="27"/>
        <v>1.2.1/E058-G1053/1/21115-0105/1/3711  Pasajes aéreos Nac</v>
      </c>
      <c r="I82" s="448" t="s">
        <v>2155</v>
      </c>
      <c r="J82" s="924">
        <f t="shared" si="15"/>
        <v>13284.18</v>
      </c>
      <c r="K82" s="924">
        <f t="shared" si="16"/>
        <v>-13284.18</v>
      </c>
      <c r="L82" s="925">
        <f t="shared" si="17"/>
        <v>0</v>
      </c>
      <c r="M82" s="924">
        <f t="shared" si="18"/>
        <v>0</v>
      </c>
      <c r="N82" s="924">
        <f t="shared" si="19"/>
        <v>0</v>
      </c>
      <c r="O82" s="924">
        <f t="shared" si="20"/>
        <v>0</v>
      </c>
      <c r="P82" s="924">
        <f t="shared" si="21"/>
        <v>0</v>
      </c>
      <c r="Q82" s="924"/>
      <c r="R82" s="448" t="s">
        <v>2155</v>
      </c>
      <c r="S82" s="449">
        <v>13284.18</v>
      </c>
      <c r="T82" s="449">
        <v>13284.18</v>
      </c>
      <c r="U82" s="449">
        <v>-26568.36</v>
      </c>
      <c r="V82" s="449">
        <v>0</v>
      </c>
      <c r="W82" s="450">
        <v>0</v>
      </c>
      <c r="X82" s="450">
        <v>0</v>
      </c>
      <c r="Y82" s="449">
        <v>0</v>
      </c>
      <c r="Z82" s="449">
        <v>0</v>
      </c>
      <c r="AA82" s="450">
        <v>0</v>
      </c>
      <c r="AB82" s="449">
        <v>0</v>
      </c>
      <c r="AC82" s="449">
        <v>0</v>
      </c>
      <c r="AD82" s="449">
        <v>0</v>
      </c>
      <c r="AE82" s="449">
        <v>0</v>
      </c>
      <c r="AF82" s="449">
        <v>0</v>
      </c>
    </row>
    <row r="83" spans="1:32" ht="15">
      <c r="A83" s="140" t="str">
        <f t="shared" si="14"/>
        <v>E058</v>
      </c>
      <c r="B83" s="140" t="str">
        <f t="shared" si="22"/>
        <v>1.2.1</v>
      </c>
      <c r="C83" s="140" t="str">
        <f t="shared" si="23"/>
        <v>E058-G1053</v>
      </c>
      <c r="D83" s="140">
        <v>1</v>
      </c>
      <c r="E83" s="140" t="str">
        <f t="shared" si="24"/>
        <v>21115-0105</v>
      </c>
      <c r="F83" s="140" t="str">
        <f t="shared" si="25"/>
        <v>1</v>
      </c>
      <c r="G83" s="140" t="str">
        <f t="shared" si="26"/>
        <v>3721</v>
      </c>
      <c r="H83" s="140" t="str">
        <f t="shared" si="27"/>
        <v>1.2.1/E058-G1053/1/21115-0105/1/3721  Pasajes terr Nac</v>
      </c>
      <c r="I83" s="448" t="s">
        <v>2156</v>
      </c>
      <c r="J83" s="924">
        <f t="shared" si="15"/>
        <v>7784.29</v>
      </c>
      <c r="K83" s="925">
        <f t="shared" si="16"/>
        <v>-4617.8900000000012</v>
      </c>
      <c r="L83" s="925">
        <f t="shared" si="17"/>
        <v>3166.4</v>
      </c>
      <c r="M83" s="924">
        <f t="shared" si="18"/>
        <v>3166.4</v>
      </c>
      <c r="N83" s="925">
        <f t="shared" si="19"/>
        <v>3166.4</v>
      </c>
      <c r="O83" s="925">
        <f t="shared" si="20"/>
        <v>3166.4</v>
      </c>
      <c r="P83" s="924">
        <f t="shared" si="21"/>
        <v>3166.4</v>
      </c>
      <c r="Q83" s="924"/>
      <c r="R83" s="448" t="s">
        <v>2156</v>
      </c>
      <c r="S83" s="449">
        <v>7784.29</v>
      </c>
      <c r="T83" s="449">
        <v>8240.9599999999991</v>
      </c>
      <c r="U83" s="449">
        <v>-12858.85</v>
      </c>
      <c r="V83" s="449">
        <v>3166.4</v>
      </c>
      <c r="W83" s="449">
        <v>0</v>
      </c>
      <c r="X83" s="449">
        <v>3166.4</v>
      </c>
      <c r="Y83" s="449">
        <v>3166.4</v>
      </c>
      <c r="Z83" s="449">
        <v>100</v>
      </c>
      <c r="AA83" s="449">
        <v>0</v>
      </c>
      <c r="AB83" s="449">
        <v>0</v>
      </c>
      <c r="AC83" s="449">
        <v>3166.4</v>
      </c>
      <c r="AD83" s="449">
        <v>100</v>
      </c>
      <c r="AE83" s="449">
        <v>0</v>
      </c>
      <c r="AF83" s="449">
        <v>0</v>
      </c>
    </row>
    <row r="84" spans="1:32" ht="15">
      <c r="A84" s="140" t="str">
        <f t="shared" si="14"/>
        <v>E058</v>
      </c>
      <c r="B84" s="140" t="str">
        <f t="shared" si="22"/>
        <v>1.2.1</v>
      </c>
      <c r="C84" s="140" t="str">
        <f t="shared" si="23"/>
        <v>E058-G1053</v>
      </c>
      <c r="D84" s="140">
        <v>1</v>
      </c>
      <c r="E84" s="140" t="str">
        <f t="shared" si="24"/>
        <v>21115-0105</v>
      </c>
      <c r="F84" s="140" t="str">
        <f t="shared" si="25"/>
        <v>1</v>
      </c>
      <c r="G84" s="140" t="str">
        <f t="shared" si="26"/>
        <v>3751</v>
      </c>
      <c r="H84" s="140" t="str">
        <f t="shared" si="27"/>
        <v>1.2.1/E058-G1053/1/21115-0105/1/3751  Viáticos nacionales</v>
      </c>
      <c r="I84" s="448" t="s">
        <v>2157</v>
      </c>
      <c r="J84" s="924">
        <f t="shared" si="15"/>
        <v>60426.5</v>
      </c>
      <c r="K84" s="925">
        <f t="shared" si="16"/>
        <v>-55675.509999999995</v>
      </c>
      <c r="L84" s="925">
        <f t="shared" si="17"/>
        <v>4750.99</v>
      </c>
      <c r="M84" s="924">
        <f t="shared" si="18"/>
        <v>4750.99</v>
      </c>
      <c r="N84" s="925">
        <f t="shared" si="19"/>
        <v>4750.99</v>
      </c>
      <c r="O84" s="925">
        <f t="shared" si="20"/>
        <v>4750.99</v>
      </c>
      <c r="P84" s="924">
        <f t="shared" si="21"/>
        <v>4750.99</v>
      </c>
      <c r="Q84" s="924"/>
      <c r="R84" s="448" t="s">
        <v>2157</v>
      </c>
      <c r="S84" s="449">
        <v>60426.5</v>
      </c>
      <c r="T84" s="449">
        <v>54068.19</v>
      </c>
      <c r="U84" s="449">
        <v>-109743.7</v>
      </c>
      <c r="V84" s="449">
        <v>4750.99</v>
      </c>
      <c r="W84" s="449">
        <v>0</v>
      </c>
      <c r="X84" s="449">
        <v>4750.99</v>
      </c>
      <c r="Y84" s="449">
        <v>4750.99</v>
      </c>
      <c r="Z84" s="449">
        <v>100</v>
      </c>
      <c r="AA84" s="449">
        <v>0</v>
      </c>
      <c r="AB84" s="449">
        <v>0</v>
      </c>
      <c r="AC84" s="449">
        <v>4750.99</v>
      </c>
      <c r="AD84" s="449">
        <v>100</v>
      </c>
      <c r="AE84" s="449">
        <v>0</v>
      </c>
      <c r="AF84" s="449">
        <v>0</v>
      </c>
    </row>
    <row r="85" spans="1:32" ht="15">
      <c r="A85" s="140" t="str">
        <f t="shared" si="14"/>
        <v>E058</v>
      </c>
      <c r="B85" s="140" t="str">
        <f t="shared" si="22"/>
        <v>1.2.1</v>
      </c>
      <c r="C85" s="140" t="str">
        <f t="shared" si="23"/>
        <v>E058-G1053</v>
      </c>
      <c r="D85" s="140">
        <v>1</v>
      </c>
      <c r="E85" s="140" t="str">
        <f t="shared" si="24"/>
        <v>21115-0105</v>
      </c>
      <c r="F85" s="140" t="str">
        <f t="shared" si="25"/>
        <v>1</v>
      </c>
      <c r="G85" s="140" t="str">
        <f t="shared" si="26"/>
        <v>3811</v>
      </c>
      <c r="H85" s="140" t="str">
        <f t="shared" si="27"/>
        <v>1.2.1/E058-G1053/1/21115-0105/1/3811  Gastos de ceremonial</v>
      </c>
      <c r="I85" s="448" t="s">
        <v>2158</v>
      </c>
      <c r="J85" s="924">
        <f t="shared" si="15"/>
        <v>220800.3</v>
      </c>
      <c r="K85" s="925">
        <f t="shared" si="16"/>
        <v>590424.26</v>
      </c>
      <c r="L85" s="925">
        <f t="shared" si="17"/>
        <v>811224.56</v>
      </c>
      <c r="M85" s="924">
        <f t="shared" si="18"/>
        <v>811224.56</v>
      </c>
      <c r="N85" s="925">
        <f t="shared" si="19"/>
        <v>811224.56</v>
      </c>
      <c r="O85" s="925">
        <f t="shared" si="20"/>
        <v>811224.56</v>
      </c>
      <c r="P85" s="924">
        <f t="shared" si="21"/>
        <v>811224.56</v>
      </c>
      <c r="Q85" s="924"/>
      <c r="R85" s="448" t="s">
        <v>2158</v>
      </c>
      <c r="S85" s="449">
        <v>220800.3</v>
      </c>
      <c r="T85" s="449">
        <v>965719.85</v>
      </c>
      <c r="U85" s="449">
        <v>-375295.59</v>
      </c>
      <c r="V85" s="449">
        <v>811224.56</v>
      </c>
      <c r="W85" s="449">
        <v>0</v>
      </c>
      <c r="X85" s="449">
        <v>811224.56</v>
      </c>
      <c r="Y85" s="449">
        <v>811224.56</v>
      </c>
      <c r="Z85" s="449">
        <v>100</v>
      </c>
      <c r="AA85" s="449">
        <v>0</v>
      </c>
      <c r="AB85" s="449">
        <v>0</v>
      </c>
      <c r="AC85" s="449">
        <v>811224.56</v>
      </c>
      <c r="AD85" s="449">
        <v>100</v>
      </c>
      <c r="AE85" s="449">
        <v>0</v>
      </c>
      <c r="AF85" s="449">
        <v>0</v>
      </c>
    </row>
    <row r="86" spans="1:32" ht="15">
      <c r="A86" s="140" t="str">
        <f t="shared" si="14"/>
        <v>E058</v>
      </c>
      <c r="B86" s="140" t="str">
        <f t="shared" si="22"/>
        <v>1.2.1</v>
      </c>
      <c r="C86" s="140" t="str">
        <f t="shared" si="23"/>
        <v>E058-G1053</v>
      </c>
      <c r="D86" s="140">
        <v>1</v>
      </c>
      <c r="E86" s="140" t="str">
        <f t="shared" si="24"/>
        <v>21115-0105</v>
      </c>
      <c r="F86" s="140" t="str">
        <f t="shared" si="25"/>
        <v>1</v>
      </c>
      <c r="G86" s="140" t="str">
        <f t="shared" si="26"/>
        <v>3831</v>
      </c>
      <c r="H86" s="140" t="str">
        <f t="shared" si="27"/>
        <v>1.2.1/E058-G1053/1/21115-0105/1/3831  Congresos y convenciones</v>
      </c>
      <c r="I86" s="448" t="s">
        <v>2159</v>
      </c>
      <c r="J86" s="924">
        <f t="shared" si="15"/>
        <v>286749.44</v>
      </c>
      <c r="K86" s="925">
        <f t="shared" si="16"/>
        <v>64234.319999999949</v>
      </c>
      <c r="L86" s="925">
        <f t="shared" si="17"/>
        <v>350983.76</v>
      </c>
      <c r="M86" s="924">
        <f t="shared" si="18"/>
        <v>350983.76</v>
      </c>
      <c r="N86" s="925">
        <f t="shared" si="19"/>
        <v>350983.76</v>
      </c>
      <c r="O86" s="925">
        <f t="shared" si="20"/>
        <v>350983.76</v>
      </c>
      <c r="P86" s="924">
        <f t="shared" si="21"/>
        <v>350983.76</v>
      </c>
      <c r="Q86" s="924"/>
      <c r="R86" s="448" t="s">
        <v>2159</v>
      </c>
      <c r="S86" s="449">
        <v>286749.44</v>
      </c>
      <c r="T86" s="449">
        <v>554513.84</v>
      </c>
      <c r="U86" s="449">
        <v>-490279.52</v>
      </c>
      <c r="V86" s="449">
        <v>350983.76</v>
      </c>
      <c r="W86" s="449">
        <v>0</v>
      </c>
      <c r="X86" s="449">
        <v>350983.76</v>
      </c>
      <c r="Y86" s="449">
        <v>350983.76</v>
      </c>
      <c r="Z86" s="449">
        <v>100</v>
      </c>
      <c r="AA86" s="449">
        <v>0</v>
      </c>
      <c r="AB86" s="449">
        <v>0</v>
      </c>
      <c r="AC86" s="449">
        <v>350983.76</v>
      </c>
      <c r="AD86" s="449">
        <v>100</v>
      </c>
      <c r="AE86" s="449">
        <v>0</v>
      </c>
      <c r="AF86" s="449">
        <v>0</v>
      </c>
    </row>
    <row r="87" spans="1:32" ht="15">
      <c r="A87" s="140" t="str">
        <f t="shared" si="14"/>
        <v>E058</v>
      </c>
      <c r="B87" s="140" t="str">
        <f t="shared" si="22"/>
        <v>1.2.1</v>
      </c>
      <c r="C87" s="140" t="str">
        <f t="shared" si="23"/>
        <v>E058-G1053</v>
      </c>
      <c r="D87" s="140">
        <v>1</v>
      </c>
      <c r="E87" s="140" t="str">
        <f t="shared" si="24"/>
        <v>21115-0105</v>
      </c>
      <c r="F87" s="140" t="str">
        <f t="shared" si="25"/>
        <v>1</v>
      </c>
      <c r="G87" s="140" t="str">
        <f t="shared" si="26"/>
        <v>3852</v>
      </c>
      <c r="H87" s="140" t="str">
        <f t="shared" si="27"/>
        <v>1.2.1/E058-G1053/1/21115-0105/1/3852  Gto Oficina SP</v>
      </c>
      <c r="I87" s="448" t="s">
        <v>2160</v>
      </c>
      <c r="J87" s="924">
        <f t="shared" si="15"/>
        <v>194602.02</v>
      </c>
      <c r="K87" s="925">
        <f t="shared" si="16"/>
        <v>-31813.58</v>
      </c>
      <c r="L87" s="925">
        <f t="shared" si="17"/>
        <v>162788.44</v>
      </c>
      <c r="M87" s="924">
        <f t="shared" si="18"/>
        <v>162788.44</v>
      </c>
      <c r="N87" s="925">
        <f t="shared" si="19"/>
        <v>162788.44</v>
      </c>
      <c r="O87" s="925">
        <f t="shared" si="20"/>
        <v>162788.44</v>
      </c>
      <c r="P87" s="924">
        <f t="shared" si="21"/>
        <v>162788.44</v>
      </c>
      <c r="Q87" s="924"/>
      <c r="R87" s="448" t="s">
        <v>2160</v>
      </c>
      <c r="S87" s="449">
        <v>194602.02</v>
      </c>
      <c r="T87" s="449">
        <v>20985.33</v>
      </c>
      <c r="U87" s="449">
        <v>-52798.91</v>
      </c>
      <c r="V87" s="449">
        <v>162788.44</v>
      </c>
      <c r="W87" s="449">
        <v>0</v>
      </c>
      <c r="X87" s="449">
        <v>162788.44</v>
      </c>
      <c r="Y87" s="449">
        <v>162788.44</v>
      </c>
      <c r="Z87" s="449">
        <v>100</v>
      </c>
      <c r="AA87" s="449">
        <v>0</v>
      </c>
      <c r="AB87" s="449">
        <v>0</v>
      </c>
      <c r="AC87" s="449">
        <v>162788.44</v>
      </c>
      <c r="AD87" s="449">
        <v>100</v>
      </c>
      <c r="AE87" s="449">
        <v>0</v>
      </c>
      <c r="AF87" s="449">
        <v>0</v>
      </c>
    </row>
    <row r="88" spans="1:32" ht="15">
      <c r="A88" s="140" t="str">
        <f t="shared" si="14"/>
        <v>E058</v>
      </c>
      <c r="B88" s="140" t="str">
        <f t="shared" si="22"/>
        <v>1.2.1</v>
      </c>
      <c r="C88" s="140" t="str">
        <f t="shared" si="23"/>
        <v>E058-G1053</v>
      </c>
      <c r="D88" s="140">
        <v>1</v>
      </c>
      <c r="E88" s="140" t="str">
        <f t="shared" si="24"/>
        <v>21115-0105</v>
      </c>
      <c r="F88" s="140" t="str">
        <f t="shared" si="25"/>
        <v>1</v>
      </c>
      <c r="G88" s="140" t="str">
        <f t="shared" si="26"/>
        <v>3921</v>
      </c>
      <c r="H88" s="140" t="str">
        <f t="shared" si="27"/>
        <v>1.2.1/E058-G1053/1/21115-0105/1/3921  Otros impuestos y derechos</v>
      </c>
      <c r="I88" s="448" t="s">
        <v>2161</v>
      </c>
      <c r="J88" s="924">
        <f t="shared" si="15"/>
        <v>17169.02</v>
      </c>
      <c r="K88" s="925">
        <f t="shared" si="16"/>
        <v>13786.510000000002</v>
      </c>
      <c r="L88" s="925">
        <f t="shared" si="17"/>
        <v>30955.53</v>
      </c>
      <c r="M88" s="924">
        <f t="shared" si="18"/>
        <v>30955.53</v>
      </c>
      <c r="N88" s="925">
        <f t="shared" si="19"/>
        <v>30955.53</v>
      </c>
      <c r="O88" s="925">
        <f t="shared" si="20"/>
        <v>30955.53</v>
      </c>
      <c r="P88" s="924">
        <f t="shared" si="21"/>
        <v>30955.53</v>
      </c>
      <c r="Q88" s="924"/>
      <c r="R88" s="448" t="s">
        <v>2161</v>
      </c>
      <c r="S88" s="449">
        <v>17169.02</v>
      </c>
      <c r="T88" s="449">
        <v>49739.05</v>
      </c>
      <c r="U88" s="449">
        <v>-35952.54</v>
      </c>
      <c r="V88" s="449">
        <v>30955.53</v>
      </c>
      <c r="W88" s="449">
        <v>0</v>
      </c>
      <c r="X88" s="449">
        <v>30955.53</v>
      </c>
      <c r="Y88" s="449">
        <v>30955.53</v>
      </c>
      <c r="Z88" s="449">
        <v>100</v>
      </c>
      <c r="AA88" s="449">
        <v>0</v>
      </c>
      <c r="AB88" s="449">
        <v>0</v>
      </c>
      <c r="AC88" s="449">
        <v>30955.53</v>
      </c>
      <c r="AD88" s="449">
        <v>100</v>
      </c>
      <c r="AE88" s="449">
        <v>0</v>
      </c>
      <c r="AF88" s="449">
        <v>0</v>
      </c>
    </row>
    <row r="89" spans="1:32" ht="15">
      <c r="A89" s="140" t="str">
        <f t="shared" si="14"/>
        <v>E058</v>
      </c>
      <c r="B89" s="140" t="str">
        <f t="shared" si="22"/>
        <v>1.2.1</v>
      </c>
      <c r="C89" s="140" t="str">
        <f t="shared" si="23"/>
        <v>E058-G1053</v>
      </c>
      <c r="D89" s="140">
        <v>1</v>
      </c>
      <c r="E89" s="140" t="str">
        <f t="shared" si="24"/>
        <v>21115-0105</v>
      </c>
      <c r="F89" s="140" t="str">
        <f t="shared" si="25"/>
        <v>1</v>
      </c>
      <c r="G89" s="140" t="str">
        <f t="shared" si="26"/>
        <v>3981</v>
      </c>
      <c r="H89" s="140" t="str">
        <f t="shared" si="27"/>
        <v>1.2.1/E058-G1053/1/21115-0105/1/3981  Impuesto sobre nóminas</v>
      </c>
      <c r="I89" s="448" t="s">
        <v>2162</v>
      </c>
      <c r="J89" s="924">
        <f t="shared" si="15"/>
        <v>154404.29</v>
      </c>
      <c r="K89" s="925">
        <f t="shared" si="16"/>
        <v>-3003.7800000000025</v>
      </c>
      <c r="L89" s="925">
        <f t="shared" si="17"/>
        <v>151400.51</v>
      </c>
      <c r="M89" s="924">
        <f t="shared" si="18"/>
        <v>151400.51</v>
      </c>
      <c r="N89" s="925">
        <f t="shared" si="19"/>
        <v>151400.51</v>
      </c>
      <c r="O89" s="925">
        <f t="shared" si="20"/>
        <v>151400.51</v>
      </c>
      <c r="P89" s="924">
        <f t="shared" si="21"/>
        <v>151400.51</v>
      </c>
      <c r="Q89" s="924"/>
      <c r="R89" s="448" t="s">
        <v>2162</v>
      </c>
      <c r="S89" s="449">
        <v>154404.29</v>
      </c>
      <c r="T89" s="449">
        <v>22544.12</v>
      </c>
      <c r="U89" s="449">
        <v>-25547.9</v>
      </c>
      <c r="V89" s="449">
        <v>151400.51</v>
      </c>
      <c r="W89" s="449">
        <v>0</v>
      </c>
      <c r="X89" s="449">
        <v>151400.51</v>
      </c>
      <c r="Y89" s="449">
        <v>151400.51</v>
      </c>
      <c r="Z89" s="449">
        <v>100</v>
      </c>
      <c r="AA89" s="449">
        <v>0</v>
      </c>
      <c r="AB89" s="449">
        <v>0</v>
      </c>
      <c r="AC89" s="449">
        <v>151400.51</v>
      </c>
      <c r="AD89" s="449">
        <v>100</v>
      </c>
      <c r="AE89" s="449">
        <v>0</v>
      </c>
      <c r="AF89" s="449">
        <v>0</v>
      </c>
    </row>
    <row r="90" spans="1:32" ht="15">
      <c r="A90" s="140" t="str">
        <f t="shared" si="14"/>
        <v>E058</v>
      </c>
      <c r="B90" s="140" t="str">
        <f t="shared" si="22"/>
        <v>1.2.1</v>
      </c>
      <c r="C90" s="140" t="str">
        <f t="shared" si="23"/>
        <v>E058-G1053</v>
      </c>
      <c r="D90" s="140">
        <v>1</v>
      </c>
      <c r="E90" s="140" t="str">
        <f t="shared" si="24"/>
        <v>21115-0105</v>
      </c>
      <c r="F90" s="140" t="str">
        <f t="shared" si="25"/>
        <v>2</v>
      </c>
      <c r="G90" s="140" t="str">
        <f t="shared" si="26"/>
        <v>5111</v>
      </c>
      <c r="H90" s="140" t="str">
        <f t="shared" si="27"/>
        <v>1.2.1/E058-G1053/1/21115-0105/2/5111  Muebles de oficina</v>
      </c>
      <c r="I90" s="448" t="s">
        <v>2163</v>
      </c>
      <c r="J90" s="922">
        <f t="shared" si="15"/>
        <v>101783.83</v>
      </c>
      <c r="K90" s="922">
        <f t="shared" si="16"/>
        <v>34906.680000000051</v>
      </c>
      <c r="L90" s="922">
        <f t="shared" si="17"/>
        <v>136690.51</v>
      </c>
      <c r="M90" s="922">
        <f t="shared" si="18"/>
        <v>136690.51</v>
      </c>
      <c r="N90" s="922">
        <f t="shared" si="19"/>
        <v>136690.51</v>
      </c>
      <c r="O90" s="922">
        <f t="shared" si="20"/>
        <v>136690.51</v>
      </c>
      <c r="P90" s="922">
        <f t="shared" si="21"/>
        <v>136690.51</v>
      </c>
      <c r="Q90" s="922"/>
      <c r="R90" s="448" t="s">
        <v>2163</v>
      </c>
      <c r="S90" s="449">
        <v>101783.83</v>
      </c>
      <c r="T90" s="449">
        <v>378308.65</v>
      </c>
      <c r="U90" s="449">
        <v>-343401.97</v>
      </c>
      <c r="V90" s="449">
        <v>136690.51</v>
      </c>
      <c r="W90" s="449">
        <v>0</v>
      </c>
      <c r="X90" s="449">
        <v>136690.51</v>
      </c>
      <c r="Y90" s="449">
        <v>136690.51</v>
      </c>
      <c r="Z90" s="449">
        <v>100</v>
      </c>
      <c r="AA90" s="450">
        <v>0</v>
      </c>
      <c r="AB90" s="449">
        <v>0</v>
      </c>
      <c r="AC90" s="449">
        <v>136690.51</v>
      </c>
      <c r="AD90" s="449">
        <v>100</v>
      </c>
      <c r="AE90" s="449">
        <v>0</v>
      </c>
      <c r="AF90" s="449">
        <v>0</v>
      </c>
    </row>
    <row r="91" spans="1:32" ht="15">
      <c r="A91" s="140" t="str">
        <f t="shared" si="14"/>
        <v>E058</v>
      </c>
      <c r="B91" s="140" t="str">
        <f t="shared" si="22"/>
        <v>1.2.1</v>
      </c>
      <c r="C91" s="140" t="str">
        <f t="shared" si="23"/>
        <v>E058-G1053</v>
      </c>
      <c r="D91" s="140">
        <v>1</v>
      </c>
      <c r="E91" s="140" t="str">
        <f t="shared" si="24"/>
        <v>21115-0105</v>
      </c>
      <c r="F91" s="140" t="str">
        <f t="shared" si="25"/>
        <v>2</v>
      </c>
      <c r="G91" s="140" t="str">
        <f t="shared" si="26"/>
        <v>5151</v>
      </c>
      <c r="H91" s="140" t="str">
        <f t="shared" si="27"/>
        <v>1.2.1/E058-G1053/1/21115-0105/2/5151  Computadoras</v>
      </c>
      <c r="I91" s="448" t="s">
        <v>2164</v>
      </c>
      <c r="J91" s="922">
        <f t="shared" si="15"/>
        <v>97451.34</v>
      </c>
      <c r="K91" s="922">
        <f t="shared" si="16"/>
        <v>-97451.339999999967</v>
      </c>
      <c r="L91" s="922">
        <f t="shared" si="17"/>
        <v>0</v>
      </c>
      <c r="M91" s="922">
        <f t="shared" si="18"/>
        <v>0</v>
      </c>
      <c r="N91" s="922">
        <f t="shared" si="19"/>
        <v>0</v>
      </c>
      <c r="O91" s="922">
        <f t="shared" si="20"/>
        <v>0</v>
      </c>
      <c r="P91" s="922">
        <f t="shared" si="21"/>
        <v>0</v>
      </c>
      <c r="Q91" s="922"/>
      <c r="R91" s="448" t="s">
        <v>2164</v>
      </c>
      <c r="S91" s="449">
        <v>97451.34</v>
      </c>
      <c r="T91" s="449">
        <v>439160.9</v>
      </c>
      <c r="U91" s="449">
        <v>-536612.24</v>
      </c>
      <c r="V91" s="449">
        <v>0</v>
      </c>
      <c r="W91" s="450">
        <v>0</v>
      </c>
      <c r="X91" s="450">
        <v>0</v>
      </c>
      <c r="Y91" s="449">
        <v>0</v>
      </c>
      <c r="Z91" s="449">
        <v>0</v>
      </c>
      <c r="AA91" s="450">
        <v>0</v>
      </c>
      <c r="AB91" s="449">
        <v>0</v>
      </c>
      <c r="AC91" s="449">
        <v>0</v>
      </c>
      <c r="AD91" s="449">
        <v>0</v>
      </c>
      <c r="AE91" s="449">
        <v>0</v>
      </c>
      <c r="AF91" s="449">
        <v>0</v>
      </c>
    </row>
    <row r="92" spans="1:32" ht="15">
      <c r="A92" s="140" t="str">
        <f t="shared" si="14"/>
        <v>E058</v>
      </c>
      <c r="B92" s="140" t="str">
        <f t="shared" si="22"/>
        <v>1.2.1</v>
      </c>
      <c r="C92" s="140" t="str">
        <f t="shared" si="23"/>
        <v>E058-G1053</v>
      </c>
      <c r="D92" s="140">
        <v>1</v>
      </c>
      <c r="E92" s="140" t="str">
        <f t="shared" si="24"/>
        <v>21115-0105</v>
      </c>
      <c r="F92" s="140" t="str">
        <f t="shared" si="25"/>
        <v>2</v>
      </c>
      <c r="G92" s="140" t="str">
        <f t="shared" si="26"/>
        <v>5191</v>
      </c>
      <c r="H92" s="140" t="str">
        <f t="shared" si="27"/>
        <v>1.2.1/E058-G1053/1/21115-0105/2/5191  Otros mobiliarios</v>
      </c>
      <c r="I92" s="448" t="s">
        <v>2165</v>
      </c>
      <c r="J92" s="924">
        <f t="shared" si="15"/>
        <v>767.64</v>
      </c>
      <c r="K92" s="924">
        <f t="shared" si="16"/>
        <v>77473.5</v>
      </c>
      <c r="L92" s="924">
        <f t="shared" si="17"/>
        <v>78241.14</v>
      </c>
      <c r="M92" s="924">
        <f t="shared" si="18"/>
        <v>78241.14</v>
      </c>
      <c r="N92" s="924">
        <f t="shared" si="19"/>
        <v>78241.14</v>
      </c>
      <c r="O92" s="924">
        <f t="shared" si="20"/>
        <v>78241.14</v>
      </c>
      <c r="P92" s="924">
        <f t="shared" si="21"/>
        <v>78241.14</v>
      </c>
      <c r="Q92" s="924"/>
      <c r="R92" s="448" t="s">
        <v>2165</v>
      </c>
      <c r="S92" s="449">
        <v>767.64</v>
      </c>
      <c r="T92" s="449">
        <v>78241.14</v>
      </c>
      <c r="U92" s="449">
        <v>-767.64</v>
      </c>
      <c r="V92" s="449">
        <v>78241.14</v>
      </c>
      <c r="W92" s="449">
        <v>0</v>
      </c>
      <c r="X92" s="449">
        <v>78241.14</v>
      </c>
      <c r="Y92" s="449">
        <v>78241.14</v>
      </c>
      <c r="Z92" s="449">
        <v>100</v>
      </c>
      <c r="AA92" s="450">
        <v>0</v>
      </c>
      <c r="AB92" s="449">
        <v>0</v>
      </c>
      <c r="AC92" s="449">
        <v>78241.14</v>
      </c>
      <c r="AD92" s="449">
        <v>100</v>
      </c>
      <c r="AE92" s="449">
        <v>0</v>
      </c>
      <c r="AF92" s="449">
        <v>0</v>
      </c>
    </row>
    <row r="93" spans="1:32" ht="15">
      <c r="A93" s="140" t="str">
        <f t="shared" si="14"/>
        <v>E058</v>
      </c>
      <c r="B93" s="140" t="str">
        <f t="shared" si="22"/>
        <v>1.2.1</v>
      </c>
      <c r="C93" s="140" t="str">
        <f t="shared" si="23"/>
        <v>E058-G1053</v>
      </c>
      <c r="D93" s="140">
        <v>1</v>
      </c>
      <c r="E93" s="140" t="str">
        <f t="shared" si="24"/>
        <v>21115-0105</v>
      </c>
      <c r="F93" s="140" t="str">
        <f t="shared" si="25"/>
        <v>2</v>
      </c>
      <c r="G93" s="140" t="str">
        <f t="shared" si="26"/>
        <v>5411</v>
      </c>
      <c r="H93" s="140" t="str">
        <f t="shared" si="27"/>
        <v>1.2.1/E058-G1053/1/21115-0105/2/5411  Automóviles y camiones</v>
      </c>
      <c r="I93" s="448" t="s">
        <v>2166</v>
      </c>
      <c r="J93" s="924">
        <f t="shared" si="15"/>
        <v>241852.24</v>
      </c>
      <c r="K93" s="924">
        <f t="shared" si="16"/>
        <v>-241852.24</v>
      </c>
      <c r="L93" s="924">
        <f t="shared" si="17"/>
        <v>0</v>
      </c>
      <c r="M93" s="924">
        <f t="shared" si="18"/>
        <v>0</v>
      </c>
      <c r="N93" s="924">
        <f t="shared" si="19"/>
        <v>0</v>
      </c>
      <c r="O93" s="924">
        <f t="shared" si="20"/>
        <v>0</v>
      </c>
      <c r="P93" s="924">
        <f t="shared" si="21"/>
        <v>0</v>
      </c>
      <c r="Q93" s="924"/>
      <c r="R93" s="448" t="s">
        <v>2166</v>
      </c>
      <c r="S93" s="449">
        <v>241852.24</v>
      </c>
      <c r="T93" s="449">
        <v>483704.48</v>
      </c>
      <c r="U93" s="449">
        <v>-725556.72</v>
      </c>
      <c r="V93" s="449">
        <v>0</v>
      </c>
      <c r="W93" s="450">
        <v>0</v>
      </c>
      <c r="X93" s="450">
        <v>0</v>
      </c>
      <c r="Y93" s="449">
        <v>0</v>
      </c>
      <c r="Z93" s="449">
        <v>0</v>
      </c>
      <c r="AA93" s="450">
        <v>0</v>
      </c>
      <c r="AB93" s="449">
        <v>0</v>
      </c>
      <c r="AC93" s="449">
        <v>0</v>
      </c>
      <c r="AD93" s="449">
        <v>0</v>
      </c>
      <c r="AE93" s="449">
        <v>0</v>
      </c>
      <c r="AF93" s="449">
        <v>0</v>
      </c>
    </row>
    <row r="94" spans="1:32" ht="15">
      <c r="A94" s="140" t="str">
        <f t="shared" si="14"/>
        <v>E058</v>
      </c>
      <c r="B94" s="140" t="str">
        <f t="shared" si="22"/>
        <v>1.2.1</v>
      </c>
      <c r="C94" s="140" t="str">
        <f t="shared" si="23"/>
        <v>E058-G1053</v>
      </c>
      <c r="D94" s="140">
        <v>1</v>
      </c>
      <c r="E94" s="140" t="str">
        <f t="shared" si="24"/>
        <v>21115-0105</v>
      </c>
      <c r="F94" s="140" t="str">
        <f t="shared" si="25"/>
        <v>2</v>
      </c>
      <c r="G94" s="140" t="str">
        <f t="shared" si="26"/>
        <v>5651</v>
      </c>
      <c r="H94" s="140" t="str">
        <f t="shared" si="27"/>
        <v>1.2.1/E058-G1053/1/21115-0105/2/5651  Eq Comunicación</v>
      </c>
      <c r="I94" s="448" t="s">
        <v>2583</v>
      </c>
      <c r="J94" s="924">
        <f t="shared" si="15"/>
        <v>0</v>
      </c>
      <c r="K94" s="924">
        <f t="shared" si="16"/>
        <v>89662.9</v>
      </c>
      <c r="L94" s="925">
        <f t="shared" si="17"/>
        <v>89662.9</v>
      </c>
      <c r="M94" s="924">
        <f t="shared" si="18"/>
        <v>89662.9</v>
      </c>
      <c r="N94" s="924">
        <f t="shared" si="19"/>
        <v>89662.9</v>
      </c>
      <c r="O94" s="924">
        <f t="shared" si="20"/>
        <v>89662.9</v>
      </c>
      <c r="P94" s="924">
        <f t="shared" si="21"/>
        <v>89662.9</v>
      </c>
      <c r="Q94" s="924"/>
      <c r="R94" s="448" t="s">
        <v>2583</v>
      </c>
      <c r="S94" s="450">
        <v>0</v>
      </c>
      <c r="T94" s="449">
        <v>94113.83</v>
      </c>
      <c r="U94" s="449">
        <v>-4450.93</v>
      </c>
      <c r="V94" s="449">
        <v>89662.9</v>
      </c>
      <c r="W94" s="449">
        <v>0</v>
      </c>
      <c r="X94" s="449">
        <v>89662.9</v>
      </c>
      <c r="Y94" s="449">
        <v>89662.9</v>
      </c>
      <c r="Z94" s="449">
        <v>100</v>
      </c>
      <c r="AA94" s="450">
        <v>0</v>
      </c>
      <c r="AB94" s="449">
        <v>0</v>
      </c>
      <c r="AC94" s="449">
        <v>89662.9</v>
      </c>
      <c r="AD94" s="449">
        <v>100</v>
      </c>
      <c r="AE94" s="449">
        <v>0</v>
      </c>
      <c r="AF94" s="449">
        <v>0</v>
      </c>
    </row>
    <row r="95" spans="1:32" ht="15">
      <c r="A95" s="140" t="str">
        <f t="shared" si="14"/>
        <v>E058</v>
      </c>
      <c r="B95" s="140" t="str">
        <f t="shared" si="22"/>
        <v>1.2.1</v>
      </c>
      <c r="C95" s="140" t="str">
        <f t="shared" si="23"/>
        <v>E058-G1053</v>
      </c>
      <c r="D95" s="140">
        <v>1</v>
      </c>
      <c r="E95" s="140" t="str">
        <f t="shared" si="24"/>
        <v>21115-0105</v>
      </c>
      <c r="F95" s="140" t="str">
        <f t="shared" si="25"/>
        <v>2</v>
      </c>
      <c r="G95" s="140" t="str">
        <f t="shared" si="26"/>
        <v>5911</v>
      </c>
      <c r="H95" s="140" t="str">
        <f t="shared" si="27"/>
        <v>1.2.1/E058-G1053/1/21115-0105/2/5911  Software</v>
      </c>
      <c r="I95" s="448" t="s">
        <v>2167</v>
      </c>
      <c r="J95" s="924">
        <f t="shared" si="15"/>
        <v>50000</v>
      </c>
      <c r="K95" s="925">
        <f t="shared" si="16"/>
        <v>-50000</v>
      </c>
      <c r="L95" s="925">
        <f t="shared" si="17"/>
        <v>0</v>
      </c>
      <c r="M95" s="924">
        <f t="shared" si="18"/>
        <v>0</v>
      </c>
      <c r="N95" s="925">
        <f t="shared" si="19"/>
        <v>0</v>
      </c>
      <c r="O95" s="925">
        <f t="shared" si="20"/>
        <v>0</v>
      </c>
      <c r="P95" s="924">
        <f t="shared" si="21"/>
        <v>0</v>
      </c>
      <c r="Q95" s="924"/>
      <c r="R95" s="448" t="s">
        <v>2167</v>
      </c>
      <c r="S95" s="449">
        <v>50000</v>
      </c>
      <c r="T95" s="449">
        <v>106529.16</v>
      </c>
      <c r="U95" s="449">
        <v>-156529.16</v>
      </c>
      <c r="V95" s="449">
        <v>0</v>
      </c>
      <c r="W95" s="450">
        <v>0</v>
      </c>
      <c r="X95" s="450">
        <v>0</v>
      </c>
      <c r="Y95" s="449">
        <v>0</v>
      </c>
      <c r="Z95" s="449">
        <v>0</v>
      </c>
      <c r="AA95" s="450">
        <v>0</v>
      </c>
      <c r="AB95" s="449">
        <v>0</v>
      </c>
      <c r="AC95" s="449">
        <v>0</v>
      </c>
      <c r="AD95" s="449">
        <v>0</v>
      </c>
      <c r="AE95" s="449">
        <v>0</v>
      </c>
      <c r="AF95" s="449">
        <v>0</v>
      </c>
    </row>
    <row r="96" spans="1:32" ht="15">
      <c r="A96" s="140" t="str">
        <f t="shared" si="14"/>
        <v>E058</v>
      </c>
      <c r="B96" s="140" t="str">
        <f t="shared" si="22"/>
        <v>1.2.1</v>
      </c>
      <c r="C96" s="140" t="str">
        <f t="shared" si="23"/>
        <v>E058-G1053</v>
      </c>
      <c r="D96" s="140">
        <v>1</v>
      </c>
      <c r="E96" s="140" t="str">
        <f t="shared" si="24"/>
        <v>21115-0105</v>
      </c>
      <c r="F96" s="140" t="str">
        <f t="shared" si="25"/>
        <v>2</v>
      </c>
      <c r="G96" s="140" t="str">
        <f t="shared" si="26"/>
        <v>5971</v>
      </c>
      <c r="H96" s="140" t="str">
        <f t="shared" si="27"/>
        <v>1.2.1/E058-G1053/1/21115-0105/2/5971  Licencia informatica</v>
      </c>
      <c r="I96" s="448" t="s">
        <v>2168</v>
      </c>
      <c r="J96" s="924">
        <f t="shared" si="15"/>
        <v>10070.94</v>
      </c>
      <c r="K96" s="924">
        <f t="shared" si="16"/>
        <v>115344.35999999999</v>
      </c>
      <c r="L96" s="925">
        <f t="shared" si="17"/>
        <v>125415.3</v>
      </c>
      <c r="M96" s="924">
        <f t="shared" si="18"/>
        <v>125415.3</v>
      </c>
      <c r="N96" s="925">
        <f t="shared" si="19"/>
        <v>125415.3</v>
      </c>
      <c r="O96" s="925">
        <f t="shared" si="20"/>
        <v>125415.3</v>
      </c>
      <c r="P96" s="924">
        <f t="shared" si="21"/>
        <v>125415.3</v>
      </c>
      <c r="Q96" s="924"/>
      <c r="R96" s="448" t="s">
        <v>2168</v>
      </c>
      <c r="S96" s="449">
        <v>10070.94</v>
      </c>
      <c r="T96" s="449">
        <v>142015.4</v>
      </c>
      <c r="U96" s="449">
        <v>-26671.040000000001</v>
      </c>
      <c r="V96" s="449">
        <v>125415.3</v>
      </c>
      <c r="W96" s="449">
        <v>0</v>
      </c>
      <c r="X96" s="449">
        <v>125415.3</v>
      </c>
      <c r="Y96" s="449">
        <v>125415.3</v>
      </c>
      <c r="Z96" s="449">
        <v>100</v>
      </c>
      <c r="AA96" s="450">
        <v>0</v>
      </c>
      <c r="AB96" s="449">
        <v>0</v>
      </c>
      <c r="AC96" s="449">
        <v>125415.3</v>
      </c>
      <c r="AD96" s="449">
        <v>100</v>
      </c>
      <c r="AE96" s="449">
        <v>0</v>
      </c>
      <c r="AF96" s="449">
        <v>0</v>
      </c>
    </row>
    <row r="97" spans="1:32" ht="15">
      <c r="A97" s="140" t="str">
        <f t="shared" si="14"/>
        <v>E058</v>
      </c>
      <c r="B97" s="140" t="str">
        <f t="shared" si="22"/>
        <v>1.2.1</v>
      </c>
      <c r="C97" s="140" t="str">
        <f t="shared" si="23"/>
        <v>E058-G1053</v>
      </c>
      <c r="D97" s="140">
        <v>1</v>
      </c>
      <c r="E97" s="140" t="str">
        <f t="shared" si="24"/>
        <v>21115-0105</v>
      </c>
      <c r="F97" s="140" t="str">
        <f t="shared" si="25"/>
        <v>1</v>
      </c>
      <c r="G97" s="140" t="str">
        <f t="shared" si="26"/>
        <v>7991</v>
      </c>
      <c r="H97" s="140" t="str">
        <f t="shared" si="27"/>
        <v>1.2.1/E058-G1053/1/21115-0105/1/7991  Erogaciones complementarias</v>
      </c>
      <c r="I97" s="448" t="s">
        <v>2088</v>
      </c>
      <c r="J97" s="924">
        <f t="shared" si="15"/>
        <v>625510.53</v>
      </c>
      <c r="K97" s="924">
        <f t="shared" si="16"/>
        <v>-625510.53</v>
      </c>
      <c r="L97" s="925">
        <f t="shared" si="17"/>
        <v>0</v>
      </c>
      <c r="M97" s="924">
        <f t="shared" si="18"/>
        <v>0</v>
      </c>
      <c r="N97" s="925">
        <f t="shared" si="19"/>
        <v>0</v>
      </c>
      <c r="O97" s="925">
        <f t="shared" si="20"/>
        <v>0</v>
      </c>
      <c r="P97" s="924">
        <f t="shared" si="21"/>
        <v>0</v>
      </c>
      <c r="Q97" s="924"/>
      <c r="R97" s="448" t="s">
        <v>2088</v>
      </c>
      <c r="S97" s="449">
        <v>625510.53</v>
      </c>
      <c r="T97" s="449">
        <v>733331.3</v>
      </c>
      <c r="U97" s="449">
        <v>-1358841.83</v>
      </c>
      <c r="V97" s="449">
        <v>0</v>
      </c>
      <c r="W97" s="450">
        <v>0</v>
      </c>
      <c r="X97" s="450">
        <v>0</v>
      </c>
      <c r="Y97" s="449">
        <v>0</v>
      </c>
      <c r="Z97" s="449">
        <v>0</v>
      </c>
      <c r="AA97" s="450">
        <v>0</v>
      </c>
      <c r="AB97" s="449">
        <v>0</v>
      </c>
      <c r="AC97" s="449">
        <v>0</v>
      </c>
      <c r="AD97" s="449">
        <v>0</v>
      </c>
      <c r="AE97" s="449">
        <v>0</v>
      </c>
      <c r="AF97" s="449">
        <v>0</v>
      </c>
    </row>
    <row r="98" spans="1:32" ht="15" hidden="1">
      <c r="A98" s="140" t="str">
        <f t="shared" si="14"/>
        <v>E058</v>
      </c>
      <c r="B98" s="140" t="str">
        <f t="shared" si="22"/>
        <v>1.2.1</v>
      </c>
      <c r="C98" s="140" t="str">
        <f t="shared" si="23"/>
        <v>E058-G1053</v>
      </c>
      <c r="D98" s="140">
        <v>1</v>
      </c>
      <c r="E98" s="140" t="str">
        <f t="shared" si="24"/>
        <v>21115-0107</v>
      </c>
      <c r="F98" s="140" t="str">
        <f t="shared" si="25"/>
        <v>1</v>
      </c>
      <c r="G98" s="140" t="str">
        <f t="shared" si="26"/>
        <v/>
      </c>
      <c r="H98" s="140" t="str">
        <f t="shared" si="27"/>
        <v/>
      </c>
      <c r="I98" s="455" t="s">
        <v>2184</v>
      </c>
      <c r="J98" s="924">
        <f t="shared" si="15"/>
        <v>0</v>
      </c>
      <c r="K98" s="924">
        <f t="shared" si="16"/>
        <v>0</v>
      </c>
      <c r="L98" s="925">
        <f t="shared" si="17"/>
        <v>0</v>
      </c>
      <c r="M98" s="924">
        <f t="shared" si="18"/>
        <v>0</v>
      </c>
      <c r="N98" s="924">
        <f t="shared" si="19"/>
        <v>0</v>
      </c>
      <c r="O98" s="924">
        <f t="shared" si="20"/>
        <v>0</v>
      </c>
      <c r="P98" s="924">
        <f t="shared" si="21"/>
        <v>0</v>
      </c>
      <c r="Q98" s="924"/>
      <c r="R98" s="455" t="s">
        <v>2184</v>
      </c>
      <c r="S98" s="899">
        <v>0</v>
      </c>
      <c r="T98" s="456">
        <v>56000</v>
      </c>
      <c r="U98" s="456">
        <v>-56000</v>
      </c>
      <c r="V98" s="456">
        <v>0</v>
      </c>
      <c r="W98" s="899">
        <v>0</v>
      </c>
      <c r="X98" s="899">
        <v>0</v>
      </c>
      <c r="Y98" s="456">
        <v>0</v>
      </c>
      <c r="Z98" s="456">
        <v>0</v>
      </c>
      <c r="AA98" s="899">
        <v>0</v>
      </c>
      <c r="AB98" s="456">
        <v>0</v>
      </c>
      <c r="AC98" s="456">
        <v>0</v>
      </c>
      <c r="AD98" s="456">
        <v>0</v>
      </c>
      <c r="AE98" s="456">
        <v>0</v>
      </c>
      <c r="AF98" s="456">
        <v>0</v>
      </c>
    </row>
    <row r="99" spans="1:32" ht="15">
      <c r="A99" s="140" t="str">
        <f t="shared" si="14"/>
        <v>E058</v>
      </c>
      <c r="B99" s="140" t="str">
        <f t="shared" si="22"/>
        <v>1.2.1</v>
      </c>
      <c r="C99" s="140" t="str">
        <f t="shared" si="23"/>
        <v>E058-G1053</v>
      </c>
      <c r="D99" s="140">
        <v>1</v>
      </c>
      <c r="E99" s="140" t="str">
        <f t="shared" si="24"/>
        <v>21115-0107</v>
      </c>
      <c r="F99" s="140" t="str">
        <f t="shared" si="25"/>
        <v>1</v>
      </c>
      <c r="G99" s="140" t="str">
        <f t="shared" si="26"/>
        <v>3551</v>
      </c>
      <c r="H99" s="140" t="str">
        <f t="shared" si="27"/>
        <v>1.2.1/E058-G1053/1/21115-0107/1/3551  Mantto Vehíc</v>
      </c>
      <c r="I99" s="448" t="s">
        <v>2147</v>
      </c>
      <c r="J99" s="924">
        <f t="shared" si="15"/>
        <v>0</v>
      </c>
      <c r="K99" s="924">
        <f t="shared" si="16"/>
        <v>0</v>
      </c>
      <c r="L99" s="925">
        <f t="shared" si="17"/>
        <v>0</v>
      </c>
      <c r="M99" s="924">
        <f t="shared" si="18"/>
        <v>0</v>
      </c>
      <c r="N99" s="924">
        <f t="shared" si="19"/>
        <v>0</v>
      </c>
      <c r="O99" s="924">
        <f t="shared" si="20"/>
        <v>0</v>
      </c>
      <c r="P99" s="924">
        <f t="shared" si="21"/>
        <v>0</v>
      </c>
      <c r="Q99" s="924"/>
      <c r="R99" s="448" t="s">
        <v>2147</v>
      </c>
      <c r="S99" s="450">
        <v>0</v>
      </c>
      <c r="T99" s="449">
        <v>56000</v>
      </c>
      <c r="U99" s="449">
        <v>-56000</v>
      </c>
      <c r="V99" s="449">
        <v>0</v>
      </c>
      <c r="W99" s="450">
        <v>0</v>
      </c>
      <c r="X99" s="450">
        <v>0</v>
      </c>
      <c r="Y99" s="449">
        <v>0</v>
      </c>
      <c r="Z99" s="449">
        <v>0</v>
      </c>
      <c r="AA99" s="450">
        <v>0</v>
      </c>
      <c r="AB99" s="449">
        <v>0</v>
      </c>
      <c r="AC99" s="449">
        <v>0</v>
      </c>
      <c r="AD99" s="449">
        <v>0</v>
      </c>
      <c r="AE99" s="449">
        <v>0</v>
      </c>
      <c r="AF99" s="449">
        <v>0</v>
      </c>
    </row>
    <row r="100" spans="1:32" ht="15" hidden="1">
      <c r="A100" s="140" t="str">
        <f t="shared" si="14"/>
        <v>E058</v>
      </c>
      <c r="B100" s="140" t="str">
        <f t="shared" si="22"/>
        <v>1.2.1</v>
      </c>
      <c r="C100" s="140" t="str">
        <f t="shared" si="23"/>
        <v>E058-G1053</v>
      </c>
      <c r="D100" s="140">
        <v>1</v>
      </c>
      <c r="E100" s="140" t="str">
        <f t="shared" si="24"/>
        <v>21115-0107</v>
      </c>
      <c r="F100" s="140" t="str">
        <f t="shared" si="25"/>
        <v>1</v>
      </c>
      <c r="G100" s="140" t="str">
        <f t="shared" si="26"/>
        <v/>
      </c>
      <c r="H100" s="140" t="str">
        <f t="shared" si="27"/>
        <v/>
      </c>
      <c r="I100" s="918" t="s">
        <v>2169</v>
      </c>
      <c r="J100" s="924">
        <f t="shared" si="15"/>
        <v>3308984.85</v>
      </c>
      <c r="K100" s="925">
        <f t="shared" si="16"/>
        <v>400554.91999999993</v>
      </c>
      <c r="L100" s="925">
        <f t="shared" si="17"/>
        <v>3709539.77</v>
      </c>
      <c r="M100" s="924">
        <f t="shared" si="18"/>
        <v>3709539.77</v>
      </c>
      <c r="N100" s="925">
        <f t="shared" si="19"/>
        <v>3709539.77</v>
      </c>
      <c r="O100" s="925">
        <f t="shared" si="20"/>
        <v>3709539.77</v>
      </c>
      <c r="P100" s="924">
        <f t="shared" si="21"/>
        <v>3709539.77</v>
      </c>
      <c r="Q100" s="924"/>
      <c r="R100" s="918" t="s">
        <v>2169</v>
      </c>
      <c r="S100" s="919">
        <v>3308984.85</v>
      </c>
      <c r="T100" s="919">
        <v>2577442.91</v>
      </c>
      <c r="U100" s="919">
        <v>-2176887.9900000002</v>
      </c>
      <c r="V100" s="919">
        <v>3709539.77</v>
      </c>
      <c r="W100" s="919">
        <v>0</v>
      </c>
      <c r="X100" s="919">
        <v>3709539.77</v>
      </c>
      <c r="Y100" s="919">
        <v>3709539.77</v>
      </c>
      <c r="Z100" s="919">
        <v>100</v>
      </c>
      <c r="AA100" s="919">
        <v>0</v>
      </c>
      <c r="AB100" s="919">
        <v>0</v>
      </c>
      <c r="AC100" s="919">
        <v>3709539.77</v>
      </c>
      <c r="AD100" s="919">
        <v>100</v>
      </c>
      <c r="AE100" s="919">
        <v>0</v>
      </c>
      <c r="AF100" s="919">
        <v>0</v>
      </c>
    </row>
    <row r="101" spans="1:32" ht="15" hidden="1">
      <c r="A101" s="140" t="str">
        <f t="shared" si="14"/>
        <v>E058</v>
      </c>
      <c r="B101" s="140" t="str">
        <f t="shared" si="22"/>
        <v>1.2.1</v>
      </c>
      <c r="C101" s="140" t="str">
        <f t="shared" si="23"/>
        <v>E058-G1054</v>
      </c>
      <c r="D101" s="140">
        <v>1</v>
      </c>
      <c r="E101" s="140" t="str">
        <f t="shared" si="24"/>
        <v>21115-0107</v>
      </c>
      <c r="F101" s="140" t="str">
        <f t="shared" si="25"/>
        <v>1</v>
      </c>
      <c r="G101" s="140" t="str">
        <f t="shared" si="26"/>
        <v/>
      </c>
      <c r="H101" s="140" t="str">
        <f t="shared" si="27"/>
        <v/>
      </c>
      <c r="I101" s="918" t="s">
        <v>2170</v>
      </c>
      <c r="J101" s="924">
        <f t="shared" si="15"/>
        <v>3308984.85</v>
      </c>
      <c r="K101" s="924">
        <f t="shared" si="16"/>
        <v>400554.91999999993</v>
      </c>
      <c r="L101" s="925">
        <f t="shared" si="17"/>
        <v>3709539.77</v>
      </c>
      <c r="M101" s="924">
        <f t="shared" si="18"/>
        <v>3709539.77</v>
      </c>
      <c r="N101" s="924">
        <f t="shared" si="19"/>
        <v>3709539.77</v>
      </c>
      <c r="O101" s="924">
        <f t="shared" si="20"/>
        <v>3709539.77</v>
      </c>
      <c r="P101" s="924">
        <f t="shared" si="21"/>
        <v>3709539.77</v>
      </c>
      <c r="Q101" s="924"/>
      <c r="R101" s="918" t="s">
        <v>2170</v>
      </c>
      <c r="S101" s="919">
        <v>3308984.85</v>
      </c>
      <c r="T101" s="919">
        <v>2577442.91</v>
      </c>
      <c r="U101" s="919">
        <v>-2176887.9900000002</v>
      </c>
      <c r="V101" s="919">
        <v>3709539.77</v>
      </c>
      <c r="W101" s="919">
        <v>0</v>
      </c>
      <c r="X101" s="919">
        <v>3709539.77</v>
      </c>
      <c r="Y101" s="919">
        <v>3709539.77</v>
      </c>
      <c r="Z101" s="919">
        <v>100</v>
      </c>
      <c r="AA101" s="919">
        <v>0</v>
      </c>
      <c r="AB101" s="919">
        <v>0</v>
      </c>
      <c r="AC101" s="919">
        <v>3709539.77</v>
      </c>
      <c r="AD101" s="919">
        <v>100</v>
      </c>
      <c r="AE101" s="919">
        <v>0</v>
      </c>
      <c r="AF101" s="919">
        <v>0</v>
      </c>
    </row>
    <row r="102" spans="1:32" ht="15" hidden="1">
      <c r="A102" s="140" t="str">
        <f t="shared" si="14"/>
        <v>E058</v>
      </c>
      <c r="B102" s="140" t="str">
        <f t="shared" si="22"/>
        <v>1.2.1</v>
      </c>
      <c r="C102" s="140" t="str">
        <f t="shared" si="23"/>
        <v>E058-G1054</v>
      </c>
      <c r="D102" s="140">
        <v>1</v>
      </c>
      <c r="E102" s="140" t="str">
        <f t="shared" si="24"/>
        <v>21115-0107</v>
      </c>
      <c r="F102" s="140" t="str">
        <f t="shared" si="25"/>
        <v>1</v>
      </c>
      <c r="G102" s="140" t="str">
        <f t="shared" si="26"/>
        <v/>
      </c>
      <c r="H102" s="140" t="str">
        <f t="shared" si="27"/>
        <v/>
      </c>
      <c r="I102" s="971" t="s">
        <v>2091</v>
      </c>
      <c r="J102" s="924">
        <f t="shared" si="15"/>
        <v>3308984.85</v>
      </c>
      <c r="K102" s="925">
        <f t="shared" si="16"/>
        <v>400554.91999999993</v>
      </c>
      <c r="L102" s="925">
        <f t="shared" si="17"/>
        <v>3709539.77</v>
      </c>
      <c r="M102" s="924">
        <f t="shared" si="18"/>
        <v>3709539.77</v>
      </c>
      <c r="N102" s="924">
        <f t="shared" si="19"/>
        <v>3709539.77</v>
      </c>
      <c r="O102" s="924">
        <f t="shared" si="20"/>
        <v>3709539.77</v>
      </c>
      <c r="P102" s="924">
        <f t="shared" si="21"/>
        <v>3709539.77</v>
      </c>
      <c r="Q102" s="924"/>
      <c r="R102" s="971" t="s">
        <v>2091</v>
      </c>
      <c r="S102" s="972">
        <v>3308984.85</v>
      </c>
      <c r="T102" s="972">
        <v>2577442.91</v>
      </c>
      <c r="U102" s="972">
        <v>-2176887.9900000002</v>
      </c>
      <c r="V102" s="972">
        <v>3709539.77</v>
      </c>
      <c r="W102" s="972">
        <v>0</v>
      </c>
      <c r="X102" s="972">
        <v>3709539.77</v>
      </c>
      <c r="Y102" s="972">
        <v>3709539.77</v>
      </c>
      <c r="Z102" s="972">
        <v>100</v>
      </c>
      <c r="AA102" s="972">
        <v>0</v>
      </c>
      <c r="AB102" s="972">
        <v>0</v>
      </c>
      <c r="AC102" s="972">
        <v>3709539.77</v>
      </c>
      <c r="AD102" s="972">
        <v>100</v>
      </c>
      <c r="AE102" s="972">
        <v>0</v>
      </c>
      <c r="AF102" s="972">
        <v>0</v>
      </c>
    </row>
    <row r="103" spans="1:32" ht="15" hidden="1">
      <c r="A103" s="140" t="str">
        <f t="shared" si="14"/>
        <v>E058</v>
      </c>
      <c r="B103" s="140" t="str">
        <f t="shared" si="22"/>
        <v>1.2.1</v>
      </c>
      <c r="C103" s="140" t="str">
        <f t="shared" si="23"/>
        <v>E058-G1054</v>
      </c>
      <c r="D103" s="140">
        <v>1</v>
      </c>
      <c r="E103" s="140" t="str">
        <f t="shared" si="24"/>
        <v>21115-0105</v>
      </c>
      <c r="F103" s="140" t="str">
        <f t="shared" si="25"/>
        <v>1</v>
      </c>
      <c r="G103" s="140" t="str">
        <f t="shared" si="26"/>
        <v/>
      </c>
      <c r="H103" s="140" t="str">
        <f t="shared" si="27"/>
        <v/>
      </c>
      <c r="I103" s="455" t="s">
        <v>2087</v>
      </c>
      <c r="J103" s="925">
        <f t="shared" si="15"/>
        <v>0</v>
      </c>
      <c r="K103" s="924">
        <f t="shared" si="16"/>
        <v>0</v>
      </c>
      <c r="L103" s="925">
        <f t="shared" si="17"/>
        <v>0</v>
      </c>
      <c r="M103" s="924">
        <f t="shared" si="18"/>
        <v>0</v>
      </c>
      <c r="N103" s="925">
        <f t="shared" si="19"/>
        <v>0</v>
      </c>
      <c r="O103" s="925">
        <f t="shared" si="20"/>
        <v>0</v>
      </c>
      <c r="P103" s="924">
        <f t="shared" si="21"/>
        <v>0</v>
      </c>
      <c r="Q103" s="924"/>
      <c r="R103" s="455" t="s">
        <v>2087</v>
      </c>
      <c r="S103" s="899">
        <v>0</v>
      </c>
      <c r="T103" s="456">
        <v>26744.57</v>
      </c>
      <c r="U103" s="456">
        <v>-26744.57</v>
      </c>
      <c r="V103" s="456">
        <v>0</v>
      </c>
      <c r="W103" s="899">
        <v>0</v>
      </c>
      <c r="X103" s="899">
        <v>0</v>
      </c>
      <c r="Y103" s="456">
        <v>0</v>
      </c>
      <c r="Z103" s="456">
        <v>0</v>
      </c>
      <c r="AA103" s="899">
        <v>0</v>
      </c>
      <c r="AB103" s="456">
        <v>0</v>
      </c>
      <c r="AC103" s="456">
        <v>0</v>
      </c>
      <c r="AD103" s="456">
        <v>0</v>
      </c>
      <c r="AE103" s="456">
        <v>0</v>
      </c>
      <c r="AF103" s="456">
        <v>0</v>
      </c>
    </row>
    <row r="104" spans="1:32" ht="15">
      <c r="A104" s="140" t="str">
        <f t="shared" si="14"/>
        <v>E058</v>
      </c>
      <c r="B104" s="140" t="str">
        <f t="shared" si="22"/>
        <v>1.2.1</v>
      </c>
      <c r="C104" s="140" t="str">
        <f t="shared" si="23"/>
        <v>E058-G1054</v>
      </c>
      <c r="D104" s="140">
        <v>1</v>
      </c>
      <c r="E104" s="140" t="str">
        <f t="shared" si="24"/>
        <v>21115-0105</v>
      </c>
      <c r="F104" s="140" t="str">
        <f t="shared" si="25"/>
        <v>2</v>
      </c>
      <c r="G104" s="140" t="str">
        <f t="shared" si="26"/>
        <v>5651</v>
      </c>
      <c r="H104" s="140" t="str">
        <f t="shared" si="27"/>
        <v>1.2.1/E058-G1054/1/21115-0105/2/5651  Eq Comunicación</v>
      </c>
      <c r="I104" s="448" t="s">
        <v>2583</v>
      </c>
      <c r="J104" s="924">
        <f t="shared" si="15"/>
        <v>0</v>
      </c>
      <c r="K104" s="925">
        <f t="shared" si="16"/>
        <v>0</v>
      </c>
      <c r="L104" s="925">
        <f t="shared" si="17"/>
        <v>0</v>
      </c>
      <c r="M104" s="924">
        <f t="shared" si="18"/>
        <v>0</v>
      </c>
      <c r="N104" s="925">
        <f t="shared" si="19"/>
        <v>0</v>
      </c>
      <c r="O104" s="925">
        <f t="shared" si="20"/>
        <v>0</v>
      </c>
      <c r="P104" s="924">
        <f t="shared" si="21"/>
        <v>0</v>
      </c>
      <c r="Q104" s="924"/>
      <c r="R104" s="448" t="s">
        <v>2583</v>
      </c>
      <c r="S104" s="450">
        <v>0</v>
      </c>
      <c r="T104" s="449">
        <v>26744.57</v>
      </c>
      <c r="U104" s="449">
        <v>-26744.57</v>
      </c>
      <c r="V104" s="449">
        <v>0</v>
      </c>
      <c r="W104" s="450">
        <v>0</v>
      </c>
      <c r="X104" s="450">
        <v>0</v>
      </c>
      <c r="Y104" s="449">
        <v>0</v>
      </c>
      <c r="Z104" s="449">
        <v>0</v>
      </c>
      <c r="AA104" s="450">
        <v>0</v>
      </c>
      <c r="AB104" s="449">
        <v>0</v>
      </c>
      <c r="AC104" s="449">
        <v>0</v>
      </c>
      <c r="AD104" s="449">
        <v>0</v>
      </c>
      <c r="AE104" s="449">
        <v>0</v>
      </c>
      <c r="AF104" s="449">
        <v>0</v>
      </c>
    </row>
    <row r="105" spans="1:32" ht="15" hidden="1">
      <c r="A105" s="140" t="str">
        <f t="shared" si="14"/>
        <v>E058</v>
      </c>
      <c r="B105" s="140" t="str">
        <f t="shared" si="22"/>
        <v>1.2.1</v>
      </c>
      <c r="C105" s="140" t="str">
        <f t="shared" si="23"/>
        <v>E058-G1054</v>
      </c>
      <c r="D105" s="140">
        <v>1</v>
      </c>
      <c r="E105" s="140" t="str">
        <f t="shared" si="24"/>
        <v>21115-0107</v>
      </c>
      <c r="F105" s="140" t="str">
        <f t="shared" si="25"/>
        <v>1</v>
      </c>
      <c r="G105" s="140" t="str">
        <f t="shared" si="26"/>
        <v/>
      </c>
      <c r="H105" s="140" t="str">
        <f t="shared" si="27"/>
        <v/>
      </c>
      <c r="I105" s="455" t="s">
        <v>2184</v>
      </c>
      <c r="J105" s="924">
        <f t="shared" si="15"/>
        <v>0</v>
      </c>
      <c r="K105" s="925">
        <f t="shared" si="16"/>
        <v>0</v>
      </c>
      <c r="L105" s="925">
        <f t="shared" si="17"/>
        <v>0</v>
      </c>
      <c r="M105" s="924">
        <f t="shared" si="18"/>
        <v>0</v>
      </c>
      <c r="N105" s="925">
        <f t="shared" si="19"/>
        <v>0</v>
      </c>
      <c r="O105" s="925">
        <f t="shared" si="20"/>
        <v>0</v>
      </c>
      <c r="P105" s="924">
        <f t="shared" si="21"/>
        <v>0</v>
      </c>
      <c r="Q105" s="924"/>
      <c r="R105" s="455" t="s">
        <v>2184</v>
      </c>
      <c r="S105" s="899">
        <v>0</v>
      </c>
      <c r="T105" s="456">
        <v>208421.95</v>
      </c>
      <c r="U105" s="456">
        <v>-208421.95</v>
      </c>
      <c r="V105" s="456">
        <v>0</v>
      </c>
      <c r="W105" s="899">
        <v>0</v>
      </c>
      <c r="X105" s="899">
        <v>0</v>
      </c>
      <c r="Y105" s="456">
        <v>0</v>
      </c>
      <c r="Z105" s="456">
        <v>0</v>
      </c>
      <c r="AA105" s="899">
        <v>0</v>
      </c>
      <c r="AB105" s="456">
        <v>0</v>
      </c>
      <c r="AC105" s="456">
        <v>0</v>
      </c>
      <c r="AD105" s="456">
        <v>0</v>
      </c>
      <c r="AE105" s="456">
        <v>0</v>
      </c>
      <c r="AF105" s="456">
        <v>0</v>
      </c>
    </row>
    <row r="106" spans="1:32" ht="15">
      <c r="A106" s="140" t="str">
        <f t="shared" si="14"/>
        <v>E058</v>
      </c>
      <c r="B106" s="140" t="str">
        <f t="shared" si="22"/>
        <v>1.2.1</v>
      </c>
      <c r="C106" s="140" t="str">
        <f t="shared" si="23"/>
        <v>E058-G1054</v>
      </c>
      <c r="D106" s="140">
        <v>1</v>
      </c>
      <c r="E106" s="140" t="str">
        <f t="shared" si="24"/>
        <v>21115-0107</v>
      </c>
      <c r="F106" s="140" t="str">
        <f t="shared" si="25"/>
        <v>2</v>
      </c>
      <c r="G106" s="140" t="str">
        <f t="shared" si="26"/>
        <v>5411</v>
      </c>
      <c r="H106" s="140" t="str">
        <f t="shared" si="27"/>
        <v>1.2.1/E058-G1054/1/21115-0107/2/5411  Automóviles y camiones</v>
      </c>
      <c r="I106" s="448" t="s">
        <v>2166</v>
      </c>
      <c r="J106" s="924">
        <f t="shared" si="15"/>
        <v>0</v>
      </c>
      <c r="K106" s="925">
        <f t="shared" si="16"/>
        <v>0</v>
      </c>
      <c r="L106" s="925">
        <f t="shared" si="17"/>
        <v>0</v>
      </c>
      <c r="M106" s="924">
        <f t="shared" si="18"/>
        <v>0</v>
      </c>
      <c r="N106" s="925">
        <f t="shared" si="19"/>
        <v>0</v>
      </c>
      <c r="O106" s="925">
        <f t="shared" si="20"/>
        <v>0</v>
      </c>
      <c r="P106" s="924">
        <f t="shared" si="21"/>
        <v>0</v>
      </c>
      <c r="Q106" s="924"/>
      <c r="R106" s="448" t="s">
        <v>2166</v>
      </c>
      <c r="S106" s="450">
        <v>0</v>
      </c>
      <c r="T106" s="449">
        <v>208421.95</v>
      </c>
      <c r="U106" s="449">
        <v>-208421.95</v>
      </c>
      <c r="V106" s="449">
        <v>0</v>
      </c>
      <c r="W106" s="450">
        <v>0</v>
      </c>
      <c r="X106" s="450">
        <v>0</v>
      </c>
      <c r="Y106" s="449">
        <v>0</v>
      </c>
      <c r="Z106" s="449">
        <v>0</v>
      </c>
      <c r="AA106" s="450">
        <v>0</v>
      </c>
      <c r="AB106" s="449">
        <v>0</v>
      </c>
      <c r="AC106" s="449">
        <v>0</v>
      </c>
      <c r="AD106" s="449">
        <v>0</v>
      </c>
      <c r="AE106" s="449">
        <v>0</v>
      </c>
      <c r="AF106" s="449">
        <v>0</v>
      </c>
    </row>
    <row r="107" spans="1:32" ht="15" hidden="1">
      <c r="A107" s="140" t="str">
        <f t="shared" si="14"/>
        <v>E058</v>
      </c>
      <c r="B107" s="140" t="str">
        <f t="shared" si="22"/>
        <v>1.2.1</v>
      </c>
      <c r="C107" s="140" t="str">
        <f t="shared" si="23"/>
        <v>E058-G1054</v>
      </c>
      <c r="D107" s="140">
        <v>1</v>
      </c>
      <c r="E107" s="140" t="str">
        <f t="shared" si="24"/>
        <v>21115-0110</v>
      </c>
      <c r="F107" s="140" t="str">
        <f t="shared" si="25"/>
        <v>1</v>
      </c>
      <c r="G107" s="140" t="str">
        <f t="shared" si="26"/>
        <v/>
      </c>
      <c r="H107" s="140" t="str">
        <f t="shared" si="27"/>
        <v/>
      </c>
      <c r="I107" s="455" t="s">
        <v>2171</v>
      </c>
      <c r="J107" s="924">
        <f t="shared" si="15"/>
        <v>3308984.85</v>
      </c>
      <c r="K107" s="925">
        <f t="shared" si="16"/>
        <v>400554.92000000016</v>
      </c>
      <c r="L107" s="924">
        <f t="shared" si="17"/>
        <v>3709539.77</v>
      </c>
      <c r="M107" s="924">
        <f t="shared" si="18"/>
        <v>3709539.77</v>
      </c>
      <c r="N107" s="924">
        <f t="shared" si="19"/>
        <v>3709539.77</v>
      </c>
      <c r="O107" s="924">
        <f t="shared" si="20"/>
        <v>3709539.77</v>
      </c>
      <c r="P107" s="924">
        <f t="shared" si="21"/>
        <v>3709539.77</v>
      </c>
      <c r="Q107" s="924"/>
      <c r="R107" s="455" t="s">
        <v>2171</v>
      </c>
      <c r="S107" s="456">
        <v>3308984.85</v>
      </c>
      <c r="T107" s="456">
        <v>2342276.39</v>
      </c>
      <c r="U107" s="456">
        <v>-1941721.47</v>
      </c>
      <c r="V107" s="456">
        <v>3709539.77</v>
      </c>
      <c r="W107" s="456">
        <v>0</v>
      </c>
      <c r="X107" s="456">
        <v>3709539.77</v>
      </c>
      <c r="Y107" s="456">
        <v>3709539.77</v>
      </c>
      <c r="Z107" s="456">
        <v>100</v>
      </c>
      <c r="AA107" s="456">
        <v>0</v>
      </c>
      <c r="AB107" s="456">
        <v>0</v>
      </c>
      <c r="AC107" s="456">
        <v>3709539.77</v>
      </c>
      <c r="AD107" s="456">
        <v>100</v>
      </c>
      <c r="AE107" s="456">
        <v>0</v>
      </c>
      <c r="AF107" s="456">
        <v>0</v>
      </c>
    </row>
    <row r="108" spans="1:32" ht="15">
      <c r="A108" s="140" t="str">
        <f t="shared" si="14"/>
        <v>E058</v>
      </c>
      <c r="B108" s="140" t="str">
        <f t="shared" si="22"/>
        <v>1.2.1</v>
      </c>
      <c r="C108" s="140" t="str">
        <f t="shared" si="23"/>
        <v>E058-G1054</v>
      </c>
      <c r="D108" s="140">
        <v>1</v>
      </c>
      <c r="E108" s="140" t="str">
        <f t="shared" si="24"/>
        <v>21115-0110</v>
      </c>
      <c r="F108" s="140" t="str">
        <f t="shared" si="25"/>
        <v>1</v>
      </c>
      <c r="G108" s="140" t="str">
        <f t="shared" si="26"/>
        <v>1131</v>
      </c>
      <c r="H108" s="140" t="str">
        <f t="shared" si="27"/>
        <v>1.2.1/E058-G1054/1/21115-0110/1/1131  Sueldos Base</v>
      </c>
      <c r="I108" s="448" t="s">
        <v>2092</v>
      </c>
      <c r="J108" s="924">
        <f t="shared" si="15"/>
        <v>534497.76</v>
      </c>
      <c r="K108" s="925">
        <f t="shared" si="16"/>
        <v>2728.8</v>
      </c>
      <c r="L108" s="925">
        <f t="shared" si="17"/>
        <v>537226.56000000006</v>
      </c>
      <c r="M108" s="924">
        <f t="shared" si="18"/>
        <v>537226.56000000006</v>
      </c>
      <c r="N108" s="924">
        <f t="shared" si="19"/>
        <v>537226.56000000006</v>
      </c>
      <c r="O108" s="924">
        <f t="shared" si="20"/>
        <v>537226.56000000006</v>
      </c>
      <c r="P108" s="924">
        <f t="shared" si="21"/>
        <v>537226.56000000006</v>
      </c>
      <c r="Q108" s="924"/>
      <c r="R108" s="448" t="s">
        <v>2092</v>
      </c>
      <c r="S108" s="449">
        <v>534497.76</v>
      </c>
      <c r="T108" s="449">
        <v>7039</v>
      </c>
      <c r="U108" s="449">
        <v>-4310.2</v>
      </c>
      <c r="V108" s="449">
        <v>537226.56000000006</v>
      </c>
      <c r="W108" s="449">
        <v>0</v>
      </c>
      <c r="X108" s="449">
        <v>537226.56000000006</v>
      </c>
      <c r="Y108" s="449">
        <v>537226.56000000006</v>
      </c>
      <c r="Z108" s="449">
        <v>100</v>
      </c>
      <c r="AA108" s="449">
        <v>0</v>
      </c>
      <c r="AB108" s="449">
        <v>0</v>
      </c>
      <c r="AC108" s="449">
        <v>537226.56000000006</v>
      </c>
      <c r="AD108" s="449">
        <v>100</v>
      </c>
      <c r="AE108" s="449">
        <v>0</v>
      </c>
      <c r="AF108" s="449">
        <v>0</v>
      </c>
    </row>
    <row r="109" spans="1:32" ht="15">
      <c r="A109" s="140" t="str">
        <f t="shared" si="14"/>
        <v>E058</v>
      </c>
      <c r="B109" s="140" t="str">
        <f t="shared" si="22"/>
        <v>1.2.1</v>
      </c>
      <c r="C109" s="140" t="str">
        <f t="shared" si="23"/>
        <v>E058-G1054</v>
      </c>
      <c r="D109" s="140">
        <v>1</v>
      </c>
      <c r="E109" s="140" t="str">
        <f t="shared" si="24"/>
        <v>21115-0110</v>
      </c>
      <c r="F109" s="140" t="str">
        <f t="shared" si="25"/>
        <v>1</v>
      </c>
      <c r="G109" s="140" t="str">
        <f t="shared" si="26"/>
        <v>1311</v>
      </c>
      <c r="H109" s="140" t="str">
        <f t="shared" si="27"/>
        <v>1.2.1/E058-G1054/1/21115-0110/1/1311  Prima quinquenal</v>
      </c>
      <c r="I109" s="448" t="s">
        <v>2094</v>
      </c>
      <c r="J109" s="924">
        <f t="shared" si="15"/>
        <v>187.5</v>
      </c>
      <c r="K109" s="925">
        <f t="shared" si="16"/>
        <v>-187.5</v>
      </c>
      <c r="L109" s="925">
        <f t="shared" si="17"/>
        <v>0</v>
      </c>
      <c r="M109" s="924">
        <f t="shared" si="18"/>
        <v>0</v>
      </c>
      <c r="N109" s="925">
        <f t="shared" si="19"/>
        <v>0</v>
      </c>
      <c r="O109" s="925">
        <f t="shared" si="20"/>
        <v>0</v>
      </c>
      <c r="P109" s="924">
        <f t="shared" si="21"/>
        <v>0</v>
      </c>
      <c r="Q109" s="924"/>
      <c r="R109" s="448" t="s">
        <v>2094</v>
      </c>
      <c r="S109" s="449">
        <v>187.5</v>
      </c>
      <c r="T109" s="450">
        <v>0</v>
      </c>
      <c r="U109" s="449">
        <v>-187.5</v>
      </c>
      <c r="V109" s="449">
        <v>0</v>
      </c>
      <c r="W109" s="450">
        <v>0</v>
      </c>
      <c r="X109" s="450">
        <v>0</v>
      </c>
      <c r="Y109" s="449">
        <v>0</v>
      </c>
      <c r="Z109" s="449">
        <v>0</v>
      </c>
      <c r="AA109" s="450">
        <v>0</v>
      </c>
      <c r="AB109" s="449">
        <v>0</v>
      </c>
      <c r="AC109" s="449">
        <v>0</v>
      </c>
      <c r="AD109" s="449">
        <v>0</v>
      </c>
      <c r="AE109" s="449">
        <v>0</v>
      </c>
      <c r="AF109" s="449">
        <v>0</v>
      </c>
    </row>
    <row r="110" spans="1:32" ht="15">
      <c r="A110" s="140" t="str">
        <f t="shared" si="14"/>
        <v>E058</v>
      </c>
      <c r="B110" s="140" t="str">
        <f t="shared" si="22"/>
        <v>1.2.1</v>
      </c>
      <c r="C110" s="140" t="str">
        <f t="shared" si="23"/>
        <v>E058-G1054</v>
      </c>
      <c r="D110" s="140">
        <v>1</v>
      </c>
      <c r="E110" s="140" t="str">
        <f t="shared" si="24"/>
        <v>21115-0110</v>
      </c>
      <c r="F110" s="140" t="str">
        <f t="shared" si="25"/>
        <v>1</v>
      </c>
      <c r="G110" s="140" t="str">
        <f t="shared" si="26"/>
        <v>1321</v>
      </c>
      <c r="H110" s="140" t="str">
        <f t="shared" si="27"/>
        <v>1.2.1/E058-G1054/1/21115-0110/1/1321  Prima Vacacional</v>
      </c>
      <c r="I110" s="448" t="s">
        <v>2095</v>
      </c>
      <c r="J110" s="924">
        <f t="shared" si="15"/>
        <v>43925.7</v>
      </c>
      <c r="K110" s="925">
        <f t="shared" si="16"/>
        <v>680.6</v>
      </c>
      <c r="L110" s="925">
        <f t="shared" si="17"/>
        <v>44606.3</v>
      </c>
      <c r="M110" s="924">
        <f t="shared" si="18"/>
        <v>44606.3</v>
      </c>
      <c r="N110" s="925">
        <f t="shared" si="19"/>
        <v>44606.3</v>
      </c>
      <c r="O110" s="925">
        <f t="shared" si="20"/>
        <v>44606.3</v>
      </c>
      <c r="P110" s="924">
        <f t="shared" si="21"/>
        <v>44606.3</v>
      </c>
      <c r="Q110" s="924"/>
      <c r="R110" s="448" t="s">
        <v>2095</v>
      </c>
      <c r="S110" s="449">
        <v>43925.7</v>
      </c>
      <c r="T110" s="449">
        <v>1700.51</v>
      </c>
      <c r="U110" s="449">
        <v>-1019.91</v>
      </c>
      <c r="V110" s="449">
        <v>44606.3</v>
      </c>
      <c r="W110" s="449">
        <v>0</v>
      </c>
      <c r="X110" s="449">
        <v>44606.3</v>
      </c>
      <c r="Y110" s="449">
        <v>44606.3</v>
      </c>
      <c r="Z110" s="449">
        <v>100</v>
      </c>
      <c r="AA110" s="449">
        <v>0</v>
      </c>
      <c r="AB110" s="449">
        <v>0</v>
      </c>
      <c r="AC110" s="449">
        <v>44606.3</v>
      </c>
      <c r="AD110" s="449">
        <v>100</v>
      </c>
      <c r="AE110" s="449">
        <v>0</v>
      </c>
      <c r="AF110" s="449">
        <v>0</v>
      </c>
    </row>
    <row r="111" spans="1:32" ht="15">
      <c r="A111" s="140" t="str">
        <f t="shared" si="14"/>
        <v>E058</v>
      </c>
      <c r="B111" s="140" t="str">
        <f t="shared" si="22"/>
        <v>1.2.1</v>
      </c>
      <c r="C111" s="140" t="str">
        <f t="shared" si="23"/>
        <v>E058-G1054</v>
      </c>
      <c r="D111" s="140">
        <v>1</v>
      </c>
      <c r="E111" s="140" t="str">
        <f t="shared" si="24"/>
        <v>21115-0110</v>
      </c>
      <c r="F111" s="140" t="str">
        <f t="shared" si="25"/>
        <v>1</v>
      </c>
      <c r="G111" s="140" t="str">
        <f t="shared" si="26"/>
        <v>1323</v>
      </c>
      <c r="H111" s="140" t="str">
        <f t="shared" si="27"/>
        <v>1.2.1/E058-G1054/1/21115-0110/1/1323  Gratificación de fin de año</v>
      </c>
      <c r="I111" s="448" t="s">
        <v>2096</v>
      </c>
      <c r="J111" s="924">
        <f t="shared" si="15"/>
        <v>197652.52</v>
      </c>
      <c r="K111" s="925">
        <f t="shared" si="16"/>
        <v>3076.1</v>
      </c>
      <c r="L111" s="925">
        <f t="shared" si="17"/>
        <v>200728.62</v>
      </c>
      <c r="M111" s="924">
        <f t="shared" si="18"/>
        <v>200728.62</v>
      </c>
      <c r="N111" s="925">
        <f t="shared" si="19"/>
        <v>200728.62</v>
      </c>
      <c r="O111" s="925">
        <f t="shared" si="20"/>
        <v>200728.62</v>
      </c>
      <c r="P111" s="924">
        <f t="shared" si="21"/>
        <v>200728.62</v>
      </c>
      <c r="Q111" s="924"/>
      <c r="R111" s="448" t="s">
        <v>2096</v>
      </c>
      <c r="S111" s="449">
        <v>197652.52</v>
      </c>
      <c r="T111" s="449">
        <v>6141.96</v>
      </c>
      <c r="U111" s="449">
        <v>-3065.86</v>
      </c>
      <c r="V111" s="449">
        <v>200728.62</v>
      </c>
      <c r="W111" s="449">
        <v>0</v>
      </c>
      <c r="X111" s="449">
        <v>200728.62</v>
      </c>
      <c r="Y111" s="449">
        <v>200728.62</v>
      </c>
      <c r="Z111" s="449">
        <v>100</v>
      </c>
      <c r="AA111" s="449">
        <v>0</v>
      </c>
      <c r="AB111" s="449">
        <v>0</v>
      </c>
      <c r="AC111" s="449">
        <v>200728.62</v>
      </c>
      <c r="AD111" s="449">
        <v>100</v>
      </c>
      <c r="AE111" s="449">
        <v>0</v>
      </c>
      <c r="AF111" s="449">
        <v>0</v>
      </c>
    </row>
    <row r="112" spans="1:32" ht="15">
      <c r="A112" s="140" t="str">
        <f t="shared" si="14"/>
        <v>E058</v>
      </c>
      <c r="B112" s="140" t="str">
        <f t="shared" si="22"/>
        <v>1.2.1</v>
      </c>
      <c r="C112" s="140" t="str">
        <f t="shared" si="23"/>
        <v>E058-G1054</v>
      </c>
      <c r="D112" s="140">
        <v>1</v>
      </c>
      <c r="E112" s="140" t="str">
        <f t="shared" si="24"/>
        <v>21115-0110</v>
      </c>
      <c r="F112" s="140" t="str">
        <f t="shared" si="25"/>
        <v>1</v>
      </c>
      <c r="G112" s="140" t="str">
        <f t="shared" si="26"/>
        <v>1411</v>
      </c>
      <c r="H112" s="140" t="str">
        <f t="shared" si="27"/>
        <v>1.2.1/E058-G1054/1/21115-0110/1/1411  Aportaciones al ISSEG</v>
      </c>
      <c r="I112" s="448" t="s">
        <v>2097</v>
      </c>
      <c r="J112" s="924">
        <f t="shared" si="15"/>
        <v>122934.48</v>
      </c>
      <c r="K112" s="924">
        <f t="shared" si="16"/>
        <v>627.59999999999945</v>
      </c>
      <c r="L112" s="925">
        <f t="shared" si="17"/>
        <v>123562.08</v>
      </c>
      <c r="M112" s="924">
        <f t="shared" si="18"/>
        <v>123562.08</v>
      </c>
      <c r="N112" s="924">
        <f t="shared" si="19"/>
        <v>123562.08</v>
      </c>
      <c r="O112" s="924">
        <f t="shared" si="20"/>
        <v>123562.08</v>
      </c>
      <c r="P112" s="924">
        <f t="shared" si="21"/>
        <v>123562.08</v>
      </c>
      <c r="Q112" s="924"/>
      <c r="R112" s="448" t="s">
        <v>2097</v>
      </c>
      <c r="S112" s="449">
        <v>122934.48</v>
      </c>
      <c r="T112" s="449">
        <v>4614.3999999999996</v>
      </c>
      <c r="U112" s="449">
        <v>-3986.8</v>
      </c>
      <c r="V112" s="449">
        <v>123562.08</v>
      </c>
      <c r="W112" s="449">
        <v>0</v>
      </c>
      <c r="X112" s="449">
        <v>123562.08</v>
      </c>
      <c r="Y112" s="449">
        <v>123562.08</v>
      </c>
      <c r="Z112" s="449">
        <v>100</v>
      </c>
      <c r="AA112" s="449">
        <v>0</v>
      </c>
      <c r="AB112" s="449">
        <v>0</v>
      </c>
      <c r="AC112" s="449">
        <v>123562.08</v>
      </c>
      <c r="AD112" s="449">
        <v>100</v>
      </c>
      <c r="AE112" s="449">
        <v>0</v>
      </c>
      <c r="AF112" s="449">
        <v>0</v>
      </c>
    </row>
    <row r="113" spans="1:32" ht="15">
      <c r="A113" s="140" t="str">
        <f t="shared" si="14"/>
        <v>E058</v>
      </c>
      <c r="B113" s="140" t="str">
        <f t="shared" si="22"/>
        <v>1.2.1</v>
      </c>
      <c r="C113" s="140" t="str">
        <f t="shared" si="23"/>
        <v>E058-G1054</v>
      </c>
      <c r="D113" s="140">
        <v>1</v>
      </c>
      <c r="E113" s="140" t="str">
        <f t="shared" si="24"/>
        <v>21115-0110</v>
      </c>
      <c r="F113" s="140" t="str">
        <f t="shared" si="25"/>
        <v>1</v>
      </c>
      <c r="G113" s="140" t="str">
        <f t="shared" si="26"/>
        <v>1412</v>
      </c>
      <c r="H113" s="140" t="str">
        <f t="shared" si="27"/>
        <v>1.2.1/E058-G1054/1/21115-0110/1/1412  Cuotas al ISSSTE</v>
      </c>
      <c r="I113" s="448" t="s">
        <v>2098</v>
      </c>
      <c r="J113" s="924">
        <f t="shared" si="15"/>
        <v>52128</v>
      </c>
      <c r="K113" s="925">
        <f t="shared" si="16"/>
        <v>-13179.119999999999</v>
      </c>
      <c r="L113" s="925">
        <f t="shared" si="17"/>
        <v>38948.879999999997</v>
      </c>
      <c r="M113" s="924">
        <f t="shared" si="18"/>
        <v>38948.879999999997</v>
      </c>
      <c r="N113" s="925">
        <f t="shared" si="19"/>
        <v>38948.879999999997</v>
      </c>
      <c r="O113" s="925">
        <f t="shared" si="20"/>
        <v>38948.879999999997</v>
      </c>
      <c r="P113" s="924">
        <f t="shared" si="21"/>
        <v>38948.879999999997</v>
      </c>
      <c r="Q113" s="924"/>
      <c r="R113" s="448" t="s">
        <v>2098</v>
      </c>
      <c r="S113" s="449">
        <v>52128</v>
      </c>
      <c r="T113" s="449">
        <v>21665.06</v>
      </c>
      <c r="U113" s="449">
        <v>-34844.18</v>
      </c>
      <c r="V113" s="449">
        <v>38948.879999999997</v>
      </c>
      <c r="W113" s="449">
        <v>0</v>
      </c>
      <c r="X113" s="449">
        <v>38948.879999999997</v>
      </c>
      <c r="Y113" s="449">
        <v>38948.879999999997</v>
      </c>
      <c r="Z113" s="449">
        <v>100</v>
      </c>
      <c r="AA113" s="449">
        <v>0</v>
      </c>
      <c r="AB113" s="449">
        <v>0</v>
      </c>
      <c r="AC113" s="449">
        <v>38948.879999999997</v>
      </c>
      <c r="AD113" s="449">
        <v>100</v>
      </c>
      <c r="AE113" s="449">
        <v>0</v>
      </c>
      <c r="AF113" s="449">
        <v>0</v>
      </c>
    </row>
    <row r="114" spans="1:32" ht="15">
      <c r="A114" s="140" t="str">
        <f t="shared" si="14"/>
        <v>E058</v>
      </c>
      <c r="B114" s="140" t="str">
        <f t="shared" si="22"/>
        <v>1.2.1</v>
      </c>
      <c r="C114" s="140" t="str">
        <f t="shared" si="23"/>
        <v>E058-G1054</v>
      </c>
      <c r="D114" s="140">
        <v>1</v>
      </c>
      <c r="E114" s="140" t="str">
        <f t="shared" si="24"/>
        <v>21115-0110</v>
      </c>
      <c r="F114" s="140" t="str">
        <f t="shared" si="25"/>
        <v>1</v>
      </c>
      <c r="G114" s="140" t="str">
        <f t="shared" si="26"/>
        <v>1441</v>
      </c>
      <c r="H114" s="140" t="str">
        <f t="shared" si="27"/>
        <v>1.2.1/E058-G1054/1/21115-0110/1/1441  Seguros</v>
      </c>
      <c r="I114" s="448" t="s">
        <v>2099</v>
      </c>
      <c r="J114" s="922">
        <f t="shared" si="15"/>
        <v>40213.29</v>
      </c>
      <c r="K114" s="922">
        <f t="shared" si="16"/>
        <v>-20213.290000000008</v>
      </c>
      <c r="L114" s="922">
        <f t="shared" si="17"/>
        <v>20000</v>
      </c>
      <c r="M114" s="922">
        <f t="shared" si="18"/>
        <v>20000</v>
      </c>
      <c r="N114" s="922">
        <f t="shared" si="19"/>
        <v>20000</v>
      </c>
      <c r="O114" s="922">
        <f t="shared" si="20"/>
        <v>20000</v>
      </c>
      <c r="P114" s="922">
        <f t="shared" si="21"/>
        <v>20000</v>
      </c>
      <c r="Q114" s="922"/>
      <c r="R114" s="448" t="s">
        <v>2099</v>
      </c>
      <c r="S114" s="449">
        <v>40213.29</v>
      </c>
      <c r="T114" s="449">
        <v>80594.289999999994</v>
      </c>
      <c r="U114" s="449">
        <v>-100807.58</v>
      </c>
      <c r="V114" s="449">
        <v>20000</v>
      </c>
      <c r="W114" s="449">
        <v>0</v>
      </c>
      <c r="X114" s="449">
        <v>20000</v>
      </c>
      <c r="Y114" s="449">
        <v>20000</v>
      </c>
      <c r="Z114" s="449">
        <v>100</v>
      </c>
      <c r="AA114" s="449">
        <v>0</v>
      </c>
      <c r="AB114" s="449">
        <v>0</v>
      </c>
      <c r="AC114" s="449">
        <v>20000</v>
      </c>
      <c r="AD114" s="449">
        <v>100</v>
      </c>
      <c r="AE114" s="449">
        <v>0</v>
      </c>
      <c r="AF114" s="449">
        <v>0</v>
      </c>
    </row>
    <row r="115" spans="1:32" ht="15">
      <c r="A115" s="140" t="str">
        <f t="shared" si="14"/>
        <v>E058</v>
      </c>
      <c r="B115" s="140" t="str">
        <f t="shared" si="22"/>
        <v>1.2.1</v>
      </c>
      <c r="C115" s="140" t="str">
        <f t="shared" si="23"/>
        <v>E058-G1054</v>
      </c>
      <c r="D115" s="140">
        <v>1</v>
      </c>
      <c r="E115" s="140" t="str">
        <f t="shared" si="24"/>
        <v>21115-0110</v>
      </c>
      <c r="F115" s="140" t="str">
        <f t="shared" si="25"/>
        <v>1</v>
      </c>
      <c r="G115" s="140" t="str">
        <f t="shared" si="26"/>
        <v>1541</v>
      </c>
      <c r="H115" s="140" t="str">
        <f t="shared" si="27"/>
        <v>1.2.1/E058-G1054/1/21115-0110/1/1541  Prestaciones CGT</v>
      </c>
      <c r="I115" s="448" t="s">
        <v>2101</v>
      </c>
      <c r="J115" s="922">
        <f t="shared" si="15"/>
        <v>465528.72</v>
      </c>
      <c r="K115" s="922">
        <f t="shared" si="16"/>
        <v>21775.200000000004</v>
      </c>
      <c r="L115" s="922">
        <f t="shared" si="17"/>
        <v>487303.92</v>
      </c>
      <c r="M115" s="922">
        <f t="shared" si="18"/>
        <v>487303.92</v>
      </c>
      <c r="N115" s="922">
        <f t="shared" si="19"/>
        <v>487303.92</v>
      </c>
      <c r="O115" s="922">
        <f t="shared" si="20"/>
        <v>487303.92</v>
      </c>
      <c r="P115" s="922">
        <f t="shared" si="21"/>
        <v>487303.92</v>
      </c>
      <c r="Q115" s="922"/>
      <c r="R115" s="448" t="s">
        <v>2101</v>
      </c>
      <c r="S115" s="449">
        <v>465528.72</v>
      </c>
      <c r="T115" s="449">
        <v>56242.54</v>
      </c>
      <c r="U115" s="449">
        <v>-34467.339999999997</v>
      </c>
      <c r="V115" s="449">
        <v>487303.92</v>
      </c>
      <c r="W115" s="449">
        <v>0</v>
      </c>
      <c r="X115" s="449">
        <v>487303.92</v>
      </c>
      <c r="Y115" s="449">
        <v>487303.92</v>
      </c>
      <c r="Z115" s="449">
        <v>100</v>
      </c>
      <c r="AA115" s="449">
        <v>0</v>
      </c>
      <c r="AB115" s="449">
        <v>0</v>
      </c>
      <c r="AC115" s="449">
        <v>487303.92</v>
      </c>
      <c r="AD115" s="449">
        <v>100</v>
      </c>
      <c r="AE115" s="449">
        <v>0</v>
      </c>
      <c r="AF115" s="449">
        <v>0</v>
      </c>
    </row>
    <row r="116" spans="1:32" ht="15">
      <c r="A116" s="140" t="str">
        <f t="shared" si="14"/>
        <v>E058</v>
      </c>
      <c r="B116" s="140" t="str">
        <f t="shared" si="22"/>
        <v>1.2.1</v>
      </c>
      <c r="C116" s="140" t="str">
        <f t="shared" si="23"/>
        <v>E058-G1054</v>
      </c>
      <c r="D116" s="140">
        <v>1</v>
      </c>
      <c r="E116" s="140" t="str">
        <f t="shared" si="24"/>
        <v>21115-0110</v>
      </c>
      <c r="F116" s="140" t="str">
        <f t="shared" si="25"/>
        <v>1</v>
      </c>
      <c r="G116" s="140" t="str">
        <f t="shared" si="26"/>
        <v>1591</v>
      </c>
      <c r="H116" s="140" t="str">
        <f t="shared" si="27"/>
        <v>1.2.1/E058-G1054/1/21115-0110/1/1591  Asign Adic sueldo</v>
      </c>
      <c r="I116" s="448" t="s">
        <v>2102</v>
      </c>
      <c r="J116" s="924">
        <f t="shared" si="15"/>
        <v>581299.44999999995</v>
      </c>
      <c r="K116" s="924">
        <f t="shared" si="16"/>
        <v>-9.9999999999980105E-3</v>
      </c>
      <c r="L116" s="924">
        <f t="shared" si="17"/>
        <v>581299.43999999994</v>
      </c>
      <c r="M116" s="924">
        <f t="shared" si="18"/>
        <v>581299.43999999994</v>
      </c>
      <c r="N116" s="924">
        <f t="shared" si="19"/>
        <v>581299.43999999994</v>
      </c>
      <c r="O116" s="924">
        <f t="shared" si="20"/>
        <v>581299.43999999994</v>
      </c>
      <c r="P116" s="924">
        <f t="shared" si="21"/>
        <v>581299.43999999994</v>
      </c>
      <c r="Q116" s="924"/>
      <c r="R116" s="448" t="s">
        <v>2102</v>
      </c>
      <c r="S116" s="449">
        <v>581299.44999999995</v>
      </c>
      <c r="T116" s="449">
        <v>26.17</v>
      </c>
      <c r="U116" s="449">
        <v>-26.18</v>
      </c>
      <c r="V116" s="449">
        <v>581299.43999999994</v>
      </c>
      <c r="W116" s="449">
        <v>0</v>
      </c>
      <c r="X116" s="449">
        <v>581299.43999999994</v>
      </c>
      <c r="Y116" s="449">
        <v>581299.43999999994</v>
      </c>
      <c r="Z116" s="449">
        <v>100</v>
      </c>
      <c r="AA116" s="449">
        <v>0</v>
      </c>
      <c r="AB116" s="449">
        <v>0</v>
      </c>
      <c r="AC116" s="449">
        <v>581299.43999999994</v>
      </c>
      <c r="AD116" s="449">
        <v>100</v>
      </c>
      <c r="AE116" s="449">
        <v>0</v>
      </c>
      <c r="AF116" s="449">
        <v>0</v>
      </c>
    </row>
    <row r="117" spans="1:32" ht="15">
      <c r="A117" s="140" t="str">
        <f t="shared" si="14"/>
        <v>E058</v>
      </c>
      <c r="B117" s="140" t="str">
        <f t="shared" si="22"/>
        <v>1.2.1</v>
      </c>
      <c r="C117" s="140" t="str">
        <f t="shared" si="23"/>
        <v>E058-G1054</v>
      </c>
      <c r="D117" s="140">
        <v>1</v>
      </c>
      <c r="E117" s="140" t="str">
        <f t="shared" si="24"/>
        <v>21115-0110</v>
      </c>
      <c r="F117" s="140" t="str">
        <f t="shared" si="25"/>
        <v>1</v>
      </c>
      <c r="G117" s="140" t="str">
        <f t="shared" si="26"/>
        <v>1592</v>
      </c>
      <c r="H117" s="140" t="str">
        <f t="shared" si="27"/>
        <v>1.2.1/E058-G1054/1/21115-0110/1/1592  Otras prestaciones</v>
      </c>
      <c r="I117" s="448" t="s">
        <v>2103</v>
      </c>
      <c r="J117" s="924">
        <f t="shared" si="15"/>
        <v>0</v>
      </c>
      <c r="K117" s="924">
        <f t="shared" si="16"/>
        <v>11009.06</v>
      </c>
      <c r="L117" s="924">
        <f t="shared" si="17"/>
        <v>11009.06</v>
      </c>
      <c r="M117" s="924">
        <f t="shared" si="18"/>
        <v>11009.06</v>
      </c>
      <c r="N117" s="924">
        <f t="shared" si="19"/>
        <v>11009.06</v>
      </c>
      <c r="O117" s="924">
        <f t="shared" si="20"/>
        <v>11009.06</v>
      </c>
      <c r="P117" s="924">
        <f t="shared" si="21"/>
        <v>11009.06</v>
      </c>
      <c r="Q117" s="924"/>
      <c r="R117" s="448" t="s">
        <v>2103</v>
      </c>
      <c r="S117" s="450">
        <v>0</v>
      </c>
      <c r="T117" s="449">
        <v>11267.47</v>
      </c>
      <c r="U117" s="449">
        <v>-258.41000000000003</v>
      </c>
      <c r="V117" s="449">
        <v>11009.06</v>
      </c>
      <c r="W117" s="449">
        <v>0</v>
      </c>
      <c r="X117" s="449">
        <v>11009.06</v>
      </c>
      <c r="Y117" s="449">
        <v>11009.06</v>
      </c>
      <c r="Z117" s="449">
        <v>100</v>
      </c>
      <c r="AA117" s="449">
        <v>0</v>
      </c>
      <c r="AB117" s="449">
        <v>0</v>
      </c>
      <c r="AC117" s="449">
        <v>11009.06</v>
      </c>
      <c r="AD117" s="449">
        <v>100</v>
      </c>
      <c r="AE117" s="449">
        <v>0</v>
      </c>
      <c r="AF117" s="449">
        <v>0</v>
      </c>
    </row>
    <row r="118" spans="1:32" ht="15">
      <c r="A118" s="140" t="str">
        <f t="shared" si="14"/>
        <v>E058</v>
      </c>
      <c r="B118" s="140" t="str">
        <f t="shared" si="22"/>
        <v>1.2.1</v>
      </c>
      <c r="C118" s="140" t="str">
        <f t="shared" si="23"/>
        <v>E058-G1054</v>
      </c>
      <c r="D118" s="140">
        <v>1</v>
      </c>
      <c r="E118" s="140" t="str">
        <f t="shared" si="24"/>
        <v>21115-0110</v>
      </c>
      <c r="F118" s="140" t="str">
        <f t="shared" si="25"/>
        <v>1</v>
      </c>
      <c r="G118" s="140" t="str">
        <f t="shared" si="26"/>
        <v>1611</v>
      </c>
      <c r="H118" s="140" t="str">
        <f t="shared" si="27"/>
        <v>1.2.1/E058-G1054/1/21115-0110/1/1611  Prev de carat labora</v>
      </c>
      <c r="I118" s="448" t="s">
        <v>2104</v>
      </c>
      <c r="J118" s="924">
        <f t="shared" si="15"/>
        <v>219377.23</v>
      </c>
      <c r="K118" s="924">
        <f t="shared" si="16"/>
        <v>-219377.22999999998</v>
      </c>
      <c r="L118" s="924">
        <f t="shared" si="17"/>
        <v>0</v>
      </c>
      <c r="M118" s="924">
        <f t="shared" si="18"/>
        <v>0</v>
      </c>
      <c r="N118" s="924">
        <f t="shared" si="19"/>
        <v>0</v>
      </c>
      <c r="O118" s="924">
        <f t="shared" si="20"/>
        <v>0</v>
      </c>
      <c r="P118" s="924">
        <f t="shared" si="21"/>
        <v>0</v>
      </c>
      <c r="Q118" s="924"/>
      <c r="R118" s="448" t="s">
        <v>2104</v>
      </c>
      <c r="S118" s="449">
        <v>219377.23</v>
      </c>
      <c r="T118" s="449">
        <v>136064</v>
      </c>
      <c r="U118" s="449">
        <v>-355441.23</v>
      </c>
      <c r="V118" s="449">
        <v>0</v>
      </c>
      <c r="W118" s="450">
        <v>0</v>
      </c>
      <c r="X118" s="450">
        <v>0</v>
      </c>
      <c r="Y118" s="449">
        <v>0</v>
      </c>
      <c r="Z118" s="449">
        <v>0</v>
      </c>
      <c r="AA118" s="450">
        <v>0</v>
      </c>
      <c r="AB118" s="449">
        <v>0</v>
      </c>
      <c r="AC118" s="449">
        <v>0</v>
      </c>
      <c r="AD118" s="449">
        <v>0</v>
      </c>
      <c r="AE118" s="449">
        <v>0</v>
      </c>
      <c r="AF118" s="449">
        <v>0</v>
      </c>
    </row>
    <row r="119" spans="1:32" ht="15">
      <c r="A119" s="140" t="str">
        <f t="shared" si="14"/>
        <v>E058</v>
      </c>
      <c r="B119" s="140" t="str">
        <f t="shared" si="22"/>
        <v>1.2.1</v>
      </c>
      <c r="C119" s="140" t="str">
        <f t="shared" si="23"/>
        <v>E058-G1054</v>
      </c>
      <c r="D119" s="140">
        <v>1</v>
      </c>
      <c r="E119" s="140" t="str">
        <f t="shared" si="24"/>
        <v>21115-0110</v>
      </c>
      <c r="F119" s="140" t="str">
        <f t="shared" si="25"/>
        <v>1</v>
      </c>
      <c r="G119" s="140" t="str">
        <f t="shared" si="26"/>
        <v>1711</v>
      </c>
      <c r="H119" s="140" t="str">
        <f t="shared" si="27"/>
        <v>1.2.1/E058-G1054/1/21115-0110/1/1711  Estím Productividad</v>
      </c>
      <c r="I119" s="448" t="s">
        <v>2105</v>
      </c>
      <c r="J119" s="924">
        <f t="shared" si="15"/>
        <v>62305.51</v>
      </c>
      <c r="K119" s="925">
        <f t="shared" si="16"/>
        <v>-28891.200000000012</v>
      </c>
      <c r="L119" s="925">
        <f t="shared" si="17"/>
        <v>33414.31</v>
      </c>
      <c r="M119" s="924">
        <f t="shared" si="18"/>
        <v>33414.31</v>
      </c>
      <c r="N119" s="924">
        <f t="shared" si="19"/>
        <v>33414.31</v>
      </c>
      <c r="O119" s="924">
        <f t="shared" si="20"/>
        <v>33414.31</v>
      </c>
      <c r="P119" s="924">
        <f t="shared" si="21"/>
        <v>33414.31</v>
      </c>
      <c r="Q119" s="924"/>
      <c r="R119" s="448" t="s">
        <v>2105</v>
      </c>
      <c r="S119" s="449">
        <v>62305.51</v>
      </c>
      <c r="T119" s="449">
        <v>106058.81</v>
      </c>
      <c r="U119" s="449">
        <v>-134950.01</v>
      </c>
      <c r="V119" s="449">
        <v>33414.31</v>
      </c>
      <c r="W119" s="449">
        <v>0</v>
      </c>
      <c r="X119" s="449">
        <v>33414.31</v>
      </c>
      <c r="Y119" s="449">
        <v>33414.31</v>
      </c>
      <c r="Z119" s="449">
        <v>100</v>
      </c>
      <c r="AA119" s="449">
        <v>0</v>
      </c>
      <c r="AB119" s="449">
        <v>0</v>
      </c>
      <c r="AC119" s="449">
        <v>33414.31</v>
      </c>
      <c r="AD119" s="449">
        <v>100</v>
      </c>
      <c r="AE119" s="449">
        <v>0</v>
      </c>
      <c r="AF119" s="449">
        <v>0</v>
      </c>
    </row>
    <row r="120" spans="1:32" ht="15">
      <c r="A120" s="140" t="str">
        <f t="shared" si="14"/>
        <v>E058</v>
      </c>
      <c r="B120" s="140" t="str">
        <f t="shared" si="22"/>
        <v>1.2.1</v>
      </c>
      <c r="C120" s="140" t="str">
        <f t="shared" si="23"/>
        <v>E058-G1054</v>
      </c>
      <c r="D120" s="140">
        <v>1</v>
      </c>
      <c r="E120" s="140" t="str">
        <f t="shared" si="24"/>
        <v>21115-0110</v>
      </c>
      <c r="F120" s="140" t="str">
        <f t="shared" si="25"/>
        <v>1</v>
      </c>
      <c r="G120" s="140" t="str">
        <f t="shared" si="26"/>
        <v>2111</v>
      </c>
      <c r="H120" s="140" t="str">
        <f t="shared" si="27"/>
        <v>1.2.1/E058-G1054/1/21115-0110/1/2111  Materiales y útiles de oficina</v>
      </c>
      <c r="I120" s="448" t="s">
        <v>2107</v>
      </c>
      <c r="J120" s="924">
        <f t="shared" si="15"/>
        <v>87369.63</v>
      </c>
      <c r="K120" s="925">
        <f t="shared" si="16"/>
        <v>-87369.63</v>
      </c>
      <c r="L120" s="925">
        <f t="shared" si="17"/>
        <v>0</v>
      </c>
      <c r="M120" s="924">
        <f t="shared" si="18"/>
        <v>0</v>
      </c>
      <c r="N120" s="924">
        <f t="shared" si="19"/>
        <v>0</v>
      </c>
      <c r="O120" s="924">
        <f t="shared" si="20"/>
        <v>0</v>
      </c>
      <c r="P120" s="924">
        <f t="shared" si="21"/>
        <v>0</v>
      </c>
      <c r="Q120" s="924"/>
      <c r="R120" s="448" t="s">
        <v>2107</v>
      </c>
      <c r="S120" s="449">
        <v>87369.63</v>
      </c>
      <c r="T120" s="449">
        <v>87369.63</v>
      </c>
      <c r="U120" s="449">
        <v>-174739.26</v>
      </c>
      <c r="V120" s="449">
        <v>0</v>
      </c>
      <c r="W120" s="450">
        <v>0</v>
      </c>
      <c r="X120" s="450">
        <v>0</v>
      </c>
      <c r="Y120" s="449">
        <v>0</v>
      </c>
      <c r="Z120" s="449">
        <v>0</v>
      </c>
      <c r="AA120" s="450">
        <v>0</v>
      </c>
      <c r="AB120" s="449">
        <v>0</v>
      </c>
      <c r="AC120" s="449">
        <v>0</v>
      </c>
      <c r="AD120" s="449">
        <v>0</v>
      </c>
      <c r="AE120" s="449">
        <v>0</v>
      </c>
      <c r="AF120" s="449">
        <v>0</v>
      </c>
    </row>
    <row r="121" spans="1:32" ht="15">
      <c r="A121" s="140" t="str">
        <f t="shared" si="14"/>
        <v>E058</v>
      </c>
      <c r="B121" s="140" t="str">
        <f t="shared" si="22"/>
        <v>1.2.1</v>
      </c>
      <c r="C121" s="140" t="str">
        <f t="shared" si="23"/>
        <v>E058-G1054</v>
      </c>
      <c r="D121" s="140">
        <v>1</v>
      </c>
      <c r="E121" s="140" t="str">
        <f t="shared" si="24"/>
        <v>21115-0110</v>
      </c>
      <c r="F121" s="140" t="str">
        <f t="shared" si="25"/>
        <v>1</v>
      </c>
      <c r="G121" s="140" t="str">
        <f t="shared" si="26"/>
        <v>2611</v>
      </c>
      <c r="H121" s="140" t="str">
        <f t="shared" si="27"/>
        <v>1.2.1/E058-G1054/1/21115-0110/1/2611  Combus p Seg pub</v>
      </c>
      <c r="I121" s="448" t="s">
        <v>2982</v>
      </c>
      <c r="J121" s="924">
        <f t="shared" si="15"/>
        <v>0</v>
      </c>
      <c r="K121" s="924">
        <f t="shared" si="16"/>
        <v>0</v>
      </c>
      <c r="L121" s="925">
        <f t="shared" si="17"/>
        <v>0</v>
      </c>
      <c r="M121" s="924">
        <f t="shared" si="18"/>
        <v>0</v>
      </c>
      <c r="N121" s="925">
        <f t="shared" si="19"/>
        <v>0</v>
      </c>
      <c r="O121" s="925">
        <f t="shared" si="20"/>
        <v>0</v>
      </c>
      <c r="P121" s="924">
        <f t="shared" si="21"/>
        <v>0</v>
      </c>
      <c r="Q121" s="924"/>
      <c r="R121" s="448" t="s">
        <v>2982</v>
      </c>
      <c r="S121" s="449">
        <v>0</v>
      </c>
      <c r="T121" s="449">
        <v>28658.55</v>
      </c>
      <c r="U121" s="449">
        <v>-28658.55</v>
      </c>
      <c r="V121" s="449">
        <v>0</v>
      </c>
      <c r="W121" s="450">
        <v>0</v>
      </c>
      <c r="X121" s="450">
        <v>0</v>
      </c>
      <c r="Y121" s="449">
        <v>0</v>
      </c>
      <c r="Z121" s="449">
        <v>0</v>
      </c>
      <c r="AA121" s="450">
        <v>0</v>
      </c>
      <c r="AB121" s="449">
        <v>0</v>
      </c>
      <c r="AC121" s="449">
        <v>0</v>
      </c>
      <c r="AD121" s="449">
        <v>0</v>
      </c>
      <c r="AE121" s="449">
        <v>0</v>
      </c>
      <c r="AF121" s="449">
        <v>0</v>
      </c>
    </row>
    <row r="122" spans="1:32" ht="15">
      <c r="A122" s="140" t="str">
        <f t="shared" si="14"/>
        <v>E058</v>
      </c>
      <c r="B122" s="140" t="str">
        <f t="shared" si="22"/>
        <v>1.2.1</v>
      </c>
      <c r="C122" s="140" t="str">
        <f t="shared" si="23"/>
        <v>E058-G1054</v>
      </c>
      <c r="D122" s="140">
        <v>1</v>
      </c>
      <c r="E122" s="140" t="str">
        <f t="shared" si="24"/>
        <v>21115-0110</v>
      </c>
      <c r="F122" s="140" t="str">
        <f t="shared" si="25"/>
        <v>1</v>
      </c>
      <c r="G122" s="140" t="str">
        <f t="shared" si="26"/>
        <v>2612</v>
      </c>
      <c r="H122" s="140" t="str">
        <f t="shared" si="27"/>
        <v>1.2.1/E058-G1054/1/21115-0110/1/2612  Combus p Serv pub</v>
      </c>
      <c r="I122" s="448" t="s">
        <v>2118</v>
      </c>
      <c r="J122" s="924">
        <f t="shared" si="15"/>
        <v>31263.87</v>
      </c>
      <c r="K122" s="924">
        <f t="shared" si="16"/>
        <v>-18343.190000000002</v>
      </c>
      <c r="L122" s="925">
        <f t="shared" si="17"/>
        <v>12920.68</v>
      </c>
      <c r="M122" s="924">
        <f t="shared" si="18"/>
        <v>12920.68</v>
      </c>
      <c r="N122" s="925">
        <f t="shared" si="19"/>
        <v>12920.68</v>
      </c>
      <c r="O122" s="925">
        <f t="shared" si="20"/>
        <v>12920.68</v>
      </c>
      <c r="P122" s="924">
        <f t="shared" si="21"/>
        <v>12920.68</v>
      </c>
      <c r="Q122" s="924"/>
      <c r="R122" s="448" t="s">
        <v>2118</v>
      </c>
      <c r="S122" s="449">
        <v>31263.87</v>
      </c>
      <c r="T122" s="449">
        <v>31221.14</v>
      </c>
      <c r="U122" s="449">
        <v>-49564.33</v>
      </c>
      <c r="V122" s="449">
        <v>12920.68</v>
      </c>
      <c r="W122" s="449">
        <v>0</v>
      </c>
      <c r="X122" s="449">
        <v>12920.68</v>
      </c>
      <c r="Y122" s="449">
        <v>12920.68</v>
      </c>
      <c r="Z122" s="449">
        <v>100</v>
      </c>
      <c r="AA122" s="449">
        <v>0</v>
      </c>
      <c r="AB122" s="449">
        <v>0</v>
      </c>
      <c r="AC122" s="449">
        <v>12920.68</v>
      </c>
      <c r="AD122" s="449">
        <v>100</v>
      </c>
      <c r="AE122" s="449">
        <v>0</v>
      </c>
      <c r="AF122" s="449">
        <v>0</v>
      </c>
    </row>
    <row r="123" spans="1:32" ht="15">
      <c r="A123" s="140" t="str">
        <f t="shared" si="14"/>
        <v>E058</v>
      </c>
      <c r="B123" s="140" t="str">
        <f t="shared" si="22"/>
        <v>1.2.1</v>
      </c>
      <c r="C123" s="140" t="str">
        <f t="shared" si="23"/>
        <v>E058-G1054</v>
      </c>
      <c r="D123" s="140">
        <v>1</v>
      </c>
      <c r="E123" s="140" t="str">
        <f t="shared" si="24"/>
        <v>21115-0110</v>
      </c>
      <c r="F123" s="140" t="str">
        <f t="shared" si="25"/>
        <v>1</v>
      </c>
      <c r="G123" s="140" t="str">
        <f t="shared" si="26"/>
        <v>3341</v>
      </c>
      <c r="H123" s="140" t="str">
        <f t="shared" si="27"/>
        <v>1.2.1/E058-G1054/1/21115-0110/1/3341  Servicios de capacitación</v>
      </c>
      <c r="I123" s="448" t="s">
        <v>2136</v>
      </c>
      <c r="J123" s="924">
        <f t="shared" si="15"/>
        <v>774526.27</v>
      </c>
      <c r="K123" s="924">
        <f t="shared" si="16"/>
        <v>784682.34000000008</v>
      </c>
      <c r="L123" s="925">
        <f t="shared" si="17"/>
        <v>1559208.61</v>
      </c>
      <c r="M123" s="924">
        <f t="shared" si="18"/>
        <v>1559208.61</v>
      </c>
      <c r="N123" s="924">
        <f t="shared" si="19"/>
        <v>1559208.61</v>
      </c>
      <c r="O123" s="924">
        <f t="shared" si="20"/>
        <v>1559208.61</v>
      </c>
      <c r="P123" s="924">
        <f t="shared" si="21"/>
        <v>1559208.61</v>
      </c>
      <c r="Q123" s="924"/>
      <c r="R123" s="448" t="s">
        <v>2136</v>
      </c>
      <c r="S123" s="449">
        <v>774526.27</v>
      </c>
      <c r="T123" s="449">
        <v>1624951.58</v>
      </c>
      <c r="U123" s="449">
        <v>-840269.24</v>
      </c>
      <c r="V123" s="449">
        <v>1559208.61</v>
      </c>
      <c r="W123" s="449">
        <v>0</v>
      </c>
      <c r="X123" s="449">
        <v>1559208.61</v>
      </c>
      <c r="Y123" s="449">
        <v>1559208.61</v>
      </c>
      <c r="Z123" s="449">
        <v>100</v>
      </c>
      <c r="AA123" s="449">
        <v>0</v>
      </c>
      <c r="AB123" s="449">
        <v>0</v>
      </c>
      <c r="AC123" s="449">
        <v>1559208.61</v>
      </c>
      <c r="AD123" s="449">
        <v>100</v>
      </c>
      <c r="AE123" s="449">
        <v>0</v>
      </c>
      <c r="AF123" s="449">
        <v>0</v>
      </c>
    </row>
    <row r="124" spans="1:32" ht="15">
      <c r="A124" s="140" t="str">
        <f t="shared" si="14"/>
        <v>E058</v>
      </c>
      <c r="B124" s="140" t="str">
        <f t="shared" ref="B124:B187" si="28">IF((LEFT($I124,5))="**** ",MID($I124,7,5),+B123)</f>
        <v>1.2.1</v>
      </c>
      <c r="C124" s="140" t="str">
        <f t="shared" si="23"/>
        <v>E058-G1054</v>
      </c>
      <c r="D124" s="140">
        <v>1</v>
      </c>
      <c r="E124" s="140" t="str">
        <f t="shared" si="24"/>
        <v>21115-0110</v>
      </c>
      <c r="F124" s="140" t="str">
        <f t="shared" si="25"/>
        <v>1</v>
      </c>
      <c r="G124" s="140" t="str">
        <f t="shared" si="26"/>
        <v>3551</v>
      </c>
      <c r="H124" s="140" t="str">
        <f t="shared" si="27"/>
        <v>1.2.1/E058-G1054/1/21115-0110/1/3551  Mantto Vehíc</v>
      </c>
      <c r="I124" s="448" t="s">
        <v>2147</v>
      </c>
      <c r="J124" s="924">
        <f t="shared" si="15"/>
        <v>19356.169999999998</v>
      </c>
      <c r="K124" s="924">
        <f t="shared" si="16"/>
        <v>-13092.559999999998</v>
      </c>
      <c r="L124" s="924">
        <f t="shared" si="17"/>
        <v>6263.61</v>
      </c>
      <c r="M124" s="924">
        <f t="shared" si="18"/>
        <v>6263.61</v>
      </c>
      <c r="N124" s="924">
        <f t="shared" si="19"/>
        <v>6263.61</v>
      </c>
      <c r="O124" s="924">
        <f t="shared" si="20"/>
        <v>6263.61</v>
      </c>
      <c r="P124" s="924">
        <f t="shared" si="21"/>
        <v>6263.61</v>
      </c>
      <c r="Q124" s="924"/>
      <c r="R124" s="448" t="s">
        <v>2147</v>
      </c>
      <c r="S124" s="449">
        <v>19356.169999999998</v>
      </c>
      <c r="T124" s="449">
        <v>24461.79</v>
      </c>
      <c r="U124" s="449">
        <v>-37554.35</v>
      </c>
      <c r="V124" s="449">
        <v>6263.61</v>
      </c>
      <c r="W124" s="449">
        <v>0</v>
      </c>
      <c r="X124" s="449">
        <v>6263.61</v>
      </c>
      <c r="Y124" s="449">
        <v>6263.61</v>
      </c>
      <c r="Z124" s="449">
        <v>100</v>
      </c>
      <c r="AA124" s="450">
        <v>0</v>
      </c>
      <c r="AB124" s="449">
        <v>0</v>
      </c>
      <c r="AC124" s="449">
        <v>6263.61</v>
      </c>
      <c r="AD124" s="449">
        <v>100</v>
      </c>
      <c r="AE124" s="449">
        <v>0</v>
      </c>
      <c r="AF124" s="449">
        <v>0</v>
      </c>
    </row>
    <row r="125" spans="1:32" ht="15">
      <c r="A125" s="140" t="str">
        <f t="shared" si="14"/>
        <v>E058</v>
      </c>
      <c r="B125" s="140" t="str">
        <f t="shared" si="28"/>
        <v>1.2.1</v>
      </c>
      <c r="C125" s="140" t="str">
        <f t="shared" si="23"/>
        <v>E058-G1054</v>
      </c>
      <c r="D125" s="140">
        <v>1</v>
      </c>
      <c r="E125" s="140" t="str">
        <f t="shared" si="24"/>
        <v>21115-0110</v>
      </c>
      <c r="F125" s="140" t="str">
        <f t="shared" si="25"/>
        <v>1</v>
      </c>
      <c r="G125" s="140" t="str">
        <f t="shared" si="26"/>
        <v>3721</v>
      </c>
      <c r="H125" s="140" t="str">
        <f t="shared" si="27"/>
        <v>1.2.1/E058-G1054/1/21115-0110/1/3721  Pasajes terr Nac</v>
      </c>
      <c r="I125" s="448" t="s">
        <v>2156</v>
      </c>
      <c r="J125" s="924">
        <f t="shared" si="15"/>
        <v>5546.8</v>
      </c>
      <c r="K125" s="925">
        <f t="shared" si="16"/>
        <v>-5546.8</v>
      </c>
      <c r="L125" s="925">
        <f t="shared" si="17"/>
        <v>0</v>
      </c>
      <c r="M125" s="924">
        <f t="shared" si="18"/>
        <v>0</v>
      </c>
      <c r="N125" s="925">
        <f t="shared" si="19"/>
        <v>0</v>
      </c>
      <c r="O125" s="925">
        <f t="shared" si="20"/>
        <v>0</v>
      </c>
      <c r="P125" s="924">
        <f t="shared" si="21"/>
        <v>0</v>
      </c>
      <c r="Q125" s="924"/>
      <c r="R125" s="448" t="s">
        <v>2156</v>
      </c>
      <c r="S125" s="449">
        <v>5546.8</v>
      </c>
      <c r="T125" s="449">
        <v>7546.8</v>
      </c>
      <c r="U125" s="449">
        <v>-13093.6</v>
      </c>
      <c r="V125" s="449">
        <v>0</v>
      </c>
      <c r="W125" s="450">
        <v>0</v>
      </c>
      <c r="X125" s="450">
        <v>0</v>
      </c>
      <c r="Y125" s="449">
        <v>0</v>
      </c>
      <c r="Z125" s="449">
        <v>0</v>
      </c>
      <c r="AA125" s="450">
        <v>0</v>
      </c>
      <c r="AB125" s="449">
        <v>0</v>
      </c>
      <c r="AC125" s="449">
        <v>0</v>
      </c>
      <c r="AD125" s="449">
        <v>0</v>
      </c>
      <c r="AE125" s="449">
        <v>0</v>
      </c>
      <c r="AF125" s="449">
        <v>0</v>
      </c>
    </row>
    <row r="126" spans="1:32" ht="15">
      <c r="A126" s="140" t="str">
        <f t="shared" si="14"/>
        <v>E058</v>
      </c>
      <c r="B126" s="140" t="str">
        <f t="shared" si="28"/>
        <v>1.2.1</v>
      </c>
      <c r="C126" s="140" t="str">
        <f t="shared" si="23"/>
        <v>E058-G1054</v>
      </c>
      <c r="D126" s="140">
        <v>1</v>
      </c>
      <c r="E126" s="140" t="str">
        <f t="shared" si="24"/>
        <v>21115-0110</v>
      </c>
      <c r="F126" s="140" t="str">
        <f t="shared" si="25"/>
        <v>1</v>
      </c>
      <c r="G126" s="140" t="str">
        <f t="shared" si="26"/>
        <v>3751</v>
      </c>
      <c r="H126" s="140" t="str">
        <f t="shared" si="27"/>
        <v>1.2.1/E058-G1054/1/21115-0110/1/3751  Viáticos nacionales</v>
      </c>
      <c r="I126" s="448" t="s">
        <v>2157</v>
      </c>
      <c r="J126" s="924">
        <f t="shared" si="15"/>
        <v>5914.6</v>
      </c>
      <c r="K126" s="924">
        <f t="shared" si="16"/>
        <v>-5914.6</v>
      </c>
      <c r="L126" s="925">
        <f t="shared" si="17"/>
        <v>0</v>
      </c>
      <c r="M126" s="924">
        <f t="shared" si="18"/>
        <v>0</v>
      </c>
      <c r="N126" s="924">
        <f t="shared" si="19"/>
        <v>0</v>
      </c>
      <c r="O126" s="924">
        <f t="shared" si="20"/>
        <v>0</v>
      </c>
      <c r="P126" s="924">
        <f t="shared" si="21"/>
        <v>0</v>
      </c>
      <c r="Q126" s="924"/>
      <c r="R126" s="448" t="s">
        <v>2157</v>
      </c>
      <c r="S126" s="449">
        <v>5914.6</v>
      </c>
      <c r="T126" s="449">
        <v>5914.6</v>
      </c>
      <c r="U126" s="449">
        <v>-11829.2</v>
      </c>
      <c r="V126" s="449">
        <v>0</v>
      </c>
      <c r="W126" s="450">
        <v>0</v>
      </c>
      <c r="X126" s="450">
        <v>0</v>
      </c>
      <c r="Y126" s="449">
        <v>0</v>
      </c>
      <c r="Z126" s="449">
        <v>0</v>
      </c>
      <c r="AA126" s="450">
        <v>0</v>
      </c>
      <c r="AB126" s="449">
        <v>0</v>
      </c>
      <c r="AC126" s="449">
        <v>0</v>
      </c>
      <c r="AD126" s="449">
        <v>0</v>
      </c>
      <c r="AE126" s="449">
        <v>0</v>
      </c>
      <c r="AF126" s="449">
        <v>0</v>
      </c>
    </row>
    <row r="127" spans="1:32" ht="15">
      <c r="A127" s="140" t="str">
        <f t="shared" si="14"/>
        <v>E058</v>
      </c>
      <c r="B127" s="140" t="str">
        <f t="shared" si="28"/>
        <v>1.2.1</v>
      </c>
      <c r="C127" s="140" t="str">
        <f t="shared" si="23"/>
        <v>E058-G1054</v>
      </c>
      <c r="D127" s="140">
        <v>1</v>
      </c>
      <c r="E127" s="140" t="str">
        <f t="shared" si="24"/>
        <v>21115-0110</v>
      </c>
      <c r="F127" s="140" t="str">
        <f t="shared" si="25"/>
        <v>1</v>
      </c>
      <c r="G127" s="140" t="str">
        <f t="shared" si="26"/>
        <v>3921</v>
      </c>
      <c r="H127" s="140" t="str">
        <f t="shared" si="27"/>
        <v>1.2.1/E058-G1054/1/21115-0110/1/3921  Otros impuestos y derechos</v>
      </c>
      <c r="I127" s="448" t="s">
        <v>2161</v>
      </c>
      <c r="J127" s="924">
        <f t="shared" si="15"/>
        <v>0</v>
      </c>
      <c r="K127" s="924">
        <f t="shared" si="16"/>
        <v>0</v>
      </c>
      <c r="L127" s="925">
        <f t="shared" si="17"/>
        <v>0</v>
      </c>
      <c r="M127" s="924">
        <f t="shared" si="18"/>
        <v>0</v>
      </c>
      <c r="N127" s="924">
        <f t="shared" si="19"/>
        <v>0</v>
      </c>
      <c r="O127" s="924">
        <f t="shared" si="20"/>
        <v>0</v>
      </c>
      <c r="P127" s="924">
        <f t="shared" si="21"/>
        <v>0</v>
      </c>
      <c r="Q127" s="924"/>
      <c r="R127" s="448" t="s">
        <v>2161</v>
      </c>
      <c r="S127" s="450">
        <v>0</v>
      </c>
      <c r="T127" s="449">
        <v>5000</v>
      </c>
      <c r="U127" s="449">
        <v>-5000</v>
      </c>
      <c r="V127" s="449">
        <v>0</v>
      </c>
      <c r="W127" s="450">
        <v>0</v>
      </c>
      <c r="X127" s="450">
        <v>0</v>
      </c>
      <c r="Y127" s="449">
        <v>0</v>
      </c>
      <c r="Z127" s="449">
        <v>0</v>
      </c>
      <c r="AA127" s="450">
        <v>0</v>
      </c>
      <c r="AB127" s="449">
        <v>0</v>
      </c>
      <c r="AC127" s="449">
        <v>0</v>
      </c>
      <c r="AD127" s="449">
        <v>0</v>
      </c>
      <c r="AE127" s="449">
        <v>0</v>
      </c>
      <c r="AF127" s="449">
        <v>0</v>
      </c>
    </row>
    <row r="128" spans="1:32" ht="15">
      <c r="A128" s="140" t="str">
        <f t="shared" si="14"/>
        <v>E058</v>
      </c>
      <c r="B128" s="140" t="str">
        <f t="shared" si="28"/>
        <v>1.2.1</v>
      </c>
      <c r="C128" s="140" t="str">
        <f t="shared" si="23"/>
        <v>E058-G1054</v>
      </c>
      <c r="D128" s="140">
        <v>1</v>
      </c>
      <c r="E128" s="140" t="str">
        <f t="shared" si="24"/>
        <v>21115-0110</v>
      </c>
      <c r="F128" s="140" t="str">
        <f t="shared" si="25"/>
        <v>1</v>
      </c>
      <c r="G128" s="140" t="str">
        <f t="shared" si="26"/>
        <v>3981</v>
      </c>
      <c r="H128" s="140" t="str">
        <f t="shared" si="27"/>
        <v>1.2.1/E058-G1054/1/21115-0110/1/3981  Impuesto sobre nóminas</v>
      </c>
      <c r="I128" s="448" t="s">
        <v>2162</v>
      </c>
      <c r="J128" s="924">
        <f t="shared" si="15"/>
        <v>35696.1</v>
      </c>
      <c r="K128" s="925">
        <f t="shared" si="16"/>
        <v>8303.5999999999985</v>
      </c>
      <c r="L128" s="925">
        <f t="shared" si="17"/>
        <v>43999.7</v>
      </c>
      <c r="M128" s="924">
        <f t="shared" si="18"/>
        <v>43999.7</v>
      </c>
      <c r="N128" s="925">
        <f t="shared" si="19"/>
        <v>43999.7</v>
      </c>
      <c r="O128" s="925">
        <f t="shared" si="20"/>
        <v>43999.7</v>
      </c>
      <c r="P128" s="924">
        <f t="shared" si="21"/>
        <v>43999.7</v>
      </c>
      <c r="Q128" s="924"/>
      <c r="R128" s="448" t="s">
        <v>2162</v>
      </c>
      <c r="S128" s="449">
        <v>35696.1</v>
      </c>
      <c r="T128" s="449">
        <v>28167.59</v>
      </c>
      <c r="U128" s="449">
        <v>-19863.990000000002</v>
      </c>
      <c r="V128" s="449">
        <v>43999.7</v>
      </c>
      <c r="W128" s="449">
        <v>0</v>
      </c>
      <c r="X128" s="449">
        <v>43999.7</v>
      </c>
      <c r="Y128" s="449">
        <v>43999.7</v>
      </c>
      <c r="Z128" s="449">
        <v>100</v>
      </c>
      <c r="AA128" s="449">
        <v>0</v>
      </c>
      <c r="AB128" s="449">
        <v>0</v>
      </c>
      <c r="AC128" s="449">
        <v>43999.7</v>
      </c>
      <c r="AD128" s="449">
        <v>100</v>
      </c>
      <c r="AE128" s="449">
        <v>0</v>
      </c>
      <c r="AF128" s="449">
        <v>0</v>
      </c>
    </row>
    <row r="129" spans="1:32" ht="15">
      <c r="A129" s="140" t="str">
        <f t="shared" si="14"/>
        <v>E058</v>
      </c>
      <c r="B129" s="140" t="str">
        <f t="shared" si="28"/>
        <v>1.2.1</v>
      </c>
      <c r="C129" s="140" t="str">
        <f t="shared" si="23"/>
        <v>E058-G1054</v>
      </c>
      <c r="D129" s="140">
        <v>1</v>
      </c>
      <c r="E129" s="140" t="str">
        <f t="shared" si="24"/>
        <v>21115-0110</v>
      </c>
      <c r="F129" s="140" t="str">
        <f t="shared" si="25"/>
        <v>2</v>
      </c>
      <c r="G129" s="140" t="str">
        <f t="shared" si="26"/>
        <v>5111</v>
      </c>
      <c r="H129" s="140" t="str">
        <f t="shared" si="27"/>
        <v>1.2.1/E058-G1054/1/21115-0110/2/5111  Muebles de oficina</v>
      </c>
      <c r="I129" s="448" t="s">
        <v>2163</v>
      </c>
      <c r="J129" s="924">
        <f t="shared" si="15"/>
        <v>29261.25</v>
      </c>
      <c r="K129" s="924">
        <f t="shared" si="16"/>
        <v>-29261.25</v>
      </c>
      <c r="L129" s="925">
        <f t="shared" si="17"/>
        <v>0</v>
      </c>
      <c r="M129" s="924">
        <f t="shared" si="18"/>
        <v>0</v>
      </c>
      <c r="N129" s="925">
        <f t="shared" si="19"/>
        <v>0</v>
      </c>
      <c r="O129" s="925">
        <f t="shared" si="20"/>
        <v>0</v>
      </c>
      <c r="P129" s="924">
        <f t="shared" si="21"/>
        <v>0</v>
      </c>
      <c r="Q129" s="924"/>
      <c r="R129" s="448" t="s">
        <v>2163</v>
      </c>
      <c r="S129" s="449">
        <v>29261.25</v>
      </c>
      <c r="T129" s="449">
        <v>58522.5</v>
      </c>
      <c r="U129" s="449">
        <v>-87783.75</v>
      </c>
      <c r="V129" s="449">
        <v>0</v>
      </c>
      <c r="W129" s="450">
        <v>0</v>
      </c>
      <c r="X129" s="450">
        <v>0</v>
      </c>
      <c r="Y129" s="449">
        <v>0</v>
      </c>
      <c r="Z129" s="449">
        <v>0</v>
      </c>
      <c r="AA129" s="450">
        <v>0</v>
      </c>
      <c r="AB129" s="449">
        <v>0</v>
      </c>
      <c r="AC129" s="449">
        <v>0</v>
      </c>
      <c r="AD129" s="449">
        <v>0</v>
      </c>
      <c r="AE129" s="449">
        <v>0</v>
      </c>
      <c r="AF129" s="449">
        <v>0</v>
      </c>
    </row>
    <row r="130" spans="1:32" ht="15">
      <c r="A130" s="140" t="str">
        <f t="shared" si="14"/>
        <v>E058</v>
      </c>
      <c r="B130" s="140" t="str">
        <f t="shared" si="28"/>
        <v>1.2.1</v>
      </c>
      <c r="C130" s="140" t="str">
        <f t="shared" si="23"/>
        <v>E058-G1054</v>
      </c>
      <c r="D130" s="140">
        <v>1</v>
      </c>
      <c r="E130" s="140" t="str">
        <f t="shared" si="24"/>
        <v>21115-0110</v>
      </c>
      <c r="F130" s="140" t="str">
        <f t="shared" si="25"/>
        <v>2</v>
      </c>
      <c r="G130" s="140" t="str">
        <f t="shared" si="26"/>
        <v>5151</v>
      </c>
      <c r="H130" s="140" t="str">
        <f t="shared" si="27"/>
        <v>1.2.1/E058-G1054/1/21115-0110/2/5151  Computadoras</v>
      </c>
      <c r="I130" s="448" t="s">
        <v>2164</v>
      </c>
      <c r="J130" s="924">
        <f t="shared" si="15"/>
        <v>0</v>
      </c>
      <c r="K130" s="924">
        <f t="shared" si="16"/>
        <v>9048</v>
      </c>
      <c r="L130" s="925">
        <f t="shared" si="17"/>
        <v>9048</v>
      </c>
      <c r="M130" s="924">
        <f t="shared" si="18"/>
        <v>9048</v>
      </c>
      <c r="N130" s="925">
        <f t="shared" si="19"/>
        <v>9048</v>
      </c>
      <c r="O130" s="925">
        <f t="shared" si="20"/>
        <v>9048</v>
      </c>
      <c r="P130" s="924">
        <f t="shared" si="21"/>
        <v>9048</v>
      </c>
      <c r="Q130" s="924"/>
      <c r="R130" s="448" t="s">
        <v>2164</v>
      </c>
      <c r="S130" s="450">
        <v>0</v>
      </c>
      <c r="T130" s="449">
        <v>9048</v>
      </c>
      <c r="U130" s="450">
        <v>0</v>
      </c>
      <c r="V130" s="449">
        <v>9048</v>
      </c>
      <c r="W130" s="449">
        <v>0</v>
      </c>
      <c r="X130" s="449">
        <v>9048</v>
      </c>
      <c r="Y130" s="449">
        <v>9048</v>
      </c>
      <c r="Z130" s="449">
        <v>100</v>
      </c>
      <c r="AA130" s="450">
        <v>0</v>
      </c>
      <c r="AB130" s="449">
        <v>0</v>
      </c>
      <c r="AC130" s="449">
        <v>9048</v>
      </c>
      <c r="AD130" s="449">
        <v>100</v>
      </c>
      <c r="AE130" s="449">
        <v>0</v>
      </c>
      <c r="AF130" s="449">
        <v>0</v>
      </c>
    </row>
    <row r="131" spans="1:32" ht="15" hidden="1">
      <c r="A131" s="140" t="str">
        <f t="shared" ref="A131:A194" si="29">IF((LEFT($I131,6))="***** ","E001",+A130)</f>
        <v>E058</v>
      </c>
      <c r="B131" s="140" t="str">
        <f t="shared" si="28"/>
        <v>1.2.1</v>
      </c>
      <c r="C131" s="140" t="str">
        <f t="shared" si="23"/>
        <v>E058-G1054</v>
      </c>
      <c r="D131" s="140">
        <v>1</v>
      </c>
      <c r="E131" s="140" t="str">
        <f t="shared" si="24"/>
        <v>21115-0110</v>
      </c>
      <c r="F131" s="140" t="str">
        <f t="shared" si="25"/>
        <v>1</v>
      </c>
      <c r="G131" s="140" t="str">
        <f t="shared" si="26"/>
        <v/>
      </c>
      <c r="H131" s="140" t="str">
        <f t="shared" si="27"/>
        <v/>
      </c>
      <c r="I131" s="918" t="s">
        <v>2172</v>
      </c>
      <c r="J131" s="924">
        <f t="shared" ref="J131:J194" si="30">+S131</f>
        <v>1599803.36</v>
      </c>
      <c r="K131" s="925">
        <f t="shared" ref="K131:K194" si="31">+T131+U131</f>
        <v>-199518.66000000015</v>
      </c>
      <c r="L131" s="924">
        <f t="shared" ref="L131:L194" si="32">+V131</f>
        <v>1400284.7</v>
      </c>
      <c r="M131" s="924">
        <f t="shared" ref="M131:M194" si="33">+AA131+N131</f>
        <v>1400284.7</v>
      </c>
      <c r="N131" s="924">
        <f t="shared" ref="N131:N194" si="34">+W131+P131</f>
        <v>1400284.7</v>
      </c>
      <c r="O131" s="924">
        <f t="shared" ref="O131:O194" si="35">+W131+P131</f>
        <v>1400284.7</v>
      </c>
      <c r="P131" s="924">
        <f t="shared" ref="P131:P194" si="36">+X131</f>
        <v>1400284.7</v>
      </c>
      <c r="Q131" s="924"/>
      <c r="R131" s="918" t="s">
        <v>2172</v>
      </c>
      <c r="S131" s="919">
        <v>1599803.36</v>
      </c>
      <c r="T131" s="919">
        <v>1101524.46</v>
      </c>
      <c r="U131" s="919">
        <v>-1301043.1200000001</v>
      </c>
      <c r="V131" s="919">
        <v>1400284.7</v>
      </c>
      <c r="W131" s="919">
        <v>0</v>
      </c>
      <c r="X131" s="919">
        <v>1400284.7</v>
      </c>
      <c r="Y131" s="919">
        <v>1400284.7</v>
      </c>
      <c r="Z131" s="919">
        <v>100</v>
      </c>
      <c r="AA131" s="919">
        <v>0</v>
      </c>
      <c r="AB131" s="919">
        <v>0</v>
      </c>
      <c r="AC131" s="919">
        <v>1400284.7</v>
      </c>
      <c r="AD131" s="919">
        <v>100</v>
      </c>
      <c r="AE131" s="919">
        <v>0</v>
      </c>
      <c r="AF131" s="919">
        <v>0</v>
      </c>
    </row>
    <row r="132" spans="1:32" ht="15" hidden="1">
      <c r="A132" s="140" t="str">
        <f t="shared" si="29"/>
        <v>E058</v>
      </c>
      <c r="B132" s="140" t="str">
        <f t="shared" si="28"/>
        <v>1.2.1</v>
      </c>
      <c r="C132" s="140" t="str">
        <f t="shared" ref="C132:C195" si="37">IF((LEFT($I132,4))="*** ",A132&amp;"-"&amp;MID($I132,7,5),+C131)</f>
        <v>E058-G1057</v>
      </c>
      <c r="D132" s="140">
        <v>1</v>
      </c>
      <c r="E132" s="140" t="str">
        <f t="shared" ref="E132:E195" si="38">IF((LEFT($I132,2))="* ",MID($I132,7,10),+E131)</f>
        <v>21115-0110</v>
      </c>
      <c r="F132" s="140" t="str">
        <f t="shared" ref="F132:F195" si="39">IF((LEFT($G132,1))="5","2","1")</f>
        <v>1</v>
      </c>
      <c r="G132" s="140" t="str">
        <f t="shared" ref="G132:G195" si="40">IF((LEFT($I132,1))=" ",MID($I132,7,4),"")</f>
        <v/>
      </c>
      <c r="H132" s="140" t="str">
        <f t="shared" ref="H132:H195" si="41">IF((LEFT($I132,1))=" ",B132&amp;"/"&amp;C132&amp;"/"&amp;D132&amp;"/"&amp;E132&amp;"/"&amp;F132&amp;"/"&amp;MID($I132,7,50),"")</f>
        <v/>
      </c>
      <c r="I132" s="918" t="s">
        <v>2173</v>
      </c>
      <c r="J132" s="924">
        <f t="shared" si="30"/>
        <v>1599803.36</v>
      </c>
      <c r="K132" s="925">
        <f t="shared" si="31"/>
        <v>-199518.66000000015</v>
      </c>
      <c r="L132" s="925">
        <f t="shared" si="32"/>
        <v>1400284.7</v>
      </c>
      <c r="M132" s="924">
        <f t="shared" si="33"/>
        <v>1400284.7</v>
      </c>
      <c r="N132" s="925">
        <f t="shared" si="34"/>
        <v>1400284.7</v>
      </c>
      <c r="O132" s="925">
        <f t="shared" si="35"/>
        <v>1400284.7</v>
      </c>
      <c r="P132" s="924">
        <f t="shared" si="36"/>
        <v>1400284.7</v>
      </c>
      <c r="Q132" s="924"/>
      <c r="R132" s="918" t="s">
        <v>2173</v>
      </c>
      <c r="S132" s="919">
        <v>1599803.36</v>
      </c>
      <c r="T132" s="919">
        <v>1101524.46</v>
      </c>
      <c r="U132" s="919">
        <v>-1301043.1200000001</v>
      </c>
      <c r="V132" s="919">
        <v>1400284.7</v>
      </c>
      <c r="W132" s="919">
        <v>0</v>
      </c>
      <c r="X132" s="919">
        <v>1400284.7</v>
      </c>
      <c r="Y132" s="919">
        <v>1400284.7</v>
      </c>
      <c r="Z132" s="919">
        <v>100</v>
      </c>
      <c r="AA132" s="919">
        <v>0</v>
      </c>
      <c r="AB132" s="919">
        <v>0</v>
      </c>
      <c r="AC132" s="919">
        <v>1400284.7</v>
      </c>
      <c r="AD132" s="919">
        <v>100</v>
      </c>
      <c r="AE132" s="919">
        <v>0</v>
      </c>
      <c r="AF132" s="919">
        <v>0</v>
      </c>
    </row>
    <row r="133" spans="1:32" ht="15" hidden="1">
      <c r="A133" s="140" t="str">
        <f t="shared" si="29"/>
        <v>E058</v>
      </c>
      <c r="B133" s="140" t="str">
        <f t="shared" si="28"/>
        <v>1.2.1</v>
      </c>
      <c r="C133" s="140" t="str">
        <f t="shared" si="37"/>
        <v>E058-G1057</v>
      </c>
      <c r="D133" s="140">
        <v>1</v>
      </c>
      <c r="E133" s="140" t="str">
        <f t="shared" si="38"/>
        <v>21115-0110</v>
      </c>
      <c r="F133" s="140" t="str">
        <f t="shared" si="39"/>
        <v>1</v>
      </c>
      <c r="G133" s="140" t="str">
        <f t="shared" si="40"/>
        <v/>
      </c>
      <c r="H133" s="140" t="str">
        <f t="shared" si="41"/>
        <v/>
      </c>
      <c r="I133" s="971" t="s">
        <v>2091</v>
      </c>
      <c r="J133" s="924">
        <f t="shared" si="30"/>
        <v>1599803.36</v>
      </c>
      <c r="K133" s="925">
        <f t="shared" si="31"/>
        <v>-199518.66000000015</v>
      </c>
      <c r="L133" s="925">
        <f t="shared" si="32"/>
        <v>1400284.7</v>
      </c>
      <c r="M133" s="924">
        <f t="shared" si="33"/>
        <v>1400284.7</v>
      </c>
      <c r="N133" s="925">
        <f t="shared" si="34"/>
        <v>1400284.7</v>
      </c>
      <c r="O133" s="925">
        <f t="shared" si="35"/>
        <v>1400284.7</v>
      </c>
      <c r="P133" s="924">
        <f t="shared" si="36"/>
        <v>1400284.7</v>
      </c>
      <c r="Q133" s="924"/>
      <c r="R133" s="971" t="s">
        <v>2091</v>
      </c>
      <c r="S133" s="972">
        <v>1599803.36</v>
      </c>
      <c r="T133" s="972">
        <v>1101524.46</v>
      </c>
      <c r="U133" s="972">
        <v>-1301043.1200000001</v>
      </c>
      <c r="V133" s="972">
        <v>1400284.7</v>
      </c>
      <c r="W133" s="972">
        <v>0</v>
      </c>
      <c r="X133" s="972">
        <v>1400284.7</v>
      </c>
      <c r="Y133" s="972">
        <v>1400284.7</v>
      </c>
      <c r="Z133" s="972">
        <v>100</v>
      </c>
      <c r="AA133" s="972">
        <v>0</v>
      </c>
      <c r="AB133" s="972">
        <v>0</v>
      </c>
      <c r="AC133" s="972">
        <v>1400284.7</v>
      </c>
      <c r="AD133" s="972">
        <v>100</v>
      </c>
      <c r="AE133" s="972">
        <v>0</v>
      </c>
      <c r="AF133" s="972">
        <v>0</v>
      </c>
    </row>
    <row r="134" spans="1:32" ht="15" hidden="1">
      <c r="A134" s="140" t="str">
        <f t="shared" si="29"/>
        <v>E058</v>
      </c>
      <c r="B134" s="140" t="str">
        <f t="shared" si="28"/>
        <v>1.2.1</v>
      </c>
      <c r="C134" s="140" t="str">
        <f t="shared" si="37"/>
        <v>E058-G1057</v>
      </c>
      <c r="D134" s="140">
        <v>1</v>
      </c>
      <c r="E134" s="140" t="str">
        <f t="shared" si="38"/>
        <v>21115-0111</v>
      </c>
      <c r="F134" s="140" t="str">
        <f t="shared" si="39"/>
        <v>1</v>
      </c>
      <c r="G134" s="140" t="str">
        <f t="shared" si="40"/>
        <v/>
      </c>
      <c r="H134" s="140" t="str">
        <f t="shared" si="41"/>
        <v/>
      </c>
      <c r="I134" s="455" t="s">
        <v>2174</v>
      </c>
      <c r="J134" s="924">
        <f t="shared" si="30"/>
        <v>1599803.36</v>
      </c>
      <c r="K134" s="925">
        <f t="shared" si="31"/>
        <v>-199518.66000000015</v>
      </c>
      <c r="L134" s="925">
        <f t="shared" si="32"/>
        <v>1400284.7</v>
      </c>
      <c r="M134" s="924">
        <f t="shared" si="33"/>
        <v>1400284.7</v>
      </c>
      <c r="N134" s="924">
        <f t="shared" si="34"/>
        <v>1400284.7</v>
      </c>
      <c r="O134" s="924">
        <f t="shared" si="35"/>
        <v>1400284.7</v>
      </c>
      <c r="P134" s="924">
        <f t="shared" si="36"/>
        <v>1400284.7</v>
      </c>
      <c r="Q134" s="924"/>
      <c r="R134" s="455" t="s">
        <v>2174</v>
      </c>
      <c r="S134" s="456">
        <v>1599803.36</v>
      </c>
      <c r="T134" s="456">
        <v>1101524.46</v>
      </c>
      <c r="U134" s="456">
        <v>-1301043.1200000001</v>
      </c>
      <c r="V134" s="456">
        <v>1400284.7</v>
      </c>
      <c r="W134" s="456">
        <v>0</v>
      </c>
      <c r="X134" s="456">
        <v>1400284.7</v>
      </c>
      <c r="Y134" s="456">
        <v>1400284.7</v>
      </c>
      <c r="Z134" s="456">
        <v>100</v>
      </c>
      <c r="AA134" s="456">
        <v>0</v>
      </c>
      <c r="AB134" s="456">
        <v>0</v>
      </c>
      <c r="AC134" s="456">
        <v>1400284.7</v>
      </c>
      <c r="AD134" s="456">
        <v>100</v>
      </c>
      <c r="AE134" s="456">
        <v>0</v>
      </c>
      <c r="AF134" s="456">
        <v>0</v>
      </c>
    </row>
    <row r="135" spans="1:32" ht="15">
      <c r="A135" s="140" t="str">
        <f t="shared" si="29"/>
        <v>E058</v>
      </c>
      <c r="B135" s="140" t="str">
        <f t="shared" si="28"/>
        <v>1.2.1</v>
      </c>
      <c r="C135" s="140" t="str">
        <f t="shared" si="37"/>
        <v>E058-G1057</v>
      </c>
      <c r="D135" s="140">
        <v>1</v>
      </c>
      <c r="E135" s="140" t="str">
        <f t="shared" si="38"/>
        <v>21115-0111</v>
      </c>
      <c r="F135" s="140" t="str">
        <f t="shared" si="39"/>
        <v>1</v>
      </c>
      <c r="G135" s="140" t="str">
        <f t="shared" si="40"/>
        <v>1131</v>
      </c>
      <c r="H135" s="140" t="str">
        <f t="shared" si="41"/>
        <v>1.2.1/E058-G1057/1/21115-0111/1/1131  Sueldos Base</v>
      </c>
      <c r="I135" s="448" t="s">
        <v>2092</v>
      </c>
      <c r="J135" s="924">
        <f t="shared" si="30"/>
        <v>279601.91999999998</v>
      </c>
      <c r="K135" s="925">
        <f t="shared" si="31"/>
        <v>13467.729999999996</v>
      </c>
      <c r="L135" s="925">
        <f t="shared" si="32"/>
        <v>293069.65000000002</v>
      </c>
      <c r="M135" s="924">
        <f t="shared" si="33"/>
        <v>293069.65000000002</v>
      </c>
      <c r="N135" s="925">
        <f t="shared" si="34"/>
        <v>293069.65000000002</v>
      </c>
      <c r="O135" s="925">
        <f t="shared" si="35"/>
        <v>293069.65000000002</v>
      </c>
      <c r="P135" s="924">
        <f t="shared" si="36"/>
        <v>293069.65000000002</v>
      </c>
      <c r="Q135" s="924"/>
      <c r="R135" s="448" t="s">
        <v>2092</v>
      </c>
      <c r="S135" s="449">
        <v>279601.91999999998</v>
      </c>
      <c r="T135" s="449">
        <v>36527.089999999997</v>
      </c>
      <c r="U135" s="449">
        <v>-23059.360000000001</v>
      </c>
      <c r="V135" s="449">
        <v>293069.65000000002</v>
      </c>
      <c r="W135" s="449">
        <v>0</v>
      </c>
      <c r="X135" s="449">
        <v>293069.65000000002</v>
      </c>
      <c r="Y135" s="449">
        <v>293069.65000000002</v>
      </c>
      <c r="Z135" s="449">
        <v>100</v>
      </c>
      <c r="AA135" s="449">
        <v>0</v>
      </c>
      <c r="AB135" s="449">
        <v>0</v>
      </c>
      <c r="AC135" s="449">
        <v>293069.65000000002</v>
      </c>
      <c r="AD135" s="449">
        <v>100</v>
      </c>
      <c r="AE135" s="449">
        <v>0</v>
      </c>
      <c r="AF135" s="449">
        <v>0</v>
      </c>
    </row>
    <row r="136" spans="1:32" ht="15">
      <c r="A136" s="140" t="str">
        <f t="shared" si="29"/>
        <v>E058</v>
      </c>
      <c r="B136" s="140" t="str">
        <f t="shared" si="28"/>
        <v>1.2.1</v>
      </c>
      <c r="C136" s="140" t="str">
        <f t="shared" si="37"/>
        <v>E058-G1057</v>
      </c>
      <c r="D136" s="140">
        <v>1</v>
      </c>
      <c r="E136" s="140" t="str">
        <f t="shared" si="38"/>
        <v>21115-0111</v>
      </c>
      <c r="F136" s="140" t="str">
        <f t="shared" si="39"/>
        <v>1</v>
      </c>
      <c r="G136" s="140" t="str">
        <f t="shared" si="40"/>
        <v>1212</v>
      </c>
      <c r="H136" s="140" t="str">
        <f t="shared" si="41"/>
        <v>1.2.1/E058-G1057/1/21115-0111/1/1212  Honorarios asimilados</v>
      </c>
      <c r="I136" s="448" t="s">
        <v>2093</v>
      </c>
      <c r="J136" s="924">
        <f t="shared" si="30"/>
        <v>219511.94</v>
      </c>
      <c r="K136" s="925">
        <f t="shared" si="31"/>
        <v>-4510.8099999999977</v>
      </c>
      <c r="L136" s="925">
        <f t="shared" si="32"/>
        <v>215001.13</v>
      </c>
      <c r="M136" s="924">
        <f t="shared" si="33"/>
        <v>215001.13</v>
      </c>
      <c r="N136" s="924">
        <f t="shared" si="34"/>
        <v>215001.13</v>
      </c>
      <c r="O136" s="924">
        <f t="shared" si="35"/>
        <v>215001.13</v>
      </c>
      <c r="P136" s="924">
        <f t="shared" si="36"/>
        <v>215001.13</v>
      </c>
      <c r="Q136" s="924"/>
      <c r="R136" s="448" t="s">
        <v>2093</v>
      </c>
      <c r="S136" s="449">
        <v>219511.94</v>
      </c>
      <c r="T136" s="449">
        <v>327815.63</v>
      </c>
      <c r="U136" s="449">
        <v>-332326.44</v>
      </c>
      <c r="V136" s="449">
        <v>215001.13</v>
      </c>
      <c r="W136" s="449">
        <v>0</v>
      </c>
      <c r="X136" s="449">
        <v>215001.13</v>
      </c>
      <c r="Y136" s="449">
        <v>215001.13</v>
      </c>
      <c r="Z136" s="449">
        <v>100</v>
      </c>
      <c r="AA136" s="449">
        <v>0</v>
      </c>
      <c r="AB136" s="449">
        <v>0</v>
      </c>
      <c r="AC136" s="449">
        <v>215001.13</v>
      </c>
      <c r="AD136" s="449">
        <v>100</v>
      </c>
      <c r="AE136" s="449">
        <v>0</v>
      </c>
      <c r="AF136" s="449">
        <v>0</v>
      </c>
    </row>
    <row r="137" spans="1:32" ht="15">
      <c r="A137" s="140" t="str">
        <f t="shared" si="29"/>
        <v>E058</v>
      </c>
      <c r="B137" s="140" t="str">
        <f t="shared" si="28"/>
        <v>1.2.1</v>
      </c>
      <c r="C137" s="140" t="str">
        <f t="shared" si="37"/>
        <v>E058-G1057</v>
      </c>
      <c r="D137" s="140">
        <v>1</v>
      </c>
      <c r="E137" s="140" t="str">
        <f t="shared" si="38"/>
        <v>21115-0111</v>
      </c>
      <c r="F137" s="140" t="str">
        <f t="shared" si="39"/>
        <v>1</v>
      </c>
      <c r="G137" s="140" t="str">
        <f t="shared" si="40"/>
        <v>1311</v>
      </c>
      <c r="H137" s="140" t="str">
        <f t="shared" si="41"/>
        <v>1.2.1/E058-G1057/1/21115-0111/1/1311  Prima quinquenal</v>
      </c>
      <c r="I137" s="448" t="s">
        <v>2094</v>
      </c>
      <c r="J137" s="924">
        <f t="shared" si="30"/>
        <v>250</v>
      </c>
      <c r="K137" s="925">
        <f t="shared" si="31"/>
        <v>-43.33</v>
      </c>
      <c r="L137" s="925">
        <f t="shared" si="32"/>
        <v>206.67</v>
      </c>
      <c r="M137" s="924">
        <f t="shared" si="33"/>
        <v>206.67</v>
      </c>
      <c r="N137" s="924">
        <f t="shared" si="34"/>
        <v>206.67</v>
      </c>
      <c r="O137" s="924">
        <f t="shared" si="35"/>
        <v>206.67</v>
      </c>
      <c r="P137" s="924">
        <f t="shared" si="36"/>
        <v>206.67</v>
      </c>
      <c r="Q137" s="924"/>
      <c r="R137" s="448" t="s">
        <v>2094</v>
      </c>
      <c r="S137" s="449">
        <v>250</v>
      </c>
      <c r="T137" s="449">
        <v>56.33</v>
      </c>
      <c r="U137" s="449">
        <v>-99.66</v>
      </c>
      <c r="V137" s="449">
        <v>206.67</v>
      </c>
      <c r="W137" s="449">
        <v>0</v>
      </c>
      <c r="X137" s="449">
        <v>206.67</v>
      </c>
      <c r="Y137" s="449">
        <v>206.67</v>
      </c>
      <c r="Z137" s="449">
        <v>100</v>
      </c>
      <c r="AA137" s="449">
        <v>0</v>
      </c>
      <c r="AB137" s="449">
        <v>0</v>
      </c>
      <c r="AC137" s="449">
        <v>206.67</v>
      </c>
      <c r="AD137" s="449">
        <v>100</v>
      </c>
      <c r="AE137" s="449">
        <v>0</v>
      </c>
      <c r="AF137" s="449">
        <v>0</v>
      </c>
    </row>
    <row r="138" spans="1:32" ht="15">
      <c r="A138" s="140" t="str">
        <f t="shared" si="29"/>
        <v>E058</v>
      </c>
      <c r="B138" s="140" t="str">
        <f t="shared" si="28"/>
        <v>1.2.1</v>
      </c>
      <c r="C138" s="140" t="str">
        <f t="shared" si="37"/>
        <v>E058-G1057</v>
      </c>
      <c r="D138" s="140">
        <v>1</v>
      </c>
      <c r="E138" s="140" t="str">
        <f t="shared" si="38"/>
        <v>21115-0111</v>
      </c>
      <c r="F138" s="140" t="str">
        <f t="shared" si="39"/>
        <v>1</v>
      </c>
      <c r="G138" s="140" t="str">
        <f t="shared" si="40"/>
        <v>1321</v>
      </c>
      <c r="H138" s="140" t="str">
        <f t="shared" si="41"/>
        <v>1.2.1/E058-G1057/1/21115-0111/1/1321  Prima Vacacional</v>
      </c>
      <c r="I138" s="448" t="s">
        <v>2095</v>
      </c>
      <c r="J138" s="924">
        <f t="shared" si="30"/>
        <v>21636.400000000001</v>
      </c>
      <c r="K138" s="925">
        <f t="shared" si="31"/>
        <v>2253.4499999999998</v>
      </c>
      <c r="L138" s="925">
        <f t="shared" si="32"/>
        <v>23889.85</v>
      </c>
      <c r="M138" s="924">
        <f t="shared" si="33"/>
        <v>23889.85</v>
      </c>
      <c r="N138" s="924">
        <f t="shared" si="34"/>
        <v>23889.85</v>
      </c>
      <c r="O138" s="924">
        <f t="shared" si="35"/>
        <v>23889.85</v>
      </c>
      <c r="P138" s="924">
        <f t="shared" si="36"/>
        <v>23889.85</v>
      </c>
      <c r="Q138" s="924"/>
      <c r="R138" s="448" t="s">
        <v>2095</v>
      </c>
      <c r="S138" s="449">
        <v>21636.400000000001</v>
      </c>
      <c r="T138" s="449">
        <v>5648.24</v>
      </c>
      <c r="U138" s="449">
        <v>-3394.79</v>
      </c>
      <c r="V138" s="449">
        <v>23889.85</v>
      </c>
      <c r="W138" s="449">
        <v>0</v>
      </c>
      <c r="X138" s="449">
        <v>23889.85</v>
      </c>
      <c r="Y138" s="449">
        <v>23889.85</v>
      </c>
      <c r="Z138" s="449">
        <v>100</v>
      </c>
      <c r="AA138" s="449">
        <v>0</v>
      </c>
      <c r="AB138" s="449">
        <v>0</v>
      </c>
      <c r="AC138" s="449">
        <v>23889.85</v>
      </c>
      <c r="AD138" s="449">
        <v>100</v>
      </c>
      <c r="AE138" s="449">
        <v>0</v>
      </c>
      <c r="AF138" s="449">
        <v>0</v>
      </c>
    </row>
    <row r="139" spans="1:32" ht="15">
      <c r="A139" s="140" t="str">
        <f t="shared" si="29"/>
        <v>E058</v>
      </c>
      <c r="B139" s="140" t="str">
        <f t="shared" si="28"/>
        <v>1.2.1</v>
      </c>
      <c r="C139" s="140" t="str">
        <f t="shared" si="37"/>
        <v>E058-G1057</v>
      </c>
      <c r="D139" s="140">
        <v>1</v>
      </c>
      <c r="E139" s="140" t="str">
        <f t="shared" si="38"/>
        <v>21115-0111</v>
      </c>
      <c r="F139" s="140" t="str">
        <f t="shared" si="39"/>
        <v>1</v>
      </c>
      <c r="G139" s="140" t="str">
        <f t="shared" si="40"/>
        <v>1323</v>
      </c>
      <c r="H139" s="140" t="str">
        <f t="shared" si="41"/>
        <v>1.2.1/E058-G1057/1/21115-0111/1/1323  Gratificación de fin de año</v>
      </c>
      <c r="I139" s="448" t="s">
        <v>2096</v>
      </c>
      <c r="J139" s="924">
        <f t="shared" si="30"/>
        <v>97358.12</v>
      </c>
      <c r="K139" s="924">
        <f t="shared" si="31"/>
        <v>10127.91</v>
      </c>
      <c r="L139" s="925">
        <f t="shared" si="32"/>
        <v>107486.03</v>
      </c>
      <c r="M139" s="924">
        <f t="shared" si="33"/>
        <v>107486.03</v>
      </c>
      <c r="N139" s="924">
        <f t="shared" si="34"/>
        <v>107486.03</v>
      </c>
      <c r="O139" s="924">
        <f t="shared" si="35"/>
        <v>107486.03</v>
      </c>
      <c r="P139" s="924">
        <f t="shared" si="36"/>
        <v>107486.03</v>
      </c>
      <c r="Q139" s="924"/>
      <c r="R139" s="448" t="s">
        <v>2096</v>
      </c>
      <c r="S139" s="449">
        <v>97358.12</v>
      </c>
      <c r="T139" s="449">
        <v>20319</v>
      </c>
      <c r="U139" s="449">
        <v>-10191.09</v>
      </c>
      <c r="V139" s="449">
        <v>107486.03</v>
      </c>
      <c r="W139" s="449">
        <v>0</v>
      </c>
      <c r="X139" s="449">
        <v>107486.03</v>
      </c>
      <c r="Y139" s="449">
        <v>107486.03</v>
      </c>
      <c r="Z139" s="449">
        <v>100</v>
      </c>
      <c r="AA139" s="449">
        <v>0</v>
      </c>
      <c r="AB139" s="449">
        <v>0</v>
      </c>
      <c r="AC139" s="449">
        <v>107486.03</v>
      </c>
      <c r="AD139" s="449">
        <v>100</v>
      </c>
      <c r="AE139" s="449">
        <v>0</v>
      </c>
      <c r="AF139" s="449">
        <v>0</v>
      </c>
    </row>
    <row r="140" spans="1:32" ht="15">
      <c r="A140" s="140" t="str">
        <f t="shared" si="29"/>
        <v>E058</v>
      </c>
      <c r="B140" s="140" t="str">
        <f t="shared" si="28"/>
        <v>1.2.1</v>
      </c>
      <c r="C140" s="140" t="str">
        <f t="shared" si="37"/>
        <v>E058-G1057</v>
      </c>
      <c r="D140" s="140">
        <v>1</v>
      </c>
      <c r="E140" s="140" t="str">
        <f t="shared" si="38"/>
        <v>21115-0111</v>
      </c>
      <c r="F140" s="140" t="str">
        <f t="shared" si="39"/>
        <v>1</v>
      </c>
      <c r="G140" s="140" t="str">
        <f t="shared" si="40"/>
        <v>1411</v>
      </c>
      <c r="H140" s="140" t="str">
        <f t="shared" si="41"/>
        <v>1.2.1/E058-G1057/1/21115-0111/1/1411  Aportaciones al ISSEG</v>
      </c>
      <c r="I140" s="448" t="s">
        <v>2097</v>
      </c>
      <c r="J140" s="924">
        <f t="shared" si="30"/>
        <v>64308.480000000003</v>
      </c>
      <c r="K140" s="925">
        <f t="shared" si="31"/>
        <v>2805.8900000000003</v>
      </c>
      <c r="L140" s="925">
        <f t="shared" si="32"/>
        <v>67114.37</v>
      </c>
      <c r="M140" s="924">
        <f t="shared" si="33"/>
        <v>67114.37</v>
      </c>
      <c r="N140" s="925">
        <f t="shared" si="34"/>
        <v>67114.37</v>
      </c>
      <c r="O140" s="925">
        <f t="shared" si="35"/>
        <v>67114.37</v>
      </c>
      <c r="P140" s="924">
        <f t="shared" si="36"/>
        <v>67114.37</v>
      </c>
      <c r="Q140" s="924"/>
      <c r="R140" s="448" t="s">
        <v>2097</v>
      </c>
      <c r="S140" s="449">
        <v>64308.480000000003</v>
      </c>
      <c r="T140" s="449">
        <v>9338.51</v>
      </c>
      <c r="U140" s="449">
        <v>-6532.62</v>
      </c>
      <c r="V140" s="449">
        <v>67114.37</v>
      </c>
      <c r="W140" s="449">
        <v>0</v>
      </c>
      <c r="X140" s="449">
        <v>67114.37</v>
      </c>
      <c r="Y140" s="449">
        <v>67114.37</v>
      </c>
      <c r="Z140" s="449">
        <v>100</v>
      </c>
      <c r="AA140" s="449">
        <v>0</v>
      </c>
      <c r="AB140" s="449">
        <v>0</v>
      </c>
      <c r="AC140" s="449">
        <v>67114.37</v>
      </c>
      <c r="AD140" s="449">
        <v>100</v>
      </c>
      <c r="AE140" s="449">
        <v>0</v>
      </c>
      <c r="AF140" s="449">
        <v>0</v>
      </c>
    </row>
    <row r="141" spans="1:32" ht="15">
      <c r="A141" s="140" t="str">
        <f t="shared" si="29"/>
        <v>E058</v>
      </c>
      <c r="B141" s="140" t="str">
        <f t="shared" si="28"/>
        <v>1.2.1</v>
      </c>
      <c r="C141" s="140" t="str">
        <f t="shared" si="37"/>
        <v>E058-G1057</v>
      </c>
      <c r="D141" s="140">
        <v>1</v>
      </c>
      <c r="E141" s="140" t="str">
        <f t="shared" si="38"/>
        <v>21115-0111</v>
      </c>
      <c r="F141" s="140" t="str">
        <f t="shared" si="39"/>
        <v>1</v>
      </c>
      <c r="G141" s="140" t="str">
        <f t="shared" si="40"/>
        <v>1412</v>
      </c>
      <c r="H141" s="140" t="str">
        <f t="shared" si="41"/>
        <v>1.2.1/E058-G1057/1/21115-0111/1/1412  Cuotas al ISSSTE</v>
      </c>
      <c r="I141" s="448" t="s">
        <v>2098</v>
      </c>
      <c r="J141" s="922">
        <f t="shared" si="30"/>
        <v>27276</v>
      </c>
      <c r="K141" s="922">
        <f t="shared" si="31"/>
        <v>-6028.4000000000015</v>
      </c>
      <c r="L141" s="922">
        <f t="shared" si="32"/>
        <v>21247.599999999999</v>
      </c>
      <c r="M141" s="922">
        <f t="shared" si="33"/>
        <v>21247.599999999999</v>
      </c>
      <c r="N141" s="922">
        <f t="shared" si="34"/>
        <v>21247.599999999999</v>
      </c>
      <c r="O141" s="922">
        <f t="shared" si="35"/>
        <v>21247.599999999999</v>
      </c>
      <c r="P141" s="922">
        <f t="shared" si="36"/>
        <v>21247.599999999999</v>
      </c>
      <c r="Q141" s="922"/>
      <c r="R141" s="448" t="s">
        <v>2098</v>
      </c>
      <c r="S141" s="449">
        <v>27276</v>
      </c>
      <c r="T141" s="449">
        <v>10735</v>
      </c>
      <c r="U141" s="449">
        <v>-16763.400000000001</v>
      </c>
      <c r="V141" s="449">
        <v>21247.599999999999</v>
      </c>
      <c r="W141" s="449">
        <v>0</v>
      </c>
      <c r="X141" s="449">
        <v>21247.599999999999</v>
      </c>
      <c r="Y141" s="449">
        <v>21247.599999999999</v>
      </c>
      <c r="Z141" s="449">
        <v>100</v>
      </c>
      <c r="AA141" s="449">
        <v>0</v>
      </c>
      <c r="AB141" s="449">
        <v>0</v>
      </c>
      <c r="AC141" s="449">
        <v>21247.599999999999</v>
      </c>
      <c r="AD141" s="449">
        <v>100</v>
      </c>
      <c r="AE141" s="449">
        <v>0</v>
      </c>
      <c r="AF141" s="449">
        <v>0</v>
      </c>
    </row>
    <row r="142" spans="1:32" ht="15">
      <c r="A142" s="140" t="str">
        <f t="shared" si="29"/>
        <v>E058</v>
      </c>
      <c r="B142" s="140" t="str">
        <f t="shared" si="28"/>
        <v>1.2.1</v>
      </c>
      <c r="C142" s="140" t="str">
        <f t="shared" si="37"/>
        <v>E058-G1057</v>
      </c>
      <c r="D142" s="140">
        <v>1</v>
      </c>
      <c r="E142" s="140" t="str">
        <f t="shared" si="38"/>
        <v>21115-0111</v>
      </c>
      <c r="F142" s="140" t="str">
        <f t="shared" si="39"/>
        <v>1</v>
      </c>
      <c r="G142" s="140" t="str">
        <f t="shared" si="40"/>
        <v>1441</v>
      </c>
      <c r="H142" s="140" t="str">
        <f t="shared" si="41"/>
        <v>1.2.1/E058-G1057/1/21115-0111/1/1441  Seguros</v>
      </c>
      <c r="I142" s="448" t="s">
        <v>2099</v>
      </c>
      <c r="J142" s="922">
        <f t="shared" si="30"/>
        <v>10300</v>
      </c>
      <c r="K142" s="922">
        <f t="shared" si="31"/>
        <v>-10300</v>
      </c>
      <c r="L142" s="922">
        <f t="shared" si="32"/>
        <v>0</v>
      </c>
      <c r="M142" s="922">
        <f t="shared" si="33"/>
        <v>0</v>
      </c>
      <c r="N142" s="922">
        <f t="shared" si="34"/>
        <v>0</v>
      </c>
      <c r="O142" s="922">
        <f t="shared" si="35"/>
        <v>0</v>
      </c>
      <c r="P142" s="922">
        <f t="shared" si="36"/>
        <v>0</v>
      </c>
      <c r="Q142" s="922"/>
      <c r="R142" s="448" t="s">
        <v>2099</v>
      </c>
      <c r="S142" s="449">
        <v>10300</v>
      </c>
      <c r="T142" s="449">
        <v>30300</v>
      </c>
      <c r="U142" s="449">
        <v>-40600</v>
      </c>
      <c r="V142" s="449">
        <v>0</v>
      </c>
      <c r="W142" s="450">
        <v>0</v>
      </c>
      <c r="X142" s="450">
        <v>0</v>
      </c>
      <c r="Y142" s="449">
        <v>0</v>
      </c>
      <c r="Z142" s="449">
        <v>0</v>
      </c>
      <c r="AA142" s="449">
        <v>0</v>
      </c>
      <c r="AB142" s="449">
        <v>0</v>
      </c>
      <c r="AC142" s="449">
        <v>0</v>
      </c>
      <c r="AD142" s="449">
        <v>0</v>
      </c>
      <c r="AE142" s="449">
        <v>0</v>
      </c>
      <c r="AF142" s="449">
        <v>0</v>
      </c>
    </row>
    <row r="143" spans="1:32" ht="15">
      <c r="A143" s="140" t="str">
        <f t="shared" si="29"/>
        <v>E058</v>
      </c>
      <c r="B143" s="140" t="str">
        <f t="shared" si="28"/>
        <v>1.2.1</v>
      </c>
      <c r="C143" s="140" t="str">
        <f t="shared" si="37"/>
        <v>E058-G1057</v>
      </c>
      <c r="D143" s="140">
        <v>1</v>
      </c>
      <c r="E143" s="140" t="str">
        <f t="shared" si="38"/>
        <v>21115-0111</v>
      </c>
      <c r="F143" s="140" t="str">
        <f t="shared" si="39"/>
        <v>1</v>
      </c>
      <c r="G143" s="140" t="str">
        <f t="shared" si="40"/>
        <v>1541</v>
      </c>
      <c r="H143" s="140" t="str">
        <f t="shared" si="41"/>
        <v>1.2.1/E058-G1057/1/21115-0111/1/1541  Prestaciones CGT</v>
      </c>
      <c r="I143" s="448" t="s">
        <v>2101</v>
      </c>
      <c r="J143" s="924">
        <f t="shared" si="30"/>
        <v>242479.2</v>
      </c>
      <c r="K143" s="924">
        <f t="shared" si="31"/>
        <v>32162.33</v>
      </c>
      <c r="L143" s="924">
        <f t="shared" si="32"/>
        <v>274641.53000000003</v>
      </c>
      <c r="M143" s="924">
        <f t="shared" si="33"/>
        <v>274641.53000000003</v>
      </c>
      <c r="N143" s="924">
        <f t="shared" si="34"/>
        <v>274641.53000000003</v>
      </c>
      <c r="O143" s="924">
        <f t="shared" si="35"/>
        <v>274641.53000000003</v>
      </c>
      <c r="P143" s="924">
        <f t="shared" si="36"/>
        <v>274641.53000000003</v>
      </c>
      <c r="Q143" s="924"/>
      <c r="R143" s="448" t="s">
        <v>2101</v>
      </c>
      <c r="S143" s="449">
        <v>242479.2</v>
      </c>
      <c r="T143" s="449">
        <v>81601.77</v>
      </c>
      <c r="U143" s="449">
        <v>-49439.44</v>
      </c>
      <c r="V143" s="449">
        <v>274641.53000000003</v>
      </c>
      <c r="W143" s="449">
        <v>0</v>
      </c>
      <c r="X143" s="449">
        <v>274641.53000000003</v>
      </c>
      <c r="Y143" s="449">
        <v>274641.53000000003</v>
      </c>
      <c r="Z143" s="449">
        <v>100</v>
      </c>
      <c r="AA143" s="449">
        <v>0</v>
      </c>
      <c r="AB143" s="449">
        <v>0</v>
      </c>
      <c r="AC143" s="449">
        <v>274641.53000000003</v>
      </c>
      <c r="AD143" s="449">
        <v>100</v>
      </c>
      <c r="AE143" s="449">
        <v>0</v>
      </c>
      <c r="AF143" s="449">
        <v>0</v>
      </c>
    </row>
    <row r="144" spans="1:32" ht="15">
      <c r="A144" s="140" t="str">
        <f t="shared" si="29"/>
        <v>E058</v>
      </c>
      <c r="B144" s="140" t="str">
        <f t="shared" si="28"/>
        <v>1.2.1</v>
      </c>
      <c r="C144" s="140" t="str">
        <f t="shared" si="37"/>
        <v>E058-G1057</v>
      </c>
      <c r="D144" s="140">
        <v>1</v>
      </c>
      <c r="E144" s="140" t="str">
        <f t="shared" si="38"/>
        <v>21115-0111</v>
      </c>
      <c r="F144" s="140" t="str">
        <f t="shared" si="39"/>
        <v>1</v>
      </c>
      <c r="G144" s="140" t="str">
        <f t="shared" si="40"/>
        <v>1591</v>
      </c>
      <c r="H144" s="140" t="str">
        <f t="shared" si="41"/>
        <v>1.2.1/E058-G1057/1/21115-0111/1/1591  Asign Adic sueldo</v>
      </c>
      <c r="I144" s="448" t="s">
        <v>2102</v>
      </c>
      <c r="J144" s="924">
        <f t="shared" si="30"/>
        <v>256535.76</v>
      </c>
      <c r="K144" s="924">
        <f t="shared" si="31"/>
        <v>23825.620000000003</v>
      </c>
      <c r="L144" s="924">
        <f t="shared" si="32"/>
        <v>280361.38</v>
      </c>
      <c r="M144" s="924">
        <f t="shared" si="33"/>
        <v>280361.38</v>
      </c>
      <c r="N144" s="924">
        <f t="shared" si="34"/>
        <v>280361.38</v>
      </c>
      <c r="O144" s="924">
        <f t="shared" si="35"/>
        <v>280361.38</v>
      </c>
      <c r="P144" s="924">
        <f t="shared" si="36"/>
        <v>280361.38</v>
      </c>
      <c r="Q144" s="924"/>
      <c r="R144" s="448" t="s">
        <v>2102</v>
      </c>
      <c r="S144" s="449">
        <v>256535.76</v>
      </c>
      <c r="T144" s="449">
        <v>66456.63</v>
      </c>
      <c r="U144" s="449">
        <v>-42631.01</v>
      </c>
      <c r="V144" s="449">
        <v>280361.38</v>
      </c>
      <c r="W144" s="449">
        <v>0</v>
      </c>
      <c r="X144" s="449">
        <v>280361.38</v>
      </c>
      <c r="Y144" s="449">
        <v>280361.38</v>
      </c>
      <c r="Z144" s="449">
        <v>100</v>
      </c>
      <c r="AA144" s="449">
        <v>0</v>
      </c>
      <c r="AB144" s="449">
        <v>0</v>
      </c>
      <c r="AC144" s="449">
        <v>280361.38</v>
      </c>
      <c r="AD144" s="449">
        <v>100</v>
      </c>
      <c r="AE144" s="449">
        <v>0</v>
      </c>
      <c r="AF144" s="449">
        <v>0</v>
      </c>
    </row>
    <row r="145" spans="1:32" ht="15">
      <c r="A145" s="140" t="str">
        <f t="shared" si="29"/>
        <v>E058</v>
      </c>
      <c r="B145" s="140" t="str">
        <f t="shared" si="28"/>
        <v>1.2.1</v>
      </c>
      <c r="C145" s="140" t="str">
        <f t="shared" si="37"/>
        <v>E058-G1057</v>
      </c>
      <c r="D145" s="140">
        <v>1</v>
      </c>
      <c r="E145" s="140" t="str">
        <f t="shared" si="38"/>
        <v>21115-0111</v>
      </c>
      <c r="F145" s="140" t="str">
        <f t="shared" si="39"/>
        <v>1</v>
      </c>
      <c r="G145" s="140" t="str">
        <f t="shared" si="40"/>
        <v>1611</v>
      </c>
      <c r="H145" s="140" t="str">
        <f t="shared" si="41"/>
        <v>1.2.1/E058-G1057/1/21115-0111/1/1611  Prev de carat labora</v>
      </c>
      <c r="I145" s="448" t="s">
        <v>2104</v>
      </c>
      <c r="J145" s="924">
        <f t="shared" si="30"/>
        <v>88278.18</v>
      </c>
      <c r="K145" s="924">
        <f t="shared" si="31"/>
        <v>-88278.18</v>
      </c>
      <c r="L145" s="925">
        <f t="shared" si="32"/>
        <v>0</v>
      </c>
      <c r="M145" s="924">
        <f t="shared" si="33"/>
        <v>0</v>
      </c>
      <c r="N145" s="924">
        <f t="shared" si="34"/>
        <v>0</v>
      </c>
      <c r="O145" s="924">
        <f t="shared" si="35"/>
        <v>0</v>
      </c>
      <c r="P145" s="924">
        <f t="shared" si="36"/>
        <v>0</v>
      </c>
      <c r="Q145" s="924"/>
      <c r="R145" s="448" t="s">
        <v>2104</v>
      </c>
      <c r="S145" s="449">
        <v>88278.18</v>
      </c>
      <c r="T145" s="450">
        <v>0</v>
      </c>
      <c r="U145" s="449">
        <v>-88278.18</v>
      </c>
      <c r="V145" s="449">
        <v>0</v>
      </c>
      <c r="W145" s="450">
        <v>0</v>
      </c>
      <c r="X145" s="450">
        <v>0</v>
      </c>
      <c r="Y145" s="449">
        <v>0</v>
      </c>
      <c r="Z145" s="449">
        <v>0</v>
      </c>
      <c r="AA145" s="450">
        <v>0</v>
      </c>
      <c r="AB145" s="449">
        <v>0</v>
      </c>
      <c r="AC145" s="449">
        <v>0</v>
      </c>
      <c r="AD145" s="449">
        <v>0</v>
      </c>
      <c r="AE145" s="449">
        <v>0</v>
      </c>
      <c r="AF145" s="449">
        <v>0</v>
      </c>
    </row>
    <row r="146" spans="1:32" ht="15">
      <c r="A146" s="140" t="str">
        <f t="shared" si="29"/>
        <v>E058</v>
      </c>
      <c r="B146" s="140" t="str">
        <f t="shared" si="28"/>
        <v>1.2.1</v>
      </c>
      <c r="C146" s="140" t="str">
        <f t="shared" si="37"/>
        <v>E058-G1057</v>
      </c>
      <c r="D146" s="140">
        <v>1</v>
      </c>
      <c r="E146" s="140" t="str">
        <f t="shared" si="38"/>
        <v>21115-0111</v>
      </c>
      <c r="F146" s="140" t="str">
        <f t="shared" si="39"/>
        <v>1</v>
      </c>
      <c r="G146" s="140" t="str">
        <f t="shared" si="40"/>
        <v>1711</v>
      </c>
      <c r="H146" s="140" t="str">
        <f t="shared" si="41"/>
        <v>1.2.1/E058-G1057/1/21115-0111/1/1711  Estím Productividad</v>
      </c>
      <c r="I146" s="448" t="s">
        <v>2105</v>
      </c>
      <c r="J146" s="924">
        <f t="shared" si="30"/>
        <v>23760.51</v>
      </c>
      <c r="K146" s="925">
        <f t="shared" si="31"/>
        <v>6031.9400000000023</v>
      </c>
      <c r="L146" s="925">
        <f t="shared" si="32"/>
        <v>29792.45</v>
      </c>
      <c r="M146" s="924">
        <f t="shared" si="33"/>
        <v>29792.45</v>
      </c>
      <c r="N146" s="925">
        <f t="shared" si="34"/>
        <v>29792.45</v>
      </c>
      <c r="O146" s="925">
        <f t="shared" si="35"/>
        <v>29792.45</v>
      </c>
      <c r="P146" s="924">
        <f t="shared" si="36"/>
        <v>29792.45</v>
      </c>
      <c r="Q146" s="924"/>
      <c r="R146" s="448" t="s">
        <v>2105</v>
      </c>
      <c r="S146" s="449">
        <v>23760.51</v>
      </c>
      <c r="T146" s="449">
        <v>59116.51</v>
      </c>
      <c r="U146" s="449">
        <v>-53084.57</v>
      </c>
      <c r="V146" s="449">
        <v>29792.45</v>
      </c>
      <c r="W146" s="449">
        <v>0</v>
      </c>
      <c r="X146" s="449">
        <v>29792.45</v>
      </c>
      <c r="Y146" s="449">
        <v>29792.45</v>
      </c>
      <c r="Z146" s="449">
        <v>100</v>
      </c>
      <c r="AA146" s="449">
        <v>0</v>
      </c>
      <c r="AB146" s="449">
        <v>0</v>
      </c>
      <c r="AC146" s="449">
        <v>29792.45</v>
      </c>
      <c r="AD146" s="449">
        <v>100</v>
      </c>
      <c r="AE146" s="449">
        <v>0</v>
      </c>
      <c r="AF146" s="449">
        <v>0</v>
      </c>
    </row>
    <row r="147" spans="1:32" ht="15">
      <c r="A147" s="140" t="str">
        <f t="shared" si="29"/>
        <v>E058</v>
      </c>
      <c r="B147" s="140" t="str">
        <f t="shared" si="28"/>
        <v>1.2.1</v>
      </c>
      <c r="C147" s="140" t="str">
        <f t="shared" si="37"/>
        <v>E058-G1057</v>
      </c>
      <c r="D147" s="140">
        <v>1</v>
      </c>
      <c r="E147" s="140" t="str">
        <f t="shared" si="38"/>
        <v>21115-0111</v>
      </c>
      <c r="F147" s="140" t="str">
        <f t="shared" si="39"/>
        <v>1</v>
      </c>
      <c r="G147" s="140" t="str">
        <f t="shared" si="40"/>
        <v>1712</v>
      </c>
      <c r="H147" s="140" t="str">
        <f t="shared" si="41"/>
        <v>1.2.1/E058-G1057/1/21115-0111/1/1712  Estím Personal Oper</v>
      </c>
      <c r="I147" s="448" t="s">
        <v>2106</v>
      </c>
      <c r="J147" s="924">
        <f t="shared" si="30"/>
        <v>875.94</v>
      </c>
      <c r="K147" s="925">
        <f t="shared" si="31"/>
        <v>-875.94</v>
      </c>
      <c r="L147" s="925">
        <f t="shared" si="32"/>
        <v>0</v>
      </c>
      <c r="M147" s="924">
        <f t="shared" si="33"/>
        <v>0</v>
      </c>
      <c r="N147" s="924">
        <f t="shared" si="34"/>
        <v>0</v>
      </c>
      <c r="O147" s="924">
        <f t="shared" si="35"/>
        <v>0</v>
      </c>
      <c r="P147" s="924">
        <f t="shared" si="36"/>
        <v>0</v>
      </c>
      <c r="Q147" s="924"/>
      <c r="R147" s="448" t="s">
        <v>2106</v>
      </c>
      <c r="S147" s="449">
        <v>875.94</v>
      </c>
      <c r="T147" s="449">
        <v>891.72</v>
      </c>
      <c r="U147" s="449">
        <v>-1767.66</v>
      </c>
      <c r="V147" s="449">
        <v>0</v>
      </c>
      <c r="W147" s="450">
        <v>0</v>
      </c>
      <c r="X147" s="450">
        <v>0</v>
      </c>
      <c r="Y147" s="449">
        <v>0</v>
      </c>
      <c r="Z147" s="449">
        <v>0</v>
      </c>
      <c r="AA147" s="449">
        <v>0</v>
      </c>
      <c r="AB147" s="449">
        <v>0</v>
      </c>
      <c r="AC147" s="449">
        <v>0</v>
      </c>
      <c r="AD147" s="449">
        <v>0</v>
      </c>
      <c r="AE147" s="449">
        <v>0</v>
      </c>
      <c r="AF147" s="449">
        <v>0</v>
      </c>
    </row>
    <row r="148" spans="1:32" ht="15">
      <c r="A148" s="140" t="str">
        <f t="shared" si="29"/>
        <v>E058</v>
      </c>
      <c r="B148" s="140" t="str">
        <f t="shared" si="28"/>
        <v>1.2.1</v>
      </c>
      <c r="C148" s="140" t="str">
        <f t="shared" si="37"/>
        <v>E058-G1057</v>
      </c>
      <c r="D148" s="140">
        <v>1</v>
      </c>
      <c r="E148" s="140" t="str">
        <f t="shared" si="38"/>
        <v>21115-0111</v>
      </c>
      <c r="F148" s="140" t="str">
        <f t="shared" si="39"/>
        <v>1</v>
      </c>
      <c r="G148" s="140" t="str">
        <f t="shared" si="40"/>
        <v>2112</v>
      </c>
      <c r="H148" s="140" t="str">
        <f t="shared" si="41"/>
        <v>1.2.1/E058-G1057/1/21115-0111/1/2112  Equipos menores de oficina</v>
      </c>
      <c r="I148" s="448" t="s">
        <v>2108</v>
      </c>
      <c r="J148" s="924">
        <f t="shared" si="30"/>
        <v>0</v>
      </c>
      <c r="K148" s="925">
        <f t="shared" si="31"/>
        <v>3235</v>
      </c>
      <c r="L148" s="925">
        <f t="shared" si="32"/>
        <v>3235</v>
      </c>
      <c r="M148" s="924">
        <f t="shared" si="33"/>
        <v>3235</v>
      </c>
      <c r="N148" s="924">
        <f t="shared" si="34"/>
        <v>3235</v>
      </c>
      <c r="O148" s="924">
        <f t="shared" si="35"/>
        <v>3235</v>
      </c>
      <c r="P148" s="924">
        <f t="shared" si="36"/>
        <v>3235</v>
      </c>
      <c r="Q148" s="924"/>
      <c r="R148" s="448" t="s">
        <v>2108</v>
      </c>
      <c r="S148" s="450">
        <v>0</v>
      </c>
      <c r="T148" s="449">
        <v>3235</v>
      </c>
      <c r="U148" s="450">
        <v>0</v>
      </c>
      <c r="V148" s="449">
        <v>3235</v>
      </c>
      <c r="W148" s="449">
        <v>0</v>
      </c>
      <c r="X148" s="449">
        <v>3235</v>
      </c>
      <c r="Y148" s="449">
        <v>3235</v>
      </c>
      <c r="Z148" s="449">
        <v>100</v>
      </c>
      <c r="AA148" s="450">
        <v>0</v>
      </c>
      <c r="AB148" s="449">
        <v>0</v>
      </c>
      <c r="AC148" s="449">
        <v>3235</v>
      </c>
      <c r="AD148" s="449">
        <v>100</v>
      </c>
      <c r="AE148" s="449">
        <v>0</v>
      </c>
      <c r="AF148" s="449">
        <v>0</v>
      </c>
    </row>
    <row r="149" spans="1:32" ht="15">
      <c r="A149" s="140" t="str">
        <f t="shared" si="29"/>
        <v>E058</v>
      </c>
      <c r="B149" s="140" t="str">
        <f t="shared" si="28"/>
        <v>1.2.1</v>
      </c>
      <c r="C149" s="140" t="str">
        <f t="shared" si="37"/>
        <v>E058-G1057</v>
      </c>
      <c r="D149" s="140">
        <v>1</v>
      </c>
      <c r="E149" s="140" t="str">
        <f t="shared" si="38"/>
        <v>21115-0111</v>
      </c>
      <c r="F149" s="140" t="str">
        <f t="shared" si="39"/>
        <v>1</v>
      </c>
      <c r="G149" s="140" t="str">
        <f t="shared" si="40"/>
        <v>2611</v>
      </c>
      <c r="H149" s="140" t="str">
        <f t="shared" si="41"/>
        <v>1.2.1/E058-G1057/1/21115-0111/1/2611  Combus p Seg pub</v>
      </c>
      <c r="I149" s="448" t="s">
        <v>2982</v>
      </c>
      <c r="J149" s="924">
        <f t="shared" si="30"/>
        <v>0</v>
      </c>
      <c r="K149" s="924">
        <f t="shared" si="31"/>
        <v>0</v>
      </c>
      <c r="L149" s="925">
        <f t="shared" si="32"/>
        <v>0</v>
      </c>
      <c r="M149" s="924">
        <f t="shared" si="33"/>
        <v>0</v>
      </c>
      <c r="N149" s="925">
        <f t="shared" si="34"/>
        <v>0</v>
      </c>
      <c r="O149" s="925">
        <f t="shared" si="35"/>
        <v>0</v>
      </c>
      <c r="P149" s="924">
        <f t="shared" si="36"/>
        <v>0</v>
      </c>
      <c r="Q149" s="924"/>
      <c r="R149" s="448" t="s">
        <v>2982</v>
      </c>
      <c r="S149" s="449">
        <v>0</v>
      </c>
      <c r="T149" s="449">
        <v>28658.55</v>
      </c>
      <c r="U149" s="449">
        <v>-28658.55</v>
      </c>
      <c r="V149" s="449">
        <v>0</v>
      </c>
      <c r="W149" s="450">
        <v>0</v>
      </c>
      <c r="X149" s="450">
        <v>0</v>
      </c>
      <c r="Y149" s="449">
        <v>0</v>
      </c>
      <c r="Z149" s="449">
        <v>0</v>
      </c>
      <c r="AA149" s="450">
        <v>0</v>
      </c>
      <c r="AB149" s="449">
        <v>0</v>
      </c>
      <c r="AC149" s="449">
        <v>0</v>
      </c>
      <c r="AD149" s="449">
        <v>0</v>
      </c>
      <c r="AE149" s="449">
        <v>0</v>
      </c>
      <c r="AF149" s="449">
        <v>0</v>
      </c>
    </row>
    <row r="150" spans="1:32" ht="15">
      <c r="A150" s="140" t="str">
        <f t="shared" si="29"/>
        <v>E058</v>
      </c>
      <c r="B150" s="140" t="str">
        <f t="shared" si="28"/>
        <v>1.2.1</v>
      </c>
      <c r="C150" s="140" t="str">
        <f t="shared" si="37"/>
        <v>E058-G1057</v>
      </c>
      <c r="D150" s="140">
        <v>1</v>
      </c>
      <c r="E150" s="140" t="str">
        <f t="shared" si="38"/>
        <v>21115-0111</v>
      </c>
      <c r="F150" s="140" t="str">
        <f t="shared" si="39"/>
        <v>1</v>
      </c>
      <c r="G150" s="140" t="str">
        <f t="shared" si="40"/>
        <v>2612</v>
      </c>
      <c r="H150" s="140" t="str">
        <f t="shared" si="41"/>
        <v>1.2.1/E058-G1057/1/21115-0111/1/2612  Combus p Serv pub</v>
      </c>
      <c r="I150" s="448" t="s">
        <v>2118</v>
      </c>
      <c r="J150" s="924">
        <f t="shared" si="30"/>
        <v>31263.87</v>
      </c>
      <c r="K150" s="924">
        <f t="shared" si="31"/>
        <v>-5774.6900000000023</v>
      </c>
      <c r="L150" s="925">
        <f t="shared" si="32"/>
        <v>25489.18</v>
      </c>
      <c r="M150" s="924">
        <f t="shared" si="33"/>
        <v>25489.18</v>
      </c>
      <c r="N150" s="925">
        <f t="shared" si="34"/>
        <v>25489.18</v>
      </c>
      <c r="O150" s="925">
        <f t="shared" si="35"/>
        <v>25489.18</v>
      </c>
      <c r="P150" s="924">
        <f t="shared" si="36"/>
        <v>25489.18</v>
      </c>
      <c r="Q150" s="924"/>
      <c r="R150" s="448" t="s">
        <v>2118</v>
      </c>
      <c r="S150" s="449">
        <v>31263.87</v>
      </c>
      <c r="T150" s="449">
        <v>31221.14</v>
      </c>
      <c r="U150" s="449">
        <v>-36995.83</v>
      </c>
      <c r="V150" s="449">
        <v>25489.18</v>
      </c>
      <c r="W150" s="449">
        <v>0</v>
      </c>
      <c r="X150" s="449">
        <v>25489.18</v>
      </c>
      <c r="Y150" s="449">
        <v>25489.18</v>
      </c>
      <c r="Z150" s="449">
        <v>100</v>
      </c>
      <c r="AA150" s="449">
        <v>0</v>
      </c>
      <c r="AB150" s="449">
        <v>0</v>
      </c>
      <c r="AC150" s="449">
        <v>25489.18</v>
      </c>
      <c r="AD150" s="449">
        <v>100</v>
      </c>
      <c r="AE150" s="449">
        <v>0</v>
      </c>
      <c r="AF150" s="449">
        <v>0</v>
      </c>
    </row>
    <row r="151" spans="1:32" ht="15">
      <c r="A151" s="140" t="str">
        <f t="shared" si="29"/>
        <v>E058</v>
      </c>
      <c r="B151" s="140" t="str">
        <f t="shared" si="28"/>
        <v>1.2.1</v>
      </c>
      <c r="C151" s="140" t="str">
        <f t="shared" si="37"/>
        <v>E058-G1057</v>
      </c>
      <c r="D151" s="140">
        <v>1</v>
      </c>
      <c r="E151" s="140" t="str">
        <f t="shared" si="38"/>
        <v>21115-0111</v>
      </c>
      <c r="F151" s="140" t="str">
        <f t="shared" si="39"/>
        <v>1</v>
      </c>
      <c r="G151" s="140" t="str">
        <f t="shared" si="40"/>
        <v>3341</v>
      </c>
      <c r="H151" s="140" t="str">
        <f t="shared" si="41"/>
        <v>1.2.1/E058-G1057/1/21115-0111/1/3341  Servicios de capacitación</v>
      </c>
      <c r="I151" s="448" t="s">
        <v>2136</v>
      </c>
      <c r="J151" s="924">
        <f t="shared" si="30"/>
        <v>97850</v>
      </c>
      <c r="K151" s="925">
        <f t="shared" si="31"/>
        <v>-86434.880000000005</v>
      </c>
      <c r="L151" s="925">
        <f t="shared" si="32"/>
        <v>11415.12</v>
      </c>
      <c r="M151" s="924">
        <f t="shared" si="33"/>
        <v>11415.12</v>
      </c>
      <c r="N151" s="925">
        <f t="shared" si="34"/>
        <v>11415.12</v>
      </c>
      <c r="O151" s="925">
        <f t="shared" si="35"/>
        <v>11415.12</v>
      </c>
      <c r="P151" s="924">
        <f t="shared" si="36"/>
        <v>11415.12</v>
      </c>
      <c r="Q151" s="924"/>
      <c r="R151" s="448" t="s">
        <v>2136</v>
      </c>
      <c r="S151" s="449">
        <v>97850</v>
      </c>
      <c r="T151" s="449">
        <v>200247.44</v>
      </c>
      <c r="U151" s="449">
        <v>-286682.32</v>
      </c>
      <c r="V151" s="449">
        <v>11415.12</v>
      </c>
      <c r="W151" s="449">
        <v>0</v>
      </c>
      <c r="X151" s="449">
        <v>11415.12</v>
      </c>
      <c r="Y151" s="449">
        <v>11415.12</v>
      </c>
      <c r="Z151" s="449">
        <v>100</v>
      </c>
      <c r="AA151" s="449">
        <v>0</v>
      </c>
      <c r="AB151" s="449">
        <v>0</v>
      </c>
      <c r="AC151" s="449">
        <v>11415.12</v>
      </c>
      <c r="AD151" s="449">
        <v>100</v>
      </c>
      <c r="AE151" s="449">
        <v>0</v>
      </c>
      <c r="AF151" s="449">
        <v>0</v>
      </c>
    </row>
    <row r="152" spans="1:32" ht="15">
      <c r="A152" s="140" t="str">
        <f t="shared" si="29"/>
        <v>E058</v>
      </c>
      <c r="B152" s="140" t="str">
        <f t="shared" si="28"/>
        <v>1.2.1</v>
      </c>
      <c r="C152" s="140" t="str">
        <f t="shared" si="37"/>
        <v>E058-G1057</v>
      </c>
      <c r="D152" s="140">
        <v>1</v>
      </c>
      <c r="E152" s="140" t="str">
        <f t="shared" si="38"/>
        <v>21115-0111</v>
      </c>
      <c r="F152" s="140" t="str">
        <f t="shared" si="39"/>
        <v>1</v>
      </c>
      <c r="G152" s="140" t="str">
        <f t="shared" si="40"/>
        <v>3551</v>
      </c>
      <c r="H152" s="140" t="str">
        <f t="shared" si="41"/>
        <v>1.2.1/E058-G1057/1/21115-0111/1/3551  Mantto Vehíc</v>
      </c>
      <c r="I152" s="448" t="s">
        <v>2147</v>
      </c>
      <c r="J152" s="924">
        <f t="shared" si="30"/>
        <v>15938.21</v>
      </c>
      <c r="K152" s="924">
        <f t="shared" si="31"/>
        <v>-7362.8899999999994</v>
      </c>
      <c r="L152" s="925">
        <f t="shared" si="32"/>
        <v>8575.32</v>
      </c>
      <c r="M152" s="924">
        <f t="shared" si="33"/>
        <v>8575.32</v>
      </c>
      <c r="N152" s="924">
        <f t="shared" si="34"/>
        <v>8575.32</v>
      </c>
      <c r="O152" s="924">
        <f t="shared" si="35"/>
        <v>8575.32</v>
      </c>
      <c r="P152" s="924">
        <f t="shared" si="36"/>
        <v>8575.32</v>
      </c>
      <c r="Q152" s="924"/>
      <c r="R152" s="448" t="s">
        <v>2147</v>
      </c>
      <c r="S152" s="449">
        <v>15938.21</v>
      </c>
      <c r="T152" s="449">
        <v>18544.41</v>
      </c>
      <c r="U152" s="449">
        <v>-25907.3</v>
      </c>
      <c r="V152" s="449">
        <v>8575.32</v>
      </c>
      <c r="W152" s="449">
        <v>0</v>
      </c>
      <c r="X152" s="449">
        <v>8575.32</v>
      </c>
      <c r="Y152" s="449">
        <v>8575.32</v>
      </c>
      <c r="Z152" s="449">
        <v>100</v>
      </c>
      <c r="AA152" s="450">
        <v>0</v>
      </c>
      <c r="AB152" s="449">
        <v>0</v>
      </c>
      <c r="AC152" s="449">
        <v>8575.32</v>
      </c>
      <c r="AD152" s="449">
        <v>100</v>
      </c>
      <c r="AE152" s="449">
        <v>0</v>
      </c>
      <c r="AF152" s="449">
        <v>0</v>
      </c>
    </row>
    <row r="153" spans="1:32" ht="15">
      <c r="A153" s="140" t="str">
        <f t="shared" si="29"/>
        <v>E058</v>
      </c>
      <c r="B153" s="140" t="str">
        <f t="shared" si="28"/>
        <v>1.2.1</v>
      </c>
      <c r="C153" s="140" t="str">
        <f t="shared" si="37"/>
        <v>E058-G1057</v>
      </c>
      <c r="D153" s="140">
        <v>1</v>
      </c>
      <c r="E153" s="140" t="str">
        <f t="shared" si="38"/>
        <v>21115-0111</v>
      </c>
      <c r="F153" s="140" t="str">
        <f t="shared" si="39"/>
        <v>1</v>
      </c>
      <c r="G153" s="140" t="str">
        <f t="shared" si="40"/>
        <v>3611</v>
      </c>
      <c r="H153" s="140" t="str">
        <f t="shared" si="41"/>
        <v>1.2.1/E058-G1057/1/21115-0111/1/3611  Difusión Activ Gub</v>
      </c>
      <c r="I153" s="448" t="s">
        <v>2150</v>
      </c>
      <c r="J153" s="924">
        <f t="shared" si="30"/>
        <v>33578</v>
      </c>
      <c r="K153" s="924">
        <f t="shared" si="31"/>
        <v>-31535.239999999998</v>
      </c>
      <c r="L153" s="924">
        <f t="shared" si="32"/>
        <v>2042.76</v>
      </c>
      <c r="M153" s="924">
        <f t="shared" si="33"/>
        <v>2042.76</v>
      </c>
      <c r="N153" s="924">
        <f t="shared" si="34"/>
        <v>2042.76</v>
      </c>
      <c r="O153" s="924">
        <f t="shared" si="35"/>
        <v>2042.76</v>
      </c>
      <c r="P153" s="924">
        <f t="shared" si="36"/>
        <v>2042.76</v>
      </c>
      <c r="Q153" s="924"/>
      <c r="R153" s="448" t="s">
        <v>2150</v>
      </c>
      <c r="S153" s="449">
        <v>33578</v>
      </c>
      <c r="T153" s="449">
        <v>35620.76</v>
      </c>
      <c r="U153" s="449">
        <v>-67156</v>
      </c>
      <c r="V153" s="449">
        <v>2042.76</v>
      </c>
      <c r="W153" s="449">
        <v>0</v>
      </c>
      <c r="X153" s="449">
        <v>2042.76</v>
      </c>
      <c r="Y153" s="449">
        <v>2042.76</v>
      </c>
      <c r="Z153" s="449">
        <v>100</v>
      </c>
      <c r="AA153" s="450">
        <v>0</v>
      </c>
      <c r="AB153" s="449">
        <v>0</v>
      </c>
      <c r="AC153" s="449">
        <v>2042.76</v>
      </c>
      <c r="AD153" s="449">
        <v>100</v>
      </c>
      <c r="AE153" s="449">
        <v>0</v>
      </c>
      <c r="AF153" s="449">
        <v>0</v>
      </c>
    </row>
    <row r="154" spans="1:32" ht="15">
      <c r="A154" s="140" t="str">
        <f t="shared" si="29"/>
        <v>E058</v>
      </c>
      <c r="B154" s="140" t="str">
        <f t="shared" si="28"/>
        <v>1.2.1</v>
      </c>
      <c r="C154" s="140" t="str">
        <f t="shared" si="37"/>
        <v>E058-G1057</v>
      </c>
      <c r="D154" s="140">
        <v>1</v>
      </c>
      <c r="E154" s="140" t="str">
        <f t="shared" si="38"/>
        <v>21115-0111</v>
      </c>
      <c r="F154" s="140" t="str">
        <f t="shared" si="39"/>
        <v>1</v>
      </c>
      <c r="G154" s="140" t="str">
        <f t="shared" si="40"/>
        <v>3711</v>
      </c>
      <c r="H154" s="140" t="str">
        <f t="shared" si="41"/>
        <v>1.2.1/E058-G1057/1/21115-0111/1/3711  Pasajes aéreos Nac</v>
      </c>
      <c r="I154" s="448" t="s">
        <v>2155</v>
      </c>
      <c r="J154" s="924">
        <f t="shared" si="30"/>
        <v>6180</v>
      </c>
      <c r="K154" s="925">
        <f t="shared" si="31"/>
        <v>-6180</v>
      </c>
      <c r="L154" s="925">
        <f t="shared" si="32"/>
        <v>0</v>
      </c>
      <c r="M154" s="924">
        <f t="shared" si="33"/>
        <v>0</v>
      </c>
      <c r="N154" s="924">
        <f t="shared" si="34"/>
        <v>0</v>
      </c>
      <c r="O154" s="924">
        <f t="shared" si="35"/>
        <v>0</v>
      </c>
      <c r="P154" s="924">
        <f t="shared" si="36"/>
        <v>0</v>
      </c>
      <c r="Q154" s="924"/>
      <c r="R154" s="448" t="s">
        <v>2155</v>
      </c>
      <c r="S154" s="449">
        <v>6180</v>
      </c>
      <c r="T154" s="449">
        <v>6180</v>
      </c>
      <c r="U154" s="449">
        <v>-12360</v>
      </c>
      <c r="V154" s="449">
        <v>0</v>
      </c>
      <c r="W154" s="450">
        <v>0</v>
      </c>
      <c r="X154" s="450">
        <v>0</v>
      </c>
      <c r="Y154" s="449">
        <v>0</v>
      </c>
      <c r="Z154" s="449">
        <v>0</v>
      </c>
      <c r="AA154" s="450">
        <v>0</v>
      </c>
      <c r="AB154" s="449">
        <v>0</v>
      </c>
      <c r="AC154" s="449">
        <v>0</v>
      </c>
      <c r="AD154" s="449">
        <v>0</v>
      </c>
      <c r="AE154" s="449">
        <v>0</v>
      </c>
      <c r="AF154" s="449">
        <v>0</v>
      </c>
    </row>
    <row r="155" spans="1:32" ht="15">
      <c r="A155" s="140" t="str">
        <f t="shared" si="29"/>
        <v>E058</v>
      </c>
      <c r="B155" s="140" t="str">
        <f t="shared" si="28"/>
        <v>1.2.1</v>
      </c>
      <c r="C155" s="140" t="str">
        <f t="shared" si="37"/>
        <v>E058-G1057</v>
      </c>
      <c r="D155" s="140">
        <v>1</v>
      </c>
      <c r="E155" s="140" t="str">
        <f t="shared" si="38"/>
        <v>21115-0111</v>
      </c>
      <c r="F155" s="140" t="str">
        <f t="shared" si="39"/>
        <v>1</v>
      </c>
      <c r="G155" s="140" t="str">
        <f t="shared" si="40"/>
        <v>3721</v>
      </c>
      <c r="H155" s="140" t="str">
        <f t="shared" si="41"/>
        <v>1.2.1/E058-G1057/1/21115-0111/1/3721  Pasajes terr Nac</v>
      </c>
      <c r="I155" s="448" t="s">
        <v>2156</v>
      </c>
      <c r="J155" s="924">
        <f t="shared" si="30"/>
        <v>1030</v>
      </c>
      <c r="K155" s="924">
        <f t="shared" si="31"/>
        <v>-755</v>
      </c>
      <c r="L155" s="924">
        <f t="shared" si="32"/>
        <v>275</v>
      </c>
      <c r="M155" s="924">
        <f t="shared" si="33"/>
        <v>275</v>
      </c>
      <c r="N155" s="924">
        <f t="shared" si="34"/>
        <v>275</v>
      </c>
      <c r="O155" s="924">
        <f t="shared" si="35"/>
        <v>275</v>
      </c>
      <c r="P155" s="924">
        <f t="shared" si="36"/>
        <v>275</v>
      </c>
      <c r="Q155" s="924"/>
      <c r="R155" s="448" t="s">
        <v>2156</v>
      </c>
      <c r="S155" s="449">
        <v>1030</v>
      </c>
      <c r="T155" s="449">
        <v>2305</v>
      </c>
      <c r="U155" s="449">
        <v>-3060</v>
      </c>
      <c r="V155" s="449">
        <v>275</v>
      </c>
      <c r="W155" s="449">
        <v>0</v>
      </c>
      <c r="X155" s="449">
        <v>275</v>
      </c>
      <c r="Y155" s="449">
        <v>275</v>
      </c>
      <c r="Z155" s="449">
        <v>100</v>
      </c>
      <c r="AA155" s="449">
        <v>0</v>
      </c>
      <c r="AB155" s="449">
        <v>0</v>
      </c>
      <c r="AC155" s="449">
        <v>275</v>
      </c>
      <c r="AD155" s="449">
        <v>100</v>
      </c>
      <c r="AE155" s="449">
        <v>0</v>
      </c>
      <c r="AF155" s="449">
        <v>0</v>
      </c>
    </row>
    <row r="156" spans="1:32" ht="15">
      <c r="A156" s="140" t="str">
        <f t="shared" si="29"/>
        <v>E058</v>
      </c>
      <c r="B156" s="140" t="str">
        <f t="shared" si="28"/>
        <v>1.2.1</v>
      </c>
      <c r="C156" s="140" t="str">
        <f t="shared" si="37"/>
        <v>E058-G1057</v>
      </c>
      <c r="D156" s="140">
        <v>1</v>
      </c>
      <c r="E156" s="140" t="str">
        <f t="shared" si="38"/>
        <v>21115-0111</v>
      </c>
      <c r="F156" s="140" t="str">
        <f t="shared" si="39"/>
        <v>1</v>
      </c>
      <c r="G156" s="140" t="str">
        <f t="shared" si="40"/>
        <v>3751</v>
      </c>
      <c r="H156" s="140" t="str">
        <f t="shared" si="41"/>
        <v>1.2.1/E058-G1057/1/21115-0111/1/3751  Viáticos nacionales</v>
      </c>
      <c r="I156" s="448" t="s">
        <v>2157</v>
      </c>
      <c r="J156" s="924">
        <f t="shared" si="30"/>
        <v>2060</v>
      </c>
      <c r="K156" s="924">
        <f t="shared" si="31"/>
        <v>-870.98999999999978</v>
      </c>
      <c r="L156" s="925">
        <f t="shared" si="32"/>
        <v>1189.01</v>
      </c>
      <c r="M156" s="924">
        <f t="shared" si="33"/>
        <v>1189.01</v>
      </c>
      <c r="N156" s="924">
        <f t="shared" si="34"/>
        <v>1189.01</v>
      </c>
      <c r="O156" s="924">
        <f t="shared" si="35"/>
        <v>1189.01</v>
      </c>
      <c r="P156" s="924">
        <f t="shared" si="36"/>
        <v>1189.01</v>
      </c>
      <c r="Q156" s="924"/>
      <c r="R156" s="448" t="s">
        <v>2157</v>
      </c>
      <c r="S156" s="449">
        <v>2060</v>
      </c>
      <c r="T156" s="449">
        <v>4720.99</v>
      </c>
      <c r="U156" s="449">
        <v>-5591.98</v>
      </c>
      <c r="V156" s="449">
        <v>1189.01</v>
      </c>
      <c r="W156" s="449">
        <v>0</v>
      </c>
      <c r="X156" s="449">
        <v>1189.01</v>
      </c>
      <c r="Y156" s="449">
        <v>1189.01</v>
      </c>
      <c r="Z156" s="449">
        <v>100</v>
      </c>
      <c r="AA156" s="449">
        <v>0</v>
      </c>
      <c r="AB156" s="449">
        <v>0</v>
      </c>
      <c r="AC156" s="449">
        <v>1189.01</v>
      </c>
      <c r="AD156" s="449">
        <v>100</v>
      </c>
      <c r="AE156" s="449">
        <v>0</v>
      </c>
      <c r="AF156" s="449">
        <v>0</v>
      </c>
    </row>
    <row r="157" spans="1:32" ht="15">
      <c r="A157" s="140" t="str">
        <f t="shared" si="29"/>
        <v>E058</v>
      </c>
      <c r="B157" s="140" t="str">
        <f t="shared" si="28"/>
        <v>1.2.1</v>
      </c>
      <c r="C157" s="140" t="str">
        <f t="shared" si="37"/>
        <v>E058-G1057</v>
      </c>
      <c r="D157" s="140">
        <v>1</v>
      </c>
      <c r="E157" s="140" t="str">
        <f t="shared" si="38"/>
        <v>21115-0111</v>
      </c>
      <c r="F157" s="140" t="str">
        <f t="shared" si="39"/>
        <v>1</v>
      </c>
      <c r="G157" s="140" t="str">
        <f t="shared" si="40"/>
        <v>3811</v>
      </c>
      <c r="H157" s="140" t="str">
        <f t="shared" si="41"/>
        <v>1.2.1/E058-G1057/1/21115-0111/1/3811  Gastos de ceremonial</v>
      </c>
      <c r="I157" s="448" t="s">
        <v>2158</v>
      </c>
      <c r="J157" s="924">
        <f t="shared" si="30"/>
        <v>41715</v>
      </c>
      <c r="K157" s="925">
        <f t="shared" si="31"/>
        <v>-29881.449999999997</v>
      </c>
      <c r="L157" s="925">
        <f t="shared" si="32"/>
        <v>11833.55</v>
      </c>
      <c r="M157" s="924">
        <f t="shared" si="33"/>
        <v>11833.55</v>
      </c>
      <c r="N157" s="924">
        <f t="shared" si="34"/>
        <v>11833.55</v>
      </c>
      <c r="O157" s="924">
        <f t="shared" si="35"/>
        <v>11833.55</v>
      </c>
      <c r="P157" s="924">
        <f t="shared" si="36"/>
        <v>11833.55</v>
      </c>
      <c r="Q157" s="924"/>
      <c r="R157" s="448" t="s">
        <v>2158</v>
      </c>
      <c r="S157" s="449">
        <v>41715</v>
      </c>
      <c r="T157" s="449">
        <v>59748.5</v>
      </c>
      <c r="U157" s="449">
        <v>-89629.95</v>
      </c>
      <c r="V157" s="449">
        <v>11833.55</v>
      </c>
      <c r="W157" s="449">
        <v>0</v>
      </c>
      <c r="X157" s="449">
        <v>11833.55</v>
      </c>
      <c r="Y157" s="449">
        <v>11833.55</v>
      </c>
      <c r="Z157" s="449">
        <v>100</v>
      </c>
      <c r="AA157" s="450">
        <v>0</v>
      </c>
      <c r="AB157" s="449">
        <v>0</v>
      </c>
      <c r="AC157" s="449">
        <v>11833.55</v>
      </c>
      <c r="AD157" s="449">
        <v>100</v>
      </c>
      <c r="AE157" s="449">
        <v>0</v>
      </c>
      <c r="AF157" s="449">
        <v>0</v>
      </c>
    </row>
    <row r="158" spans="1:32" ht="15">
      <c r="A158" s="140" t="str">
        <f t="shared" si="29"/>
        <v>E058</v>
      </c>
      <c r="B158" s="140" t="str">
        <f t="shared" si="28"/>
        <v>1.2.1</v>
      </c>
      <c r="C158" s="140" t="str">
        <f t="shared" si="37"/>
        <v>E058-G1057</v>
      </c>
      <c r="D158" s="140">
        <v>1</v>
      </c>
      <c r="E158" s="140" t="str">
        <f t="shared" si="38"/>
        <v>21115-0111</v>
      </c>
      <c r="F158" s="140" t="str">
        <f t="shared" si="39"/>
        <v>1</v>
      </c>
      <c r="G158" s="140" t="str">
        <f t="shared" si="40"/>
        <v>3981</v>
      </c>
      <c r="H158" s="140" t="str">
        <f t="shared" si="41"/>
        <v>1.2.1/E058-G1057/1/21115-0111/1/3981  Impuesto sobre nóminas</v>
      </c>
      <c r="I158" s="448" t="s">
        <v>2162</v>
      </c>
      <c r="J158" s="924">
        <f t="shared" si="30"/>
        <v>21793.33</v>
      </c>
      <c r="K158" s="925">
        <f t="shared" si="31"/>
        <v>1625.7700000000004</v>
      </c>
      <c r="L158" s="925">
        <f t="shared" si="32"/>
        <v>23419.1</v>
      </c>
      <c r="M158" s="924">
        <f t="shared" si="33"/>
        <v>23419.1</v>
      </c>
      <c r="N158" s="925">
        <f t="shared" si="34"/>
        <v>23419.1</v>
      </c>
      <c r="O158" s="925">
        <f t="shared" si="35"/>
        <v>23419.1</v>
      </c>
      <c r="P158" s="924">
        <f t="shared" si="36"/>
        <v>23419.1</v>
      </c>
      <c r="Q158" s="924"/>
      <c r="R158" s="448" t="s">
        <v>2162</v>
      </c>
      <c r="S158" s="449">
        <v>21793.33</v>
      </c>
      <c r="T158" s="449">
        <v>17711.86</v>
      </c>
      <c r="U158" s="449">
        <v>-16086.09</v>
      </c>
      <c r="V158" s="449">
        <v>23419.1</v>
      </c>
      <c r="W158" s="449">
        <v>0</v>
      </c>
      <c r="X158" s="449">
        <v>23419.1</v>
      </c>
      <c r="Y158" s="449">
        <v>23419.1</v>
      </c>
      <c r="Z158" s="449">
        <v>100</v>
      </c>
      <c r="AA158" s="449">
        <v>0</v>
      </c>
      <c r="AB158" s="449">
        <v>0</v>
      </c>
      <c r="AC158" s="449">
        <v>23419.1</v>
      </c>
      <c r="AD158" s="449">
        <v>100</v>
      </c>
      <c r="AE158" s="449">
        <v>0</v>
      </c>
      <c r="AF158" s="449">
        <v>0</v>
      </c>
    </row>
    <row r="159" spans="1:32" ht="15">
      <c r="A159" s="140" t="str">
        <f t="shared" si="29"/>
        <v>E058</v>
      </c>
      <c r="B159" s="140" t="str">
        <f t="shared" si="28"/>
        <v>1.2.1</v>
      </c>
      <c r="C159" s="140" t="str">
        <f t="shared" si="37"/>
        <v>E058-G1057</v>
      </c>
      <c r="D159" s="140">
        <v>1</v>
      </c>
      <c r="E159" s="140" t="str">
        <f t="shared" si="38"/>
        <v>21115-0111</v>
      </c>
      <c r="F159" s="140" t="str">
        <f t="shared" si="39"/>
        <v>2</v>
      </c>
      <c r="G159" s="140" t="str">
        <f t="shared" si="40"/>
        <v>5151</v>
      </c>
      <c r="H159" s="140" t="str">
        <f t="shared" si="41"/>
        <v>1.2.1/E058-G1057/1/21115-0111/2/5151  Computadoras</v>
      </c>
      <c r="I159" s="448" t="s">
        <v>2164</v>
      </c>
      <c r="J159" s="924">
        <f t="shared" si="30"/>
        <v>16222.5</v>
      </c>
      <c r="K159" s="924">
        <f t="shared" si="31"/>
        <v>-16222.5</v>
      </c>
      <c r="L159" s="925">
        <f t="shared" si="32"/>
        <v>0</v>
      </c>
      <c r="M159" s="924">
        <f t="shared" si="33"/>
        <v>0</v>
      </c>
      <c r="N159" s="925">
        <f t="shared" si="34"/>
        <v>0</v>
      </c>
      <c r="O159" s="925">
        <f t="shared" si="35"/>
        <v>0</v>
      </c>
      <c r="P159" s="924">
        <f t="shared" si="36"/>
        <v>0</v>
      </c>
      <c r="Q159" s="924"/>
      <c r="R159" s="448" t="s">
        <v>2164</v>
      </c>
      <c r="S159" s="449">
        <v>16222.5</v>
      </c>
      <c r="T159" s="449">
        <v>44524.38</v>
      </c>
      <c r="U159" s="449">
        <v>-60746.879999999997</v>
      </c>
      <c r="V159" s="449">
        <v>0</v>
      </c>
      <c r="W159" s="450">
        <v>0</v>
      </c>
      <c r="X159" s="450">
        <v>0</v>
      </c>
      <c r="Y159" s="449">
        <v>0</v>
      </c>
      <c r="Z159" s="449">
        <v>0</v>
      </c>
      <c r="AA159" s="450">
        <v>0</v>
      </c>
      <c r="AB159" s="449">
        <v>0</v>
      </c>
      <c r="AC159" s="449">
        <v>0</v>
      </c>
      <c r="AD159" s="449">
        <v>0</v>
      </c>
      <c r="AE159" s="449">
        <v>0</v>
      </c>
      <c r="AF159" s="449">
        <v>0</v>
      </c>
    </row>
    <row r="160" spans="1:32" ht="15" hidden="1">
      <c r="A160" s="140" t="str">
        <f t="shared" si="29"/>
        <v>E058</v>
      </c>
      <c r="B160" s="140" t="str">
        <f t="shared" si="28"/>
        <v>1.2.1</v>
      </c>
      <c r="C160" s="140" t="str">
        <f t="shared" si="37"/>
        <v>E058-G1057</v>
      </c>
      <c r="D160" s="140">
        <v>1</v>
      </c>
      <c r="E160" s="140" t="str">
        <f t="shared" si="38"/>
        <v>21115-0111</v>
      </c>
      <c r="F160" s="140" t="str">
        <f t="shared" si="39"/>
        <v>1</v>
      </c>
      <c r="G160" s="140" t="str">
        <f t="shared" si="40"/>
        <v/>
      </c>
      <c r="H160" s="140" t="str">
        <f t="shared" si="41"/>
        <v/>
      </c>
      <c r="I160" s="918" t="s">
        <v>2175</v>
      </c>
      <c r="J160" s="924">
        <f t="shared" si="30"/>
        <v>49888057.920000002</v>
      </c>
      <c r="K160" s="924">
        <f t="shared" si="31"/>
        <v>5782459.6499999985</v>
      </c>
      <c r="L160" s="925">
        <f t="shared" si="32"/>
        <v>55670517.57</v>
      </c>
      <c r="M160" s="924">
        <f t="shared" si="33"/>
        <v>55670517.57</v>
      </c>
      <c r="N160" s="925">
        <f t="shared" si="34"/>
        <v>55670517.57</v>
      </c>
      <c r="O160" s="925">
        <f t="shared" si="35"/>
        <v>55670517.57</v>
      </c>
      <c r="P160" s="924">
        <f t="shared" si="36"/>
        <v>55669467.57</v>
      </c>
      <c r="Q160" s="924"/>
      <c r="R160" s="918" t="s">
        <v>2175</v>
      </c>
      <c r="S160" s="919">
        <v>49888057.920000002</v>
      </c>
      <c r="T160" s="919">
        <v>33370298.93</v>
      </c>
      <c r="U160" s="919">
        <v>-27587839.280000001</v>
      </c>
      <c r="V160" s="919">
        <v>55670517.57</v>
      </c>
      <c r="W160" s="919">
        <v>1050</v>
      </c>
      <c r="X160" s="919">
        <v>55669467.57</v>
      </c>
      <c r="Y160" s="919">
        <v>55670517.57</v>
      </c>
      <c r="Z160" s="919">
        <v>100</v>
      </c>
      <c r="AA160" s="919">
        <v>0</v>
      </c>
      <c r="AB160" s="919">
        <v>0</v>
      </c>
      <c r="AC160" s="919">
        <v>55670517.57</v>
      </c>
      <c r="AD160" s="919">
        <v>100</v>
      </c>
      <c r="AE160" s="919">
        <v>0</v>
      </c>
      <c r="AF160" s="919">
        <v>0</v>
      </c>
    </row>
    <row r="161" spans="1:32" ht="15" hidden="1">
      <c r="A161" s="140" t="str">
        <f t="shared" si="29"/>
        <v>E058</v>
      </c>
      <c r="B161" s="140" t="str">
        <f t="shared" si="28"/>
        <v>1.2.1</v>
      </c>
      <c r="C161" s="140" t="str">
        <f t="shared" si="37"/>
        <v>E058-P0850</v>
      </c>
      <c r="D161" s="140">
        <v>1</v>
      </c>
      <c r="E161" s="140" t="str">
        <f t="shared" si="38"/>
        <v>21115-0111</v>
      </c>
      <c r="F161" s="140" t="str">
        <f t="shared" si="39"/>
        <v>1</v>
      </c>
      <c r="G161" s="140" t="str">
        <f t="shared" si="40"/>
        <v/>
      </c>
      <c r="H161" s="140" t="str">
        <f t="shared" si="41"/>
        <v/>
      </c>
      <c r="I161" s="918" t="s">
        <v>2176</v>
      </c>
      <c r="J161" s="925">
        <f t="shared" si="30"/>
        <v>49888057.920000002</v>
      </c>
      <c r="K161" s="924">
        <f t="shared" si="31"/>
        <v>5782459.6499999985</v>
      </c>
      <c r="L161" s="925">
        <f t="shared" si="32"/>
        <v>55670517.57</v>
      </c>
      <c r="M161" s="924">
        <f t="shared" si="33"/>
        <v>55670517.57</v>
      </c>
      <c r="N161" s="925">
        <f t="shared" si="34"/>
        <v>55670517.57</v>
      </c>
      <c r="O161" s="925">
        <f t="shared" si="35"/>
        <v>55670517.57</v>
      </c>
      <c r="P161" s="924">
        <f t="shared" si="36"/>
        <v>55669467.57</v>
      </c>
      <c r="Q161" s="924"/>
      <c r="R161" s="918" t="s">
        <v>2176</v>
      </c>
      <c r="S161" s="919">
        <v>49888057.920000002</v>
      </c>
      <c r="T161" s="919">
        <v>33370298.93</v>
      </c>
      <c r="U161" s="919">
        <v>-27587839.280000001</v>
      </c>
      <c r="V161" s="919">
        <v>55670517.57</v>
      </c>
      <c r="W161" s="919">
        <v>1050</v>
      </c>
      <c r="X161" s="919">
        <v>55669467.57</v>
      </c>
      <c r="Y161" s="919">
        <v>55670517.57</v>
      </c>
      <c r="Z161" s="919">
        <v>100</v>
      </c>
      <c r="AA161" s="919">
        <v>0</v>
      </c>
      <c r="AB161" s="919">
        <v>0</v>
      </c>
      <c r="AC161" s="919">
        <v>55670517.57</v>
      </c>
      <c r="AD161" s="919">
        <v>100</v>
      </c>
      <c r="AE161" s="919">
        <v>0</v>
      </c>
      <c r="AF161" s="919">
        <v>0</v>
      </c>
    </row>
    <row r="162" spans="1:32" ht="15" hidden="1">
      <c r="A162" s="140" t="str">
        <f t="shared" si="29"/>
        <v>E058</v>
      </c>
      <c r="B162" s="140" t="str">
        <f t="shared" si="28"/>
        <v>1.2.1</v>
      </c>
      <c r="C162" s="140" t="str">
        <f t="shared" si="37"/>
        <v>E058-P0850</v>
      </c>
      <c r="D162" s="140">
        <v>1</v>
      </c>
      <c r="E162" s="140" t="str">
        <f t="shared" si="38"/>
        <v>21115-0111</v>
      </c>
      <c r="F162" s="140" t="str">
        <f t="shared" si="39"/>
        <v>1</v>
      </c>
      <c r="G162" s="140" t="str">
        <f t="shared" si="40"/>
        <v/>
      </c>
      <c r="H162" s="140" t="str">
        <f t="shared" si="41"/>
        <v/>
      </c>
      <c r="I162" s="971" t="s">
        <v>2086</v>
      </c>
      <c r="J162" s="924">
        <f t="shared" si="30"/>
        <v>0</v>
      </c>
      <c r="K162" s="925">
        <f t="shared" si="31"/>
        <v>255000</v>
      </c>
      <c r="L162" s="925">
        <f t="shared" si="32"/>
        <v>255000</v>
      </c>
      <c r="M162" s="924">
        <f t="shared" si="33"/>
        <v>255000</v>
      </c>
      <c r="N162" s="925">
        <f t="shared" si="34"/>
        <v>255000</v>
      </c>
      <c r="O162" s="925">
        <f t="shared" si="35"/>
        <v>255000</v>
      </c>
      <c r="P162" s="924">
        <f t="shared" si="36"/>
        <v>255000</v>
      </c>
      <c r="Q162" s="924"/>
      <c r="R162" s="971" t="s">
        <v>2086</v>
      </c>
      <c r="S162" s="973">
        <v>0</v>
      </c>
      <c r="T162" s="972">
        <v>510000</v>
      </c>
      <c r="U162" s="972">
        <v>-255000</v>
      </c>
      <c r="V162" s="972">
        <v>255000</v>
      </c>
      <c r="W162" s="973">
        <v>0</v>
      </c>
      <c r="X162" s="972">
        <v>255000</v>
      </c>
      <c r="Y162" s="972">
        <v>255000</v>
      </c>
      <c r="Z162" s="972">
        <v>100</v>
      </c>
      <c r="AA162" s="973">
        <v>0</v>
      </c>
      <c r="AB162" s="972">
        <v>0</v>
      </c>
      <c r="AC162" s="972">
        <v>255000</v>
      </c>
      <c r="AD162" s="972">
        <v>100</v>
      </c>
      <c r="AE162" s="972">
        <v>0</v>
      </c>
      <c r="AF162" s="972">
        <v>0</v>
      </c>
    </row>
    <row r="163" spans="1:32" ht="15" hidden="1">
      <c r="A163" s="140" t="str">
        <f t="shared" si="29"/>
        <v>E058</v>
      </c>
      <c r="B163" s="140" t="str">
        <f t="shared" si="28"/>
        <v>1.2.1</v>
      </c>
      <c r="C163" s="140" t="str">
        <f t="shared" si="37"/>
        <v>E058-P0850</v>
      </c>
      <c r="D163" s="140">
        <v>1</v>
      </c>
      <c r="E163" s="140" t="str">
        <f t="shared" si="38"/>
        <v>21115-0100</v>
      </c>
      <c r="F163" s="140" t="str">
        <f t="shared" si="39"/>
        <v>1</v>
      </c>
      <c r="G163" s="140" t="str">
        <f t="shared" si="40"/>
        <v/>
      </c>
      <c r="H163" s="140" t="str">
        <f t="shared" si="41"/>
        <v/>
      </c>
      <c r="I163" s="455" t="s">
        <v>2177</v>
      </c>
      <c r="J163" s="924">
        <f t="shared" si="30"/>
        <v>0</v>
      </c>
      <c r="K163" s="924">
        <f t="shared" si="31"/>
        <v>255000</v>
      </c>
      <c r="L163" s="925">
        <f t="shared" si="32"/>
        <v>255000</v>
      </c>
      <c r="M163" s="924">
        <f t="shared" si="33"/>
        <v>255000</v>
      </c>
      <c r="N163" s="924">
        <f t="shared" si="34"/>
        <v>255000</v>
      </c>
      <c r="O163" s="924">
        <f t="shared" si="35"/>
        <v>255000</v>
      </c>
      <c r="P163" s="924">
        <f t="shared" si="36"/>
        <v>255000</v>
      </c>
      <c r="Q163" s="924"/>
      <c r="R163" s="455" t="s">
        <v>2177</v>
      </c>
      <c r="S163" s="899">
        <v>0</v>
      </c>
      <c r="T163" s="456">
        <v>510000</v>
      </c>
      <c r="U163" s="456">
        <v>-255000</v>
      </c>
      <c r="V163" s="456">
        <v>255000</v>
      </c>
      <c r="W163" s="899">
        <v>0</v>
      </c>
      <c r="X163" s="456">
        <v>255000</v>
      </c>
      <c r="Y163" s="456">
        <v>255000</v>
      </c>
      <c r="Z163" s="456">
        <v>100</v>
      </c>
      <c r="AA163" s="899">
        <v>0</v>
      </c>
      <c r="AB163" s="456">
        <v>0</v>
      </c>
      <c r="AC163" s="456">
        <v>255000</v>
      </c>
      <c r="AD163" s="456">
        <v>100</v>
      </c>
      <c r="AE163" s="456">
        <v>0</v>
      </c>
      <c r="AF163" s="456">
        <v>0</v>
      </c>
    </row>
    <row r="164" spans="1:32" ht="15">
      <c r="A164" s="140" t="str">
        <f t="shared" si="29"/>
        <v>E058</v>
      </c>
      <c r="B164" s="140" t="str">
        <f t="shared" si="28"/>
        <v>1.2.1</v>
      </c>
      <c r="C164" s="140" t="str">
        <f t="shared" si="37"/>
        <v>E058-P0850</v>
      </c>
      <c r="D164" s="140">
        <v>1</v>
      </c>
      <c r="E164" s="140" t="str">
        <f t="shared" si="38"/>
        <v>21115-0100</v>
      </c>
      <c r="F164" s="140" t="str">
        <f t="shared" si="39"/>
        <v>2</v>
      </c>
      <c r="G164" s="140" t="str">
        <f t="shared" si="40"/>
        <v>5411</v>
      </c>
      <c r="H164" s="140" t="str">
        <f t="shared" si="41"/>
        <v>1.2.1/E058-P0850/1/21115-0100/2/5411  Automóviles y camiones</v>
      </c>
      <c r="I164" s="448" t="s">
        <v>2166</v>
      </c>
      <c r="J164" s="924">
        <f t="shared" si="30"/>
        <v>0</v>
      </c>
      <c r="K164" s="925">
        <f t="shared" si="31"/>
        <v>255000</v>
      </c>
      <c r="L164" s="925">
        <f t="shared" si="32"/>
        <v>255000</v>
      </c>
      <c r="M164" s="924">
        <f t="shared" si="33"/>
        <v>255000</v>
      </c>
      <c r="N164" s="924">
        <f t="shared" si="34"/>
        <v>255000</v>
      </c>
      <c r="O164" s="924">
        <f t="shared" si="35"/>
        <v>255000</v>
      </c>
      <c r="P164" s="924">
        <f t="shared" si="36"/>
        <v>255000</v>
      </c>
      <c r="Q164" s="924"/>
      <c r="R164" s="448" t="s">
        <v>2166</v>
      </c>
      <c r="S164" s="450">
        <v>0</v>
      </c>
      <c r="T164" s="449">
        <v>510000</v>
      </c>
      <c r="U164" s="449">
        <v>-255000</v>
      </c>
      <c r="V164" s="449">
        <v>255000</v>
      </c>
      <c r="W164" s="450">
        <v>0</v>
      </c>
      <c r="X164" s="449">
        <v>255000</v>
      </c>
      <c r="Y164" s="449">
        <v>255000</v>
      </c>
      <c r="Z164" s="449">
        <v>100</v>
      </c>
      <c r="AA164" s="450">
        <v>0</v>
      </c>
      <c r="AB164" s="449">
        <v>0</v>
      </c>
      <c r="AC164" s="449">
        <v>255000</v>
      </c>
      <c r="AD164" s="449">
        <v>100</v>
      </c>
      <c r="AE164" s="449">
        <v>0</v>
      </c>
      <c r="AF164" s="449">
        <v>0</v>
      </c>
    </row>
    <row r="165" spans="1:32" ht="15" hidden="1">
      <c r="A165" s="140" t="str">
        <f t="shared" si="29"/>
        <v>E058</v>
      </c>
      <c r="B165" s="140" t="str">
        <f t="shared" si="28"/>
        <v>1.2.1</v>
      </c>
      <c r="C165" s="140" t="str">
        <f t="shared" si="37"/>
        <v>E058-P0850</v>
      </c>
      <c r="D165" s="140">
        <v>1</v>
      </c>
      <c r="E165" s="140" t="str">
        <f t="shared" si="38"/>
        <v>21115-0100</v>
      </c>
      <c r="F165" s="140" t="str">
        <f t="shared" si="39"/>
        <v>1</v>
      </c>
      <c r="G165" s="140" t="str">
        <f t="shared" si="40"/>
        <v/>
      </c>
      <c r="H165" s="140" t="str">
        <f t="shared" si="41"/>
        <v/>
      </c>
      <c r="I165" s="971" t="s">
        <v>2091</v>
      </c>
      <c r="J165" s="924">
        <f t="shared" si="30"/>
        <v>49888057.920000002</v>
      </c>
      <c r="K165" s="924">
        <f t="shared" si="31"/>
        <v>5527459.6499999985</v>
      </c>
      <c r="L165" s="925">
        <f t="shared" si="32"/>
        <v>55415517.57</v>
      </c>
      <c r="M165" s="924">
        <f t="shared" si="33"/>
        <v>55415517.57</v>
      </c>
      <c r="N165" s="924">
        <f t="shared" si="34"/>
        <v>55415517.57</v>
      </c>
      <c r="O165" s="924">
        <f t="shared" si="35"/>
        <v>55415517.57</v>
      </c>
      <c r="P165" s="924">
        <f t="shared" si="36"/>
        <v>55414467.57</v>
      </c>
      <c r="Q165" s="924"/>
      <c r="R165" s="971" t="s">
        <v>2091</v>
      </c>
      <c r="S165" s="972">
        <v>49888057.920000002</v>
      </c>
      <c r="T165" s="972">
        <v>32860298.93</v>
      </c>
      <c r="U165" s="972">
        <v>-27332839.280000001</v>
      </c>
      <c r="V165" s="972">
        <v>55415517.57</v>
      </c>
      <c r="W165" s="972">
        <v>1050</v>
      </c>
      <c r="X165" s="972">
        <v>55414467.57</v>
      </c>
      <c r="Y165" s="972">
        <v>55415517.57</v>
      </c>
      <c r="Z165" s="972">
        <v>100</v>
      </c>
      <c r="AA165" s="972">
        <v>0</v>
      </c>
      <c r="AB165" s="972">
        <v>0</v>
      </c>
      <c r="AC165" s="972">
        <v>55415517.57</v>
      </c>
      <c r="AD165" s="972">
        <v>100</v>
      </c>
      <c r="AE165" s="972">
        <v>0</v>
      </c>
      <c r="AF165" s="972">
        <v>0</v>
      </c>
    </row>
    <row r="166" spans="1:32" ht="15" hidden="1">
      <c r="A166" s="140" t="str">
        <f t="shared" si="29"/>
        <v>E058</v>
      </c>
      <c r="B166" s="140" t="str">
        <f t="shared" si="28"/>
        <v>1.2.1</v>
      </c>
      <c r="C166" s="140" t="str">
        <f t="shared" si="37"/>
        <v>E058-P0850</v>
      </c>
      <c r="D166" s="140">
        <v>1</v>
      </c>
      <c r="E166" s="140" t="str">
        <f t="shared" si="38"/>
        <v>21115-0100</v>
      </c>
      <c r="F166" s="140" t="str">
        <f t="shared" si="39"/>
        <v>1</v>
      </c>
      <c r="G166" s="140" t="str">
        <f t="shared" si="40"/>
        <v/>
      </c>
      <c r="H166" s="140" t="str">
        <f t="shared" si="41"/>
        <v/>
      </c>
      <c r="I166" s="455" t="s">
        <v>2177</v>
      </c>
      <c r="J166" s="924">
        <f t="shared" si="30"/>
        <v>49888057.920000002</v>
      </c>
      <c r="K166" s="925">
        <f t="shared" si="31"/>
        <v>5527459.6499999985</v>
      </c>
      <c r="L166" s="925">
        <f t="shared" si="32"/>
        <v>55415517.57</v>
      </c>
      <c r="M166" s="924">
        <f t="shared" si="33"/>
        <v>55415517.57</v>
      </c>
      <c r="N166" s="925">
        <f t="shared" si="34"/>
        <v>55415517.57</v>
      </c>
      <c r="O166" s="925">
        <f t="shared" si="35"/>
        <v>55415517.57</v>
      </c>
      <c r="P166" s="924">
        <f t="shared" si="36"/>
        <v>55414467.57</v>
      </c>
      <c r="Q166" s="924"/>
      <c r="R166" s="455" t="s">
        <v>2177</v>
      </c>
      <c r="S166" s="456">
        <v>49888057.920000002</v>
      </c>
      <c r="T166" s="456">
        <v>32786089.07</v>
      </c>
      <c r="U166" s="456">
        <v>-27258629.420000002</v>
      </c>
      <c r="V166" s="456">
        <v>55415517.57</v>
      </c>
      <c r="W166" s="456">
        <v>1050</v>
      </c>
      <c r="X166" s="456">
        <v>55414467.57</v>
      </c>
      <c r="Y166" s="456">
        <v>55415517.57</v>
      </c>
      <c r="Z166" s="456">
        <v>100</v>
      </c>
      <c r="AA166" s="456">
        <v>0</v>
      </c>
      <c r="AB166" s="456">
        <v>0</v>
      </c>
      <c r="AC166" s="456">
        <v>55415517.57</v>
      </c>
      <c r="AD166" s="456">
        <v>100</v>
      </c>
      <c r="AE166" s="456">
        <v>0</v>
      </c>
      <c r="AF166" s="456">
        <v>0</v>
      </c>
    </row>
    <row r="167" spans="1:32" ht="15">
      <c r="A167" s="140" t="str">
        <f t="shared" si="29"/>
        <v>E058</v>
      </c>
      <c r="B167" s="140" t="str">
        <f t="shared" si="28"/>
        <v>1.2.1</v>
      </c>
      <c r="C167" s="140" t="str">
        <f t="shared" si="37"/>
        <v>E058-P0850</v>
      </c>
      <c r="D167" s="140">
        <v>1</v>
      </c>
      <c r="E167" s="140" t="str">
        <f t="shared" si="38"/>
        <v>21115-0100</v>
      </c>
      <c r="F167" s="140" t="str">
        <f t="shared" si="39"/>
        <v>1</v>
      </c>
      <c r="G167" s="140" t="str">
        <f t="shared" si="40"/>
        <v>1131</v>
      </c>
      <c r="H167" s="140" t="str">
        <f t="shared" si="41"/>
        <v>1.2.1/E058-P0850/1/21115-0100/1/1131  Sueldos Base</v>
      </c>
      <c r="I167" s="448" t="s">
        <v>2092</v>
      </c>
      <c r="J167" s="924">
        <f t="shared" si="30"/>
        <v>9538604.8100000005</v>
      </c>
      <c r="K167" s="925">
        <f t="shared" si="31"/>
        <v>1244724.4400000002</v>
      </c>
      <c r="L167" s="925">
        <f t="shared" si="32"/>
        <v>10783329.25</v>
      </c>
      <c r="M167" s="924">
        <f t="shared" si="33"/>
        <v>10783329.25</v>
      </c>
      <c r="N167" s="925">
        <f t="shared" si="34"/>
        <v>10783329.25</v>
      </c>
      <c r="O167" s="925">
        <f t="shared" si="35"/>
        <v>10783329.25</v>
      </c>
      <c r="P167" s="924">
        <f t="shared" si="36"/>
        <v>10783329.25</v>
      </c>
      <c r="Q167" s="924"/>
      <c r="R167" s="448" t="s">
        <v>2092</v>
      </c>
      <c r="S167" s="449">
        <v>9538604.8100000005</v>
      </c>
      <c r="T167" s="449">
        <v>2640279.6</v>
      </c>
      <c r="U167" s="449">
        <v>-1395555.16</v>
      </c>
      <c r="V167" s="449">
        <v>10783329.25</v>
      </c>
      <c r="W167" s="449">
        <v>0</v>
      </c>
      <c r="X167" s="449">
        <v>10783329.25</v>
      </c>
      <c r="Y167" s="449">
        <v>10783329.25</v>
      </c>
      <c r="Z167" s="449">
        <v>100</v>
      </c>
      <c r="AA167" s="449">
        <v>0</v>
      </c>
      <c r="AB167" s="449">
        <v>0</v>
      </c>
      <c r="AC167" s="449">
        <v>10783329.25</v>
      </c>
      <c r="AD167" s="449">
        <v>100</v>
      </c>
      <c r="AE167" s="449">
        <v>0</v>
      </c>
      <c r="AF167" s="449">
        <v>0</v>
      </c>
    </row>
    <row r="168" spans="1:32" ht="15">
      <c r="A168" s="140" t="str">
        <f t="shared" si="29"/>
        <v>E058</v>
      </c>
      <c r="B168" s="140" t="str">
        <f t="shared" si="28"/>
        <v>1.2.1</v>
      </c>
      <c r="C168" s="140" t="str">
        <f t="shared" si="37"/>
        <v>E058-P0850</v>
      </c>
      <c r="D168" s="140">
        <v>1</v>
      </c>
      <c r="E168" s="140" t="str">
        <f t="shared" si="38"/>
        <v>21115-0100</v>
      </c>
      <c r="F168" s="140" t="str">
        <f t="shared" si="39"/>
        <v>1</v>
      </c>
      <c r="G168" s="140" t="str">
        <f t="shared" si="40"/>
        <v>1211</v>
      </c>
      <c r="H168" s="140" t="str">
        <f t="shared" si="41"/>
        <v>1.2.1/E058-P0850/1/21115-0100/1/1211  Honorarios</v>
      </c>
      <c r="I168" s="448" t="s">
        <v>2178</v>
      </c>
      <c r="J168" s="924">
        <f t="shared" si="30"/>
        <v>20000</v>
      </c>
      <c r="K168" s="925">
        <f t="shared" si="31"/>
        <v>-20000</v>
      </c>
      <c r="L168" s="925">
        <f t="shared" si="32"/>
        <v>0</v>
      </c>
      <c r="M168" s="924">
        <f t="shared" si="33"/>
        <v>0</v>
      </c>
      <c r="N168" s="925">
        <f t="shared" si="34"/>
        <v>0</v>
      </c>
      <c r="O168" s="925">
        <f t="shared" si="35"/>
        <v>0</v>
      </c>
      <c r="P168" s="924">
        <f t="shared" si="36"/>
        <v>0</v>
      </c>
      <c r="Q168" s="924"/>
      <c r="R168" s="448" t="s">
        <v>2178</v>
      </c>
      <c r="S168" s="449">
        <v>20000</v>
      </c>
      <c r="T168" s="449">
        <v>20000</v>
      </c>
      <c r="U168" s="449">
        <v>-40000</v>
      </c>
      <c r="V168" s="449">
        <v>0</v>
      </c>
      <c r="W168" s="450">
        <v>0</v>
      </c>
      <c r="X168" s="450">
        <v>0</v>
      </c>
      <c r="Y168" s="449">
        <v>0</v>
      </c>
      <c r="Z168" s="449">
        <v>0</v>
      </c>
      <c r="AA168" s="450">
        <v>0</v>
      </c>
      <c r="AB168" s="449">
        <v>0</v>
      </c>
      <c r="AC168" s="449">
        <v>0</v>
      </c>
      <c r="AD168" s="449">
        <v>0</v>
      </c>
      <c r="AE168" s="449">
        <v>0</v>
      </c>
      <c r="AF168" s="449">
        <v>0</v>
      </c>
    </row>
    <row r="169" spans="1:32" ht="15">
      <c r="A169" s="140" t="str">
        <f t="shared" si="29"/>
        <v>E058</v>
      </c>
      <c r="B169" s="140" t="str">
        <f t="shared" si="28"/>
        <v>1.2.1</v>
      </c>
      <c r="C169" s="140" t="str">
        <f t="shared" si="37"/>
        <v>E058-P0850</v>
      </c>
      <c r="D169" s="140">
        <v>1</v>
      </c>
      <c r="E169" s="140" t="str">
        <f t="shared" si="38"/>
        <v>21115-0100</v>
      </c>
      <c r="F169" s="140" t="str">
        <f t="shared" si="39"/>
        <v>1</v>
      </c>
      <c r="G169" s="140" t="str">
        <f t="shared" si="40"/>
        <v>1212</v>
      </c>
      <c r="H169" s="140" t="str">
        <f t="shared" si="41"/>
        <v>1.2.1/E058-P0850/1/21115-0100/1/1212  Honorarios asimilados</v>
      </c>
      <c r="I169" s="448" t="s">
        <v>2093</v>
      </c>
      <c r="J169" s="924">
        <f t="shared" si="30"/>
        <v>1355117.17</v>
      </c>
      <c r="K169" s="925">
        <f t="shared" si="31"/>
        <v>91599.790000000037</v>
      </c>
      <c r="L169" s="925">
        <f t="shared" si="32"/>
        <v>1446716.96</v>
      </c>
      <c r="M169" s="924">
        <f t="shared" si="33"/>
        <v>1446716.96</v>
      </c>
      <c r="N169" s="924">
        <f t="shared" si="34"/>
        <v>1446716.96</v>
      </c>
      <c r="O169" s="924">
        <f t="shared" si="35"/>
        <v>1446716.96</v>
      </c>
      <c r="P169" s="924">
        <f t="shared" si="36"/>
        <v>1446716.96</v>
      </c>
      <c r="Q169" s="924"/>
      <c r="R169" s="448" t="s">
        <v>2093</v>
      </c>
      <c r="S169" s="449">
        <v>1355117.17</v>
      </c>
      <c r="T169" s="449">
        <v>2315591.61</v>
      </c>
      <c r="U169" s="449">
        <v>-2223991.8199999998</v>
      </c>
      <c r="V169" s="449">
        <v>1446716.96</v>
      </c>
      <c r="W169" s="449">
        <v>0</v>
      </c>
      <c r="X169" s="449">
        <v>1446716.96</v>
      </c>
      <c r="Y169" s="449">
        <v>1446716.96</v>
      </c>
      <c r="Z169" s="449">
        <v>100</v>
      </c>
      <c r="AA169" s="449">
        <v>0</v>
      </c>
      <c r="AB169" s="449">
        <v>0</v>
      </c>
      <c r="AC169" s="449">
        <v>1446716.96</v>
      </c>
      <c r="AD169" s="449">
        <v>100</v>
      </c>
      <c r="AE169" s="449">
        <v>0</v>
      </c>
      <c r="AF169" s="449">
        <v>0</v>
      </c>
    </row>
    <row r="170" spans="1:32" ht="15">
      <c r="A170" s="140" t="str">
        <f t="shared" si="29"/>
        <v>E058</v>
      </c>
      <c r="B170" s="140" t="str">
        <f t="shared" si="28"/>
        <v>1.2.1</v>
      </c>
      <c r="C170" s="140" t="str">
        <f t="shared" si="37"/>
        <v>E058-P0850</v>
      </c>
      <c r="D170" s="140">
        <v>1</v>
      </c>
      <c r="E170" s="140" t="str">
        <f t="shared" si="38"/>
        <v>21115-0100</v>
      </c>
      <c r="F170" s="140" t="str">
        <f t="shared" si="39"/>
        <v>1</v>
      </c>
      <c r="G170" s="140" t="str">
        <f t="shared" si="40"/>
        <v>1311</v>
      </c>
      <c r="H170" s="140" t="str">
        <f t="shared" si="41"/>
        <v>1.2.1/E058-P0850/1/21115-0100/1/1311  Prima quinquenal</v>
      </c>
      <c r="I170" s="448" t="s">
        <v>2094</v>
      </c>
      <c r="J170" s="924">
        <f t="shared" si="30"/>
        <v>17995</v>
      </c>
      <c r="K170" s="925">
        <f t="shared" si="31"/>
        <v>250.86999999999989</v>
      </c>
      <c r="L170" s="925">
        <f t="shared" si="32"/>
        <v>18245.87</v>
      </c>
      <c r="M170" s="924">
        <f t="shared" si="33"/>
        <v>18245.87</v>
      </c>
      <c r="N170" s="925">
        <f t="shared" si="34"/>
        <v>18245.87</v>
      </c>
      <c r="O170" s="925">
        <f t="shared" si="35"/>
        <v>18245.87</v>
      </c>
      <c r="P170" s="924">
        <f t="shared" si="36"/>
        <v>18245.87</v>
      </c>
      <c r="Q170" s="924"/>
      <c r="R170" s="448" t="s">
        <v>2094</v>
      </c>
      <c r="S170" s="449">
        <v>17995</v>
      </c>
      <c r="T170" s="449">
        <v>2704.71</v>
      </c>
      <c r="U170" s="449">
        <v>-2453.84</v>
      </c>
      <c r="V170" s="449">
        <v>18245.87</v>
      </c>
      <c r="W170" s="449">
        <v>0</v>
      </c>
      <c r="X170" s="449">
        <v>18245.87</v>
      </c>
      <c r="Y170" s="449">
        <v>18245.87</v>
      </c>
      <c r="Z170" s="449">
        <v>100</v>
      </c>
      <c r="AA170" s="449">
        <v>0</v>
      </c>
      <c r="AB170" s="449">
        <v>0</v>
      </c>
      <c r="AC170" s="449">
        <v>18245.87</v>
      </c>
      <c r="AD170" s="449">
        <v>100</v>
      </c>
      <c r="AE170" s="449">
        <v>0</v>
      </c>
      <c r="AF170" s="449">
        <v>0</v>
      </c>
    </row>
    <row r="171" spans="1:32" ht="15">
      <c r="A171" s="140" t="str">
        <f t="shared" si="29"/>
        <v>E058</v>
      </c>
      <c r="B171" s="140" t="str">
        <f t="shared" si="28"/>
        <v>1.2.1</v>
      </c>
      <c r="C171" s="140" t="str">
        <f t="shared" si="37"/>
        <v>E058-P0850</v>
      </c>
      <c r="D171" s="140">
        <v>1</v>
      </c>
      <c r="E171" s="140" t="str">
        <f t="shared" si="38"/>
        <v>21115-0100</v>
      </c>
      <c r="F171" s="140" t="str">
        <f t="shared" si="39"/>
        <v>1</v>
      </c>
      <c r="G171" s="140" t="str">
        <f t="shared" si="40"/>
        <v>1321</v>
      </c>
      <c r="H171" s="140" t="str">
        <f t="shared" si="41"/>
        <v>1.2.1/E058-P0850/1/21115-0100/1/1321  Prima Vacacional</v>
      </c>
      <c r="I171" s="448" t="s">
        <v>2095</v>
      </c>
      <c r="J171" s="924">
        <f t="shared" si="30"/>
        <v>824812</v>
      </c>
      <c r="K171" s="925">
        <f t="shared" si="31"/>
        <v>158478.33000000007</v>
      </c>
      <c r="L171" s="925">
        <f t="shared" si="32"/>
        <v>983290.33</v>
      </c>
      <c r="M171" s="924">
        <f t="shared" si="33"/>
        <v>983290.33</v>
      </c>
      <c r="N171" s="925">
        <f t="shared" si="34"/>
        <v>983290.33</v>
      </c>
      <c r="O171" s="925">
        <f t="shared" si="35"/>
        <v>983290.33</v>
      </c>
      <c r="P171" s="924">
        <f t="shared" si="36"/>
        <v>983290.33</v>
      </c>
      <c r="Q171" s="924"/>
      <c r="R171" s="448" t="s">
        <v>2095</v>
      </c>
      <c r="S171" s="449">
        <v>824812</v>
      </c>
      <c r="T171" s="449">
        <v>707311.06</v>
      </c>
      <c r="U171" s="449">
        <v>-548832.73</v>
      </c>
      <c r="V171" s="449">
        <v>983290.33</v>
      </c>
      <c r="W171" s="449">
        <v>0</v>
      </c>
      <c r="X171" s="449">
        <v>983290.33</v>
      </c>
      <c r="Y171" s="449">
        <v>983290.33</v>
      </c>
      <c r="Z171" s="449">
        <v>100</v>
      </c>
      <c r="AA171" s="449">
        <v>0</v>
      </c>
      <c r="AB171" s="449">
        <v>0</v>
      </c>
      <c r="AC171" s="449">
        <v>983290.33</v>
      </c>
      <c r="AD171" s="449">
        <v>100</v>
      </c>
      <c r="AE171" s="449">
        <v>0</v>
      </c>
      <c r="AF171" s="449">
        <v>0</v>
      </c>
    </row>
    <row r="172" spans="1:32" ht="15">
      <c r="A172" s="140" t="str">
        <f t="shared" si="29"/>
        <v>E058</v>
      </c>
      <c r="B172" s="140" t="str">
        <f t="shared" si="28"/>
        <v>1.2.1</v>
      </c>
      <c r="C172" s="140" t="str">
        <f t="shared" si="37"/>
        <v>E058-P0850</v>
      </c>
      <c r="D172" s="140">
        <v>1</v>
      </c>
      <c r="E172" s="140" t="str">
        <f t="shared" si="38"/>
        <v>21115-0100</v>
      </c>
      <c r="F172" s="140" t="str">
        <f t="shared" si="39"/>
        <v>1</v>
      </c>
      <c r="G172" s="140" t="str">
        <f t="shared" si="40"/>
        <v>1323</v>
      </c>
      <c r="H172" s="140" t="str">
        <f t="shared" si="41"/>
        <v>1.2.1/E058-P0850/1/21115-0100/1/1323  Gratificación de fin de año</v>
      </c>
      <c r="I172" s="448" t="s">
        <v>2096</v>
      </c>
      <c r="J172" s="924">
        <f t="shared" si="30"/>
        <v>3711442.5</v>
      </c>
      <c r="K172" s="925">
        <f t="shared" si="31"/>
        <v>588286.18999999994</v>
      </c>
      <c r="L172" s="925">
        <f t="shared" si="32"/>
        <v>4299728.6900000004</v>
      </c>
      <c r="M172" s="924">
        <f t="shared" si="33"/>
        <v>4299728.6900000004</v>
      </c>
      <c r="N172" s="924">
        <f t="shared" si="34"/>
        <v>4299728.6900000004</v>
      </c>
      <c r="O172" s="924">
        <f t="shared" si="35"/>
        <v>4299728.6900000004</v>
      </c>
      <c r="P172" s="924">
        <f t="shared" si="36"/>
        <v>4299728.6900000004</v>
      </c>
      <c r="Q172" s="924"/>
      <c r="R172" s="448" t="s">
        <v>2096</v>
      </c>
      <c r="S172" s="449">
        <v>3711442.5</v>
      </c>
      <c r="T172" s="449">
        <v>2975647.36</v>
      </c>
      <c r="U172" s="449">
        <v>-2387361.17</v>
      </c>
      <c r="V172" s="449">
        <v>4299728.6900000004</v>
      </c>
      <c r="W172" s="449">
        <v>0</v>
      </c>
      <c r="X172" s="449">
        <v>4299728.6900000004</v>
      </c>
      <c r="Y172" s="449">
        <v>4299728.6900000004</v>
      </c>
      <c r="Z172" s="449">
        <v>100</v>
      </c>
      <c r="AA172" s="449">
        <v>0</v>
      </c>
      <c r="AB172" s="449">
        <v>0</v>
      </c>
      <c r="AC172" s="449">
        <v>4299728.6900000004</v>
      </c>
      <c r="AD172" s="449">
        <v>100</v>
      </c>
      <c r="AE172" s="449">
        <v>0</v>
      </c>
      <c r="AF172" s="449">
        <v>0</v>
      </c>
    </row>
    <row r="173" spans="1:32" ht="15">
      <c r="A173" s="140" t="str">
        <f t="shared" si="29"/>
        <v>E058</v>
      </c>
      <c r="B173" s="140" t="str">
        <f t="shared" si="28"/>
        <v>1.2.1</v>
      </c>
      <c r="C173" s="140" t="str">
        <f t="shared" si="37"/>
        <v>E058-P0850</v>
      </c>
      <c r="D173" s="140">
        <v>1</v>
      </c>
      <c r="E173" s="140" t="str">
        <f t="shared" si="38"/>
        <v>21115-0100</v>
      </c>
      <c r="F173" s="140" t="str">
        <f t="shared" si="39"/>
        <v>1</v>
      </c>
      <c r="G173" s="140" t="str">
        <f t="shared" si="40"/>
        <v>1341</v>
      </c>
      <c r="H173" s="140" t="str">
        <f t="shared" si="41"/>
        <v>1.2.1/E058-P0850/1/21115-0100/1/1341  Compens Serv Eventua</v>
      </c>
      <c r="I173" s="448" t="s">
        <v>2584</v>
      </c>
      <c r="J173" s="924">
        <f t="shared" si="30"/>
        <v>0</v>
      </c>
      <c r="K173" s="925">
        <f t="shared" si="31"/>
        <v>0</v>
      </c>
      <c r="L173" s="925">
        <f t="shared" si="32"/>
        <v>0</v>
      </c>
      <c r="M173" s="924">
        <f t="shared" si="33"/>
        <v>0</v>
      </c>
      <c r="N173" s="924">
        <f t="shared" si="34"/>
        <v>0</v>
      </c>
      <c r="O173" s="924">
        <f t="shared" si="35"/>
        <v>0</v>
      </c>
      <c r="P173" s="924">
        <f t="shared" si="36"/>
        <v>0</v>
      </c>
      <c r="Q173" s="924"/>
      <c r="R173" s="448" t="s">
        <v>2584</v>
      </c>
      <c r="S173" s="450">
        <v>0</v>
      </c>
      <c r="T173" s="449">
        <v>1938501.68</v>
      </c>
      <c r="U173" s="449">
        <v>-1938501.68</v>
      </c>
      <c r="V173" s="449">
        <v>0</v>
      </c>
      <c r="W173" s="450">
        <v>0</v>
      </c>
      <c r="X173" s="450">
        <v>0</v>
      </c>
      <c r="Y173" s="449">
        <v>0</v>
      </c>
      <c r="Z173" s="449">
        <v>0</v>
      </c>
      <c r="AA173" s="450">
        <v>0</v>
      </c>
      <c r="AB173" s="449">
        <v>0</v>
      </c>
      <c r="AC173" s="449">
        <v>0</v>
      </c>
      <c r="AD173" s="449">
        <v>0</v>
      </c>
      <c r="AE173" s="449">
        <v>0</v>
      </c>
      <c r="AF173" s="449">
        <v>0</v>
      </c>
    </row>
    <row r="174" spans="1:32" ht="15">
      <c r="A174" s="140" t="str">
        <f t="shared" si="29"/>
        <v>E058</v>
      </c>
      <c r="B174" s="140" t="str">
        <f t="shared" si="28"/>
        <v>1.2.1</v>
      </c>
      <c r="C174" s="140" t="str">
        <f t="shared" si="37"/>
        <v>E058-P0850</v>
      </c>
      <c r="D174" s="140">
        <v>1</v>
      </c>
      <c r="E174" s="140" t="str">
        <f t="shared" si="38"/>
        <v>21115-0100</v>
      </c>
      <c r="F174" s="140" t="str">
        <f t="shared" si="39"/>
        <v>1</v>
      </c>
      <c r="G174" s="140" t="str">
        <f t="shared" si="40"/>
        <v>1342</v>
      </c>
      <c r="H174" s="140" t="str">
        <f t="shared" si="41"/>
        <v>1.2.1/E058-P0850/1/21115-0100/1/1342  Compensaciones por servicios</v>
      </c>
      <c r="I174" s="448" t="s">
        <v>2179</v>
      </c>
      <c r="J174" s="924">
        <f t="shared" si="30"/>
        <v>59479.09</v>
      </c>
      <c r="K174" s="925">
        <f t="shared" si="31"/>
        <v>123892.08</v>
      </c>
      <c r="L174" s="925">
        <f t="shared" si="32"/>
        <v>183371.17</v>
      </c>
      <c r="M174" s="924">
        <f t="shared" si="33"/>
        <v>183371.17</v>
      </c>
      <c r="N174" s="925">
        <f t="shared" si="34"/>
        <v>183371.17</v>
      </c>
      <c r="O174" s="925">
        <f t="shared" si="35"/>
        <v>183371.17</v>
      </c>
      <c r="P174" s="924">
        <f t="shared" si="36"/>
        <v>183371.17</v>
      </c>
      <c r="Q174" s="924"/>
      <c r="R174" s="448" t="s">
        <v>2179</v>
      </c>
      <c r="S174" s="449">
        <v>59479.09</v>
      </c>
      <c r="T174" s="449">
        <v>239860.88</v>
      </c>
      <c r="U174" s="449">
        <v>-115968.8</v>
      </c>
      <c r="V174" s="449">
        <v>183371.17</v>
      </c>
      <c r="W174" s="449">
        <v>0</v>
      </c>
      <c r="X174" s="449">
        <v>183371.17</v>
      </c>
      <c r="Y174" s="449">
        <v>183371.17</v>
      </c>
      <c r="Z174" s="449">
        <v>100</v>
      </c>
      <c r="AA174" s="449">
        <v>0</v>
      </c>
      <c r="AB174" s="449">
        <v>0</v>
      </c>
      <c r="AC174" s="449">
        <v>183371.17</v>
      </c>
      <c r="AD174" s="449">
        <v>100</v>
      </c>
      <c r="AE174" s="449">
        <v>0</v>
      </c>
      <c r="AF174" s="449">
        <v>0</v>
      </c>
    </row>
    <row r="175" spans="1:32" ht="15">
      <c r="A175" s="140" t="str">
        <f t="shared" si="29"/>
        <v>E058</v>
      </c>
      <c r="B175" s="140" t="str">
        <f t="shared" si="28"/>
        <v>1.2.1</v>
      </c>
      <c r="C175" s="140" t="str">
        <f t="shared" si="37"/>
        <v>E058-P0850</v>
      </c>
      <c r="D175" s="140">
        <v>1</v>
      </c>
      <c r="E175" s="140" t="str">
        <f t="shared" si="38"/>
        <v>21115-0100</v>
      </c>
      <c r="F175" s="140" t="str">
        <f t="shared" si="39"/>
        <v>1</v>
      </c>
      <c r="G175" s="140" t="str">
        <f t="shared" si="40"/>
        <v>1411</v>
      </c>
      <c r="H175" s="140" t="str">
        <f t="shared" si="41"/>
        <v>1.2.1/E058-P0850/1/21115-0100/1/1411  Aportaciones al ISSEG</v>
      </c>
      <c r="I175" s="448" t="s">
        <v>2097</v>
      </c>
      <c r="J175" s="924">
        <f t="shared" si="30"/>
        <v>1938743.51</v>
      </c>
      <c r="K175" s="925">
        <f t="shared" si="31"/>
        <v>260489.05999999994</v>
      </c>
      <c r="L175" s="925">
        <f t="shared" si="32"/>
        <v>2199232.5699999998</v>
      </c>
      <c r="M175" s="924">
        <f t="shared" si="33"/>
        <v>2199232.5699999998</v>
      </c>
      <c r="N175" s="925">
        <f t="shared" si="34"/>
        <v>2199232.5699999998</v>
      </c>
      <c r="O175" s="925">
        <f t="shared" si="35"/>
        <v>2199232.5699999998</v>
      </c>
      <c r="P175" s="924">
        <f t="shared" si="36"/>
        <v>2199232.5699999998</v>
      </c>
      <c r="Q175" s="924"/>
      <c r="R175" s="448" t="s">
        <v>2097</v>
      </c>
      <c r="S175" s="449">
        <v>1938743.51</v>
      </c>
      <c r="T175" s="449">
        <v>565071.21</v>
      </c>
      <c r="U175" s="449">
        <v>-304582.15000000002</v>
      </c>
      <c r="V175" s="449">
        <v>2199232.5699999998</v>
      </c>
      <c r="W175" s="449">
        <v>0</v>
      </c>
      <c r="X175" s="449">
        <v>2199232.5699999998</v>
      </c>
      <c r="Y175" s="449">
        <v>2199232.5699999998</v>
      </c>
      <c r="Z175" s="449">
        <v>100</v>
      </c>
      <c r="AA175" s="449">
        <v>0</v>
      </c>
      <c r="AB175" s="449">
        <v>0</v>
      </c>
      <c r="AC175" s="449">
        <v>2199232.5699999998</v>
      </c>
      <c r="AD175" s="449">
        <v>100</v>
      </c>
      <c r="AE175" s="449">
        <v>0</v>
      </c>
      <c r="AF175" s="449">
        <v>0</v>
      </c>
    </row>
    <row r="176" spans="1:32" ht="15">
      <c r="A176" s="140" t="str">
        <f t="shared" si="29"/>
        <v>E058</v>
      </c>
      <c r="B176" s="140" t="str">
        <f t="shared" si="28"/>
        <v>1.2.1</v>
      </c>
      <c r="C176" s="140" t="str">
        <f t="shared" si="37"/>
        <v>E058-P0850</v>
      </c>
      <c r="D176" s="140">
        <v>1</v>
      </c>
      <c r="E176" s="140" t="str">
        <f t="shared" si="38"/>
        <v>21115-0100</v>
      </c>
      <c r="F176" s="140" t="str">
        <f t="shared" si="39"/>
        <v>1</v>
      </c>
      <c r="G176" s="140" t="str">
        <f t="shared" si="40"/>
        <v>1412</v>
      </c>
      <c r="H176" s="140" t="str">
        <f t="shared" si="41"/>
        <v>1.2.1/E058-P0850/1/21115-0100/1/1412  Cuotas al ISSSTE</v>
      </c>
      <c r="I176" s="448" t="s">
        <v>2098</v>
      </c>
      <c r="J176" s="924">
        <f t="shared" si="30"/>
        <v>793188</v>
      </c>
      <c r="K176" s="925">
        <f t="shared" si="31"/>
        <v>-109206.42000000004</v>
      </c>
      <c r="L176" s="925">
        <f t="shared" si="32"/>
        <v>683981.58</v>
      </c>
      <c r="M176" s="924">
        <f t="shared" si="33"/>
        <v>683981.58</v>
      </c>
      <c r="N176" s="925">
        <f t="shared" si="34"/>
        <v>683981.58</v>
      </c>
      <c r="O176" s="925">
        <f t="shared" si="35"/>
        <v>683981.58</v>
      </c>
      <c r="P176" s="924">
        <f t="shared" si="36"/>
        <v>683981.58</v>
      </c>
      <c r="Q176" s="924"/>
      <c r="R176" s="448" t="s">
        <v>2098</v>
      </c>
      <c r="S176" s="449">
        <v>793188</v>
      </c>
      <c r="T176" s="449">
        <v>545229.88</v>
      </c>
      <c r="U176" s="449">
        <v>-654436.30000000005</v>
      </c>
      <c r="V176" s="449">
        <v>683981.58</v>
      </c>
      <c r="W176" s="449">
        <v>0</v>
      </c>
      <c r="X176" s="449">
        <v>683981.58</v>
      </c>
      <c r="Y176" s="449">
        <v>683981.58</v>
      </c>
      <c r="Z176" s="449">
        <v>100</v>
      </c>
      <c r="AA176" s="449">
        <v>0</v>
      </c>
      <c r="AB176" s="449">
        <v>0</v>
      </c>
      <c r="AC176" s="449">
        <v>683981.58</v>
      </c>
      <c r="AD176" s="449">
        <v>100</v>
      </c>
      <c r="AE176" s="449">
        <v>0</v>
      </c>
      <c r="AF176" s="449">
        <v>0</v>
      </c>
    </row>
    <row r="177" spans="1:32" ht="15">
      <c r="A177" s="140" t="str">
        <f t="shared" si="29"/>
        <v>E058</v>
      </c>
      <c r="B177" s="140" t="str">
        <f t="shared" si="28"/>
        <v>1.2.1</v>
      </c>
      <c r="C177" s="140" t="str">
        <f t="shared" si="37"/>
        <v>E058-P0850</v>
      </c>
      <c r="D177" s="140">
        <v>1</v>
      </c>
      <c r="E177" s="140" t="str">
        <f t="shared" si="38"/>
        <v>21115-0100</v>
      </c>
      <c r="F177" s="140" t="str">
        <f t="shared" si="39"/>
        <v>1</v>
      </c>
      <c r="G177" s="140" t="str">
        <f t="shared" si="40"/>
        <v>1441</v>
      </c>
      <c r="H177" s="140" t="str">
        <f t="shared" si="41"/>
        <v>1.2.1/E058-P0850/1/21115-0100/1/1441  Seguros</v>
      </c>
      <c r="I177" s="448" t="s">
        <v>2099</v>
      </c>
      <c r="J177" s="924">
        <f t="shared" si="30"/>
        <v>213900</v>
      </c>
      <c r="K177" s="925">
        <f t="shared" si="31"/>
        <v>-153900</v>
      </c>
      <c r="L177" s="925">
        <f t="shared" si="32"/>
        <v>60000</v>
      </c>
      <c r="M177" s="924">
        <f t="shared" si="33"/>
        <v>60000</v>
      </c>
      <c r="N177" s="925">
        <f t="shared" si="34"/>
        <v>60000</v>
      </c>
      <c r="O177" s="925">
        <f t="shared" si="35"/>
        <v>60000</v>
      </c>
      <c r="P177" s="924">
        <f t="shared" si="36"/>
        <v>60000</v>
      </c>
      <c r="Q177" s="924"/>
      <c r="R177" s="448" t="s">
        <v>2099</v>
      </c>
      <c r="S177" s="449">
        <v>213900</v>
      </c>
      <c r="T177" s="449">
        <v>874976.73</v>
      </c>
      <c r="U177" s="449">
        <v>-1028876.73</v>
      </c>
      <c r="V177" s="449">
        <v>60000</v>
      </c>
      <c r="W177" s="449">
        <v>0</v>
      </c>
      <c r="X177" s="449">
        <v>60000</v>
      </c>
      <c r="Y177" s="449">
        <v>60000</v>
      </c>
      <c r="Z177" s="449">
        <v>100</v>
      </c>
      <c r="AA177" s="449">
        <v>0</v>
      </c>
      <c r="AB177" s="449">
        <v>0</v>
      </c>
      <c r="AC177" s="449">
        <v>60000</v>
      </c>
      <c r="AD177" s="449">
        <v>100</v>
      </c>
      <c r="AE177" s="449">
        <v>0</v>
      </c>
      <c r="AF177" s="449">
        <v>0</v>
      </c>
    </row>
    <row r="178" spans="1:32" ht="15">
      <c r="A178" s="140" t="str">
        <f t="shared" si="29"/>
        <v>E058</v>
      </c>
      <c r="B178" s="140" t="str">
        <f t="shared" si="28"/>
        <v>1.2.1</v>
      </c>
      <c r="C178" s="140" t="str">
        <f t="shared" si="37"/>
        <v>E058-P0850</v>
      </c>
      <c r="D178" s="140">
        <v>1</v>
      </c>
      <c r="E178" s="140" t="str">
        <f t="shared" si="38"/>
        <v>21115-0100</v>
      </c>
      <c r="F178" s="140" t="str">
        <f t="shared" si="39"/>
        <v>1</v>
      </c>
      <c r="G178" s="140" t="str">
        <f t="shared" si="40"/>
        <v>1531</v>
      </c>
      <c r="H178" s="140" t="str">
        <f t="shared" si="41"/>
        <v>1.2.1/E058-P0850/1/21115-0100/1/1531  Prestaciones de retiro</v>
      </c>
      <c r="I178" s="448" t="s">
        <v>2100</v>
      </c>
      <c r="J178" s="924">
        <f t="shared" si="30"/>
        <v>0</v>
      </c>
      <c r="K178" s="924">
        <f t="shared" si="31"/>
        <v>0</v>
      </c>
      <c r="L178" s="925">
        <f t="shared" si="32"/>
        <v>0</v>
      </c>
      <c r="M178" s="924">
        <f t="shared" si="33"/>
        <v>0</v>
      </c>
      <c r="N178" s="924">
        <f t="shared" si="34"/>
        <v>0</v>
      </c>
      <c r="O178" s="924">
        <f t="shared" si="35"/>
        <v>0</v>
      </c>
      <c r="P178" s="924">
        <f t="shared" si="36"/>
        <v>0</v>
      </c>
      <c r="Q178" s="924"/>
      <c r="R178" s="448" t="s">
        <v>2100</v>
      </c>
      <c r="S178" s="450">
        <v>0</v>
      </c>
      <c r="T178" s="449">
        <v>62393.14</v>
      </c>
      <c r="U178" s="449">
        <v>-62393.14</v>
      </c>
      <c r="V178" s="449">
        <v>0</v>
      </c>
      <c r="W178" s="450">
        <v>0</v>
      </c>
      <c r="X178" s="450">
        <v>0</v>
      </c>
      <c r="Y178" s="449">
        <v>0</v>
      </c>
      <c r="Z178" s="449">
        <v>0</v>
      </c>
      <c r="AA178" s="450">
        <v>0</v>
      </c>
      <c r="AB178" s="449">
        <v>0</v>
      </c>
      <c r="AC178" s="449">
        <v>0</v>
      </c>
      <c r="AD178" s="449">
        <v>0</v>
      </c>
      <c r="AE178" s="449">
        <v>0</v>
      </c>
      <c r="AF178" s="449">
        <v>0</v>
      </c>
    </row>
    <row r="179" spans="1:32" ht="15">
      <c r="A179" s="140" t="str">
        <f t="shared" si="29"/>
        <v>E058</v>
      </c>
      <c r="B179" s="140" t="str">
        <f t="shared" si="28"/>
        <v>1.2.1</v>
      </c>
      <c r="C179" s="140" t="str">
        <f t="shared" si="37"/>
        <v>E058-P0850</v>
      </c>
      <c r="D179" s="140">
        <v>1</v>
      </c>
      <c r="E179" s="140" t="str">
        <f t="shared" si="38"/>
        <v>21115-0100</v>
      </c>
      <c r="F179" s="140" t="str">
        <f t="shared" si="39"/>
        <v>1</v>
      </c>
      <c r="G179" s="140" t="str">
        <f t="shared" si="40"/>
        <v>1541</v>
      </c>
      <c r="H179" s="140" t="str">
        <f t="shared" si="41"/>
        <v>1.2.1/E058-P0850/1/21115-0100/1/1541  Prestaciones CGT</v>
      </c>
      <c r="I179" s="448" t="s">
        <v>2101</v>
      </c>
      <c r="J179" s="924">
        <f t="shared" si="30"/>
        <v>8904270.4800000004</v>
      </c>
      <c r="K179" s="925">
        <f t="shared" si="31"/>
        <v>1763895.95</v>
      </c>
      <c r="L179" s="925">
        <f t="shared" si="32"/>
        <v>10668166.43</v>
      </c>
      <c r="M179" s="924">
        <f t="shared" si="33"/>
        <v>10668166.43</v>
      </c>
      <c r="N179" s="925">
        <f t="shared" si="34"/>
        <v>10668166.43</v>
      </c>
      <c r="O179" s="925">
        <f t="shared" si="35"/>
        <v>10668166.43</v>
      </c>
      <c r="P179" s="924">
        <f t="shared" si="36"/>
        <v>10668166.43</v>
      </c>
      <c r="Q179" s="924"/>
      <c r="R179" s="448" t="s">
        <v>2101</v>
      </c>
      <c r="S179" s="449">
        <v>8904270.4800000004</v>
      </c>
      <c r="T179" s="449">
        <v>3346926.42</v>
      </c>
      <c r="U179" s="449">
        <v>-1583030.47</v>
      </c>
      <c r="V179" s="449">
        <v>10668166.43</v>
      </c>
      <c r="W179" s="449">
        <v>0</v>
      </c>
      <c r="X179" s="449">
        <v>10668166.43</v>
      </c>
      <c r="Y179" s="449">
        <v>10668166.43</v>
      </c>
      <c r="Z179" s="449">
        <v>100</v>
      </c>
      <c r="AA179" s="449">
        <v>0</v>
      </c>
      <c r="AB179" s="449">
        <v>0</v>
      </c>
      <c r="AC179" s="449">
        <v>10668166.43</v>
      </c>
      <c r="AD179" s="449">
        <v>100</v>
      </c>
      <c r="AE179" s="449">
        <v>0</v>
      </c>
      <c r="AF179" s="449">
        <v>0</v>
      </c>
    </row>
    <row r="180" spans="1:32" ht="15">
      <c r="A180" s="140" t="str">
        <f t="shared" si="29"/>
        <v>E058</v>
      </c>
      <c r="B180" s="140" t="str">
        <f t="shared" si="28"/>
        <v>1.2.1</v>
      </c>
      <c r="C180" s="140" t="str">
        <f t="shared" si="37"/>
        <v>E058-P0850</v>
      </c>
      <c r="D180" s="140">
        <v>1</v>
      </c>
      <c r="E180" s="140" t="str">
        <f t="shared" si="38"/>
        <v>21115-0100</v>
      </c>
      <c r="F180" s="140" t="str">
        <f t="shared" si="39"/>
        <v>1</v>
      </c>
      <c r="G180" s="140" t="str">
        <f t="shared" si="40"/>
        <v>1591</v>
      </c>
      <c r="H180" s="140" t="str">
        <f t="shared" si="41"/>
        <v>1.2.1/E058-P0850/1/21115-0100/1/1591  Asign Adic sueldo</v>
      </c>
      <c r="I180" s="448" t="s">
        <v>2102</v>
      </c>
      <c r="J180" s="924">
        <f t="shared" si="30"/>
        <v>11232084.310000001</v>
      </c>
      <c r="K180" s="925">
        <f t="shared" si="31"/>
        <v>1458991.9800000002</v>
      </c>
      <c r="L180" s="925">
        <f t="shared" si="32"/>
        <v>12691076.289999999</v>
      </c>
      <c r="M180" s="924">
        <f t="shared" si="33"/>
        <v>12691076.289999999</v>
      </c>
      <c r="N180" s="925">
        <f t="shared" si="34"/>
        <v>12691076.289999999</v>
      </c>
      <c r="O180" s="925">
        <f t="shared" si="35"/>
        <v>12691076.289999999</v>
      </c>
      <c r="P180" s="924">
        <f t="shared" si="36"/>
        <v>12691076.289999999</v>
      </c>
      <c r="Q180" s="924"/>
      <c r="R180" s="448" t="s">
        <v>2102</v>
      </c>
      <c r="S180" s="449">
        <v>11232084.310000001</v>
      </c>
      <c r="T180" s="449">
        <v>2771911.18</v>
      </c>
      <c r="U180" s="449">
        <v>-1312919.2</v>
      </c>
      <c r="V180" s="449">
        <v>12691076.289999999</v>
      </c>
      <c r="W180" s="449">
        <v>0</v>
      </c>
      <c r="X180" s="449">
        <v>12691076.289999999</v>
      </c>
      <c r="Y180" s="449">
        <v>12691076.289999999</v>
      </c>
      <c r="Z180" s="449">
        <v>100</v>
      </c>
      <c r="AA180" s="449">
        <v>0</v>
      </c>
      <c r="AB180" s="449">
        <v>0</v>
      </c>
      <c r="AC180" s="449">
        <v>12691076.289999999</v>
      </c>
      <c r="AD180" s="449">
        <v>100</v>
      </c>
      <c r="AE180" s="449">
        <v>0</v>
      </c>
      <c r="AF180" s="449">
        <v>0</v>
      </c>
    </row>
    <row r="181" spans="1:32" ht="15">
      <c r="A181" s="140" t="str">
        <f t="shared" si="29"/>
        <v>E058</v>
      </c>
      <c r="B181" s="140" t="str">
        <f t="shared" si="28"/>
        <v>1.2.1</v>
      </c>
      <c r="C181" s="140" t="str">
        <f t="shared" si="37"/>
        <v>E058-P0850</v>
      </c>
      <c r="D181" s="140">
        <v>1</v>
      </c>
      <c r="E181" s="140" t="str">
        <f t="shared" si="38"/>
        <v>21115-0100</v>
      </c>
      <c r="F181" s="140" t="str">
        <f t="shared" si="39"/>
        <v>1</v>
      </c>
      <c r="G181" s="140" t="str">
        <f t="shared" si="40"/>
        <v>1592</v>
      </c>
      <c r="H181" s="140" t="str">
        <f t="shared" si="41"/>
        <v>1.2.1/E058-P0850/1/21115-0100/1/1592  Otras prestaciones</v>
      </c>
      <c r="I181" s="448" t="s">
        <v>2103</v>
      </c>
      <c r="J181" s="923">
        <f t="shared" si="30"/>
        <v>103805.89</v>
      </c>
      <c r="K181" s="922">
        <f t="shared" si="31"/>
        <v>60170.679999999993</v>
      </c>
      <c r="L181" s="922">
        <f t="shared" si="32"/>
        <v>163976.57</v>
      </c>
      <c r="M181" s="922">
        <f t="shared" si="33"/>
        <v>163976.57</v>
      </c>
      <c r="N181" s="923">
        <f t="shared" si="34"/>
        <v>163976.57</v>
      </c>
      <c r="O181" s="923">
        <f t="shared" si="35"/>
        <v>163976.57</v>
      </c>
      <c r="P181" s="922">
        <f t="shared" si="36"/>
        <v>163976.57</v>
      </c>
      <c r="Q181" s="922"/>
      <c r="R181" s="448" t="s">
        <v>2103</v>
      </c>
      <c r="S181" s="449">
        <v>103805.89</v>
      </c>
      <c r="T181" s="449">
        <v>174399.28</v>
      </c>
      <c r="U181" s="449">
        <v>-114228.6</v>
      </c>
      <c r="V181" s="449">
        <v>163976.57</v>
      </c>
      <c r="W181" s="449">
        <v>0</v>
      </c>
      <c r="X181" s="449">
        <v>163976.57</v>
      </c>
      <c r="Y181" s="449">
        <v>163976.57</v>
      </c>
      <c r="Z181" s="449">
        <v>100</v>
      </c>
      <c r="AA181" s="449">
        <v>0</v>
      </c>
      <c r="AB181" s="449">
        <v>0</v>
      </c>
      <c r="AC181" s="449">
        <v>163976.57</v>
      </c>
      <c r="AD181" s="449">
        <v>100</v>
      </c>
      <c r="AE181" s="449">
        <v>0</v>
      </c>
      <c r="AF181" s="449">
        <v>0</v>
      </c>
    </row>
    <row r="182" spans="1:32" ht="15">
      <c r="A182" s="140" t="str">
        <f t="shared" si="29"/>
        <v>E058</v>
      </c>
      <c r="B182" s="140" t="str">
        <f t="shared" si="28"/>
        <v>1.2.1</v>
      </c>
      <c r="C182" s="140" t="str">
        <f t="shared" si="37"/>
        <v>E058-P0850</v>
      </c>
      <c r="D182" s="140">
        <v>1</v>
      </c>
      <c r="E182" s="140" t="str">
        <f t="shared" si="38"/>
        <v>21115-0100</v>
      </c>
      <c r="F182" s="140" t="str">
        <f t="shared" si="39"/>
        <v>1</v>
      </c>
      <c r="G182" s="140" t="str">
        <f t="shared" si="40"/>
        <v>1611</v>
      </c>
      <c r="H182" s="140" t="str">
        <f t="shared" si="41"/>
        <v>1.2.1/E058-P0850/1/21115-0100/1/1611  Prev de carat labora</v>
      </c>
      <c r="I182" s="448" t="s">
        <v>2104</v>
      </c>
      <c r="J182" s="923">
        <f t="shared" si="30"/>
        <v>765019.95</v>
      </c>
      <c r="K182" s="922">
        <f t="shared" si="31"/>
        <v>-765019.95</v>
      </c>
      <c r="L182" s="922">
        <f t="shared" si="32"/>
        <v>0</v>
      </c>
      <c r="M182" s="922">
        <f t="shared" si="33"/>
        <v>0</v>
      </c>
      <c r="N182" s="923">
        <f t="shared" si="34"/>
        <v>0</v>
      </c>
      <c r="O182" s="923">
        <f t="shared" si="35"/>
        <v>0</v>
      </c>
      <c r="P182" s="922">
        <f t="shared" si="36"/>
        <v>0</v>
      </c>
      <c r="Q182" s="922"/>
      <c r="R182" s="448" t="s">
        <v>2104</v>
      </c>
      <c r="S182" s="449">
        <v>765019.95</v>
      </c>
      <c r="T182" s="449">
        <v>510053.03</v>
      </c>
      <c r="U182" s="449">
        <v>-1275072.98</v>
      </c>
      <c r="V182" s="449">
        <v>0</v>
      </c>
      <c r="W182" s="450">
        <v>0</v>
      </c>
      <c r="X182" s="450">
        <v>0</v>
      </c>
      <c r="Y182" s="449">
        <v>0</v>
      </c>
      <c r="Z182" s="449">
        <v>0</v>
      </c>
      <c r="AA182" s="450">
        <v>0</v>
      </c>
      <c r="AB182" s="449">
        <v>0</v>
      </c>
      <c r="AC182" s="449">
        <v>0</v>
      </c>
      <c r="AD182" s="449">
        <v>0</v>
      </c>
      <c r="AE182" s="449">
        <v>0</v>
      </c>
      <c r="AF182" s="449">
        <v>0</v>
      </c>
    </row>
    <row r="183" spans="1:32" ht="15">
      <c r="A183" s="140" t="str">
        <f t="shared" si="29"/>
        <v>E058</v>
      </c>
      <c r="B183" s="140" t="str">
        <f t="shared" si="28"/>
        <v>1.2.1</v>
      </c>
      <c r="C183" s="140" t="str">
        <f t="shared" si="37"/>
        <v>E058-P0850</v>
      </c>
      <c r="D183" s="140">
        <v>1</v>
      </c>
      <c r="E183" s="140" t="str">
        <f t="shared" si="38"/>
        <v>21115-0100</v>
      </c>
      <c r="F183" s="140" t="str">
        <f t="shared" si="39"/>
        <v>1</v>
      </c>
      <c r="G183" s="140" t="str">
        <f t="shared" si="40"/>
        <v>1711</v>
      </c>
      <c r="H183" s="140" t="str">
        <f t="shared" si="41"/>
        <v>1.2.1/E058-P0850/1/21115-0100/1/1711  Estím Productividad</v>
      </c>
      <c r="I183" s="448" t="s">
        <v>2105</v>
      </c>
      <c r="J183" s="925">
        <f t="shared" si="30"/>
        <v>596669.51</v>
      </c>
      <c r="K183" s="924">
        <f t="shared" si="31"/>
        <v>298752.13000000035</v>
      </c>
      <c r="L183" s="924">
        <f t="shared" si="32"/>
        <v>895421.64</v>
      </c>
      <c r="M183" s="924">
        <f t="shared" si="33"/>
        <v>895421.64</v>
      </c>
      <c r="N183" s="925">
        <f t="shared" si="34"/>
        <v>895421.64</v>
      </c>
      <c r="O183" s="925">
        <f t="shared" si="35"/>
        <v>895421.64</v>
      </c>
      <c r="P183" s="924">
        <f t="shared" si="36"/>
        <v>895421.64</v>
      </c>
      <c r="Q183" s="924"/>
      <c r="R183" s="448" t="s">
        <v>2105</v>
      </c>
      <c r="S183" s="449">
        <v>596669.51</v>
      </c>
      <c r="T183" s="449">
        <v>2604957.2000000002</v>
      </c>
      <c r="U183" s="449">
        <v>-2306205.0699999998</v>
      </c>
      <c r="V183" s="449">
        <v>895421.64</v>
      </c>
      <c r="W183" s="449">
        <v>0</v>
      </c>
      <c r="X183" s="449">
        <v>895421.64</v>
      </c>
      <c r="Y183" s="449">
        <v>895421.64</v>
      </c>
      <c r="Z183" s="449">
        <v>100</v>
      </c>
      <c r="AA183" s="449">
        <v>0</v>
      </c>
      <c r="AB183" s="449">
        <v>0</v>
      </c>
      <c r="AC183" s="449">
        <v>895421.64</v>
      </c>
      <c r="AD183" s="449">
        <v>100</v>
      </c>
      <c r="AE183" s="449">
        <v>0</v>
      </c>
      <c r="AF183" s="449">
        <v>0</v>
      </c>
    </row>
    <row r="184" spans="1:32" ht="15">
      <c r="A184" s="140" t="str">
        <f t="shared" si="29"/>
        <v>E058</v>
      </c>
      <c r="B184" s="140" t="str">
        <f t="shared" si="28"/>
        <v>1.2.1</v>
      </c>
      <c r="C184" s="140" t="str">
        <f t="shared" si="37"/>
        <v>E058-P0850</v>
      </c>
      <c r="D184" s="140">
        <v>1</v>
      </c>
      <c r="E184" s="140" t="str">
        <f t="shared" si="38"/>
        <v>21115-0100</v>
      </c>
      <c r="F184" s="140" t="str">
        <f t="shared" si="39"/>
        <v>1</v>
      </c>
      <c r="G184" s="140" t="str">
        <f t="shared" si="40"/>
        <v>1712</v>
      </c>
      <c r="H184" s="140" t="str">
        <f t="shared" si="41"/>
        <v>1.2.1/E058-P0850/1/21115-0100/1/1712  Estím Personal Oper</v>
      </c>
      <c r="I184" s="448" t="s">
        <v>2106</v>
      </c>
      <c r="J184" s="925">
        <f t="shared" si="30"/>
        <v>13939.44</v>
      </c>
      <c r="K184" s="924">
        <f t="shared" si="31"/>
        <v>124.98000000000002</v>
      </c>
      <c r="L184" s="924">
        <f t="shared" si="32"/>
        <v>14064.42</v>
      </c>
      <c r="M184" s="924">
        <f t="shared" si="33"/>
        <v>14064.42</v>
      </c>
      <c r="N184" s="925">
        <f t="shared" si="34"/>
        <v>14064.42</v>
      </c>
      <c r="O184" s="925">
        <f t="shared" si="35"/>
        <v>14064.42</v>
      </c>
      <c r="P184" s="924">
        <f t="shared" si="36"/>
        <v>14064.42</v>
      </c>
      <c r="Q184" s="924"/>
      <c r="R184" s="448" t="s">
        <v>2106</v>
      </c>
      <c r="S184" s="449">
        <v>13939.44</v>
      </c>
      <c r="T184" s="449">
        <v>2050.42</v>
      </c>
      <c r="U184" s="449">
        <v>-1925.44</v>
      </c>
      <c r="V184" s="449">
        <v>14064.42</v>
      </c>
      <c r="W184" s="449">
        <v>0</v>
      </c>
      <c r="X184" s="449">
        <v>14064.42</v>
      </c>
      <c r="Y184" s="449">
        <v>14064.42</v>
      </c>
      <c r="Z184" s="449">
        <v>100</v>
      </c>
      <c r="AA184" s="449">
        <v>0</v>
      </c>
      <c r="AB184" s="449">
        <v>0</v>
      </c>
      <c r="AC184" s="449">
        <v>14064.42</v>
      </c>
      <c r="AD184" s="449">
        <v>100</v>
      </c>
      <c r="AE184" s="449">
        <v>0</v>
      </c>
      <c r="AF184" s="449">
        <v>0</v>
      </c>
    </row>
    <row r="185" spans="1:32" ht="15">
      <c r="A185" s="140" t="str">
        <f t="shared" si="29"/>
        <v>E058</v>
      </c>
      <c r="B185" s="140" t="str">
        <f t="shared" si="28"/>
        <v>1.2.1</v>
      </c>
      <c r="C185" s="140" t="str">
        <f t="shared" si="37"/>
        <v>E058-P0850</v>
      </c>
      <c r="D185" s="140">
        <v>1</v>
      </c>
      <c r="E185" s="140" t="str">
        <f t="shared" si="38"/>
        <v>21115-0100</v>
      </c>
      <c r="F185" s="140" t="str">
        <f t="shared" si="39"/>
        <v>1</v>
      </c>
      <c r="G185" s="140" t="str">
        <f t="shared" si="40"/>
        <v>2111</v>
      </c>
      <c r="H185" s="140" t="str">
        <f t="shared" si="41"/>
        <v>1.2.1/E058-P0850/1/21115-0100/1/2111  Materiales y útiles de oficina</v>
      </c>
      <c r="I185" s="448" t="s">
        <v>2107</v>
      </c>
      <c r="J185" s="925">
        <f t="shared" si="30"/>
        <v>0</v>
      </c>
      <c r="K185" s="924">
        <f t="shared" si="31"/>
        <v>0</v>
      </c>
      <c r="L185" s="924">
        <f t="shared" si="32"/>
        <v>0</v>
      </c>
      <c r="M185" s="924">
        <f t="shared" si="33"/>
        <v>0</v>
      </c>
      <c r="N185" s="925">
        <f t="shared" si="34"/>
        <v>0</v>
      </c>
      <c r="O185" s="925">
        <f t="shared" si="35"/>
        <v>0</v>
      </c>
      <c r="P185" s="924">
        <f t="shared" si="36"/>
        <v>0</v>
      </c>
      <c r="Q185" s="924"/>
      <c r="R185" s="448" t="s">
        <v>2107</v>
      </c>
      <c r="S185" s="449">
        <v>0</v>
      </c>
      <c r="T185" s="449">
        <v>4120</v>
      </c>
      <c r="U185" s="449">
        <v>-4120</v>
      </c>
      <c r="V185" s="449">
        <v>0</v>
      </c>
      <c r="W185" s="450">
        <v>0</v>
      </c>
      <c r="X185" s="450">
        <v>0</v>
      </c>
      <c r="Y185" s="449">
        <v>0</v>
      </c>
      <c r="Z185" s="449">
        <v>0</v>
      </c>
      <c r="AA185" s="450">
        <v>0</v>
      </c>
      <c r="AB185" s="449">
        <v>0</v>
      </c>
      <c r="AC185" s="449">
        <v>0</v>
      </c>
      <c r="AD185" s="449">
        <v>0</v>
      </c>
      <c r="AE185" s="449">
        <v>0</v>
      </c>
      <c r="AF185" s="449">
        <v>0</v>
      </c>
    </row>
    <row r="186" spans="1:32" ht="15">
      <c r="A186" s="140" t="str">
        <f t="shared" si="29"/>
        <v>E058</v>
      </c>
      <c r="B186" s="140" t="str">
        <f t="shared" si="28"/>
        <v>1.2.1</v>
      </c>
      <c r="C186" s="140" t="str">
        <f t="shared" si="37"/>
        <v>E058-P0850</v>
      </c>
      <c r="D186" s="140">
        <v>1</v>
      </c>
      <c r="E186" s="140" t="str">
        <f t="shared" si="38"/>
        <v>21115-0100</v>
      </c>
      <c r="F186" s="140" t="str">
        <f t="shared" si="39"/>
        <v>1</v>
      </c>
      <c r="G186" s="140" t="str">
        <f t="shared" si="40"/>
        <v>2112</v>
      </c>
      <c r="H186" s="140" t="str">
        <f t="shared" si="41"/>
        <v>1.2.1/E058-P0850/1/21115-0100/1/2112  Equipos menores de oficina</v>
      </c>
      <c r="I186" s="448" t="s">
        <v>2108</v>
      </c>
      <c r="J186" s="925">
        <f t="shared" si="30"/>
        <v>0</v>
      </c>
      <c r="K186" s="924">
        <f t="shared" si="31"/>
        <v>139</v>
      </c>
      <c r="L186" s="924">
        <f t="shared" si="32"/>
        <v>139</v>
      </c>
      <c r="M186" s="924">
        <f t="shared" si="33"/>
        <v>139</v>
      </c>
      <c r="N186" s="925">
        <f t="shared" si="34"/>
        <v>139</v>
      </c>
      <c r="O186" s="925">
        <f t="shared" si="35"/>
        <v>139</v>
      </c>
      <c r="P186" s="924">
        <f t="shared" si="36"/>
        <v>139</v>
      </c>
      <c r="Q186" s="924"/>
      <c r="R186" s="448" t="s">
        <v>2108</v>
      </c>
      <c r="S186" s="450">
        <v>0</v>
      </c>
      <c r="T186" s="449">
        <v>261</v>
      </c>
      <c r="U186" s="449">
        <v>-122</v>
      </c>
      <c r="V186" s="449">
        <v>139</v>
      </c>
      <c r="W186" s="449">
        <v>0</v>
      </c>
      <c r="X186" s="449">
        <v>139</v>
      </c>
      <c r="Y186" s="449">
        <v>139</v>
      </c>
      <c r="Z186" s="449">
        <v>100</v>
      </c>
      <c r="AA186" s="450">
        <v>0</v>
      </c>
      <c r="AB186" s="449">
        <v>0</v>
      </c>
      <c r="AC186" s="449">
        <v>139</v>
      </c>
      <c r="AD186" s="449">
        <v>100</v>
      </c>
      <c r="AE186" s="449">
        <v>0</v>
      </c>
      <c r="AF186" s="449">
        <v>0</v>
      </c>
    </row>
    <row r="187" spans="1:32" ht="15">
      <c r="A187" s="140" t="str">
        <f t="shared" si="29"/>
        <v>E058</v>
      </c>
      <c r="B187" s="140" t="str">
        <f t="shared" si="28"/>
        <v>1.2.1</v>
      </c>
      <c r="C187" s="140" t="str">
        <f t="shared" si="37"/>
        <v>E058-P0850</v>
      </c>
      <c r="D187" s="140">
        <v>1</v>
      </c>
      <c r="E187" s="140" t="str">
        <f t="shared" si="38"/>
        <v>21115-0100</v>
      </c>
      <c r="F187" s="140" t="str">
        <f t="shared" si="39"/>
        <v>1</v>
      </c>
      <c r="G187" s="140" t="str">
        <f t="shared" si="40"/>
        <v>2151</v>
      </c>
      <c r="H187" s="140" t="str">
        <f t="shared" si="41"/>
        <v>1.2.1/E058-P0850/1/21115-0100/1/2151  Mat impreso  e info</v>
      </c>
      <c r="I187" s="448" t="s">
        <v>2111</v>
      </c>
      <c r="J187" s="925">
        <f t="shared" si="30"/>
        <v>0</v>
      </c>
      <c r="K187" s="924">
        <f t="shared" si="31"/>
        <v>1660</v>
      </c>
      <c r="L187" s="924">
        <f t="shared" si="32"/>
        <v>1660</v>
      </c>
      <c r="M187" s="924">
        <f t="shared" si="33"/>
        <v>1660</v>
      </c>
      <c r="N187" s="925">
        <f t="shared" si="34"/>
        <v>1660</v>
      </c>
      <c r="O187" s="925">
        <f t="shared" si="35"/>
        <v>1660</v>
      </c>
      <c r="P187" s="924">
        <f t="shared" si="36"/>
        <v>1660</v>
      </c>
      <c r="Q187" s="924"/>
      <c r="R187" s="448" t="s">
        <v>2111</v>
      </c>
      <c r="S187" s="450">
        <v>0</v>
      </c>
      <c r="T187" s="449">
        <v>4340</v>
      </c>
      <c r="U187" s="449">
        <v>-2680</v>
      </c>
      <c r="V187" s="449">
        <v>1660</v>
      </c>
      <c r="W187" s="449">
        <v>0</v>
      </c>
      <c r="X187" s="449">
        <v>1660</v>
      </c>
      <c r="Y187" s="449">
        <v>1660</v>
      </c>
      <c r="Z187" s="449">
        <v>100</v>
      </c>
      <c r="AA187" s="449">
        <v>0</v>
      </c>
      <c r="AB187" s="449">
        <v>0</v>
      </c>
      <c r="AC187" s="449">
        <v>1660</v>
      </c>
      <c r="AD187" s="449">
        <v>100</v>
      </c>
      <c r="AE187" s="449">
        <v>0</v>
      </c>
      <c r="AF187" s="449">
        <v>0</v>
      </c>
    </row>
    <row r="188" spans="1:32" ht="15">
      <c r="A188" s="140" t="str">
        <f t="shared" si="29"/>
        <v>E058</v>
      </c>
      <c r="B188" s="140" t="str">
        <f t="shared" ref="B188:B251" si="42">IF((LEFT($I188,5))="**** ",MID($I188,7,5),+B187)</f>
        <v>1.2.1</v>
      </c>
      <c r="C188" s="140" t="str">
        <f t="shared" si="37"/>
        <v>E058-P0850</v>
      </c>
      <c r="D188" s="140">
        <v>1</v>
      </c>
      <c r="E188" s="140" t="str">
        <f t="shared" si="38"/>
        <v>21115-0100</v>
      </c>
      <c r="F188" s="140" t="str">
        <f t="shared" si="39"/>
        <v>1</v>
      </c>
      <c r="G188" s="140" t="str">
        <f t="shared" si="40"/>
        <v>2212</v>
      </c>
      <c r="H188" s="140" t="str">
        <f t="shared" si="41"/>
        <v>1.2.1/E058-P0850/1/21115-0100/1/2212  Prod Alimen instal</v>
      </c>
      <c r="I188" s="448" t="s">
        <v>2113</v>
      </c>
      <c r="J188" s="925">
        <f t="shared" si="30"/>
        <v>10815</v>
      </c>
      <c r="K188" s="924">
        <f t="shared" si="31"/>
        <v>-6144.0499999999993</v>
      </c>
      <c r="L188" s="924">
        <f t="shared" si="32"/>
        <v>4670.95</v>
      </c>
      <c r="M188" s="924">
        <f t="shared" si="33"/>
        <v>4670.95</v>
      </c>
      <c r="N188" s="925">
        <f t="shared" si="34"/>
        <v>4670.95</v>
      </c>
      <c r="O188" s="925">
        <f t="shared" si="35"/>
        <v>4670.95</v>
      </c>
      <c r="P188" s="924">
        <f t="shared" si="36"/>
        <v>4670.95</v>
      </c>
      <c r="Q188" s="924"/>
      <c r="R188" s="448" t="s">
        <v>2113</v>
      </c>
      <c r="S188" s="449">
        <v>10815</v>
      </c>
      <c r="T188" s="449">
        <v>15050.95</v>
      </c>
      <c r="U188" s="449">
        <v>-21195</v>
      </c>
      <c r="V188" s="449">
        <v>4670.95</v>
      </c>
      <c r="W188" s="449">
        <v>0</v>
      </c>
      <c r="X188" s="449">
        <v>4670.95</v>
      </c>
      <c r="Y188" s="449">
        <v>4670.95</v>
      </c>
      <c r="Z188" s="449">
        <v>100</v>
      </c>
      <c r="AA188" s="450">
        <v>0</v>
      </c>
      <c r="AB188" s="449">
        <v>0</v>
      </c>
      <c r="AC188" s="449">
        <v>4670.95</v>
      </c>
      <c r="AD188" s="449">
        <v>100</v>
      </c>
      <c r="AE188" s="449">
        <v>0</v>
      </c>
      <c r="AF188" s="449">
        <v>0</v>
      </c>
    </row>
    <row r="189" spans="1:32" ht="15">
      <c r="A189" s="140" t="str">
        <f t="shared" si="29"/>
        <v>E058</v>
      </c>
      <c r="B189" s="140" t="str">
        <f t="shared" si="42"/>
        <v>1.2.1</v>
      </c>
      <c r="C189" s="140" t="str">
        <f t="shared" si="37"/>
        <v>E058-P0850</v>
      </c>
      <c r="D189" s="140">
        <v>1</v>
      </c>
      <c r="E189" s="140" t="str">
        <f t="shared" si="38"/>
        <v>21115-0100</v>
      </c>
      <c r="F189" s="140" t="str">
        <f t="shared" si="39"/>
        <v>1</v>
      </c>
      <c r="G189" s="140" t="str">
        <f t="shared" si="40"/>
        <v>2611</v>
      </c>
      <c r="H189" s="140" t="str">
        <f t="shared" si="41"/>
        <v>1.2.1/E058-P0850/1/21115-0100/1/2611  Combus p Seg pub</v>
      </c>
      <c r="I189" s="448" t="s">
        <v>2982</v>
      </c>
      <c r="J189" s="925">
        <f t="shared" si="30"/>
        <v>0</v>
      </c>
      <c r="K189" s="924">
        <f t="shared" si="31"/>
        <v>0</v>
      </c>
      <c r="L189" s="924">
        <f t="shared" si="32"/>
        <v>0</v>
      </c>
      <c r="M189" s="924">
        <f t="shared" si="33"/>
        <v>0</v>
      </c>
      <c r="N189" s="925">
        <f t="shared" si="34"/>
        <v>0</v>
      </c>
      <c r="O189" s="925">
        <f t="shared" si="35"/>
        <v>0</v>
      </c>
      <c r="P189" s="924">
        <f t="shared" si="36"/>
        <v>0</v>
      </c>
      <c r="Q189" s="924"/>
      <c r="R189" s="448" t="s">
        <v>2982</v>
      </c>
      <c r="S189" s="449">
        <v>0</v>
      </c>
      <c r="T189" s="449">
        <v>468956.4</v>
      </c>
      <c r="U189" s="449">
        <v>-468956.4</v>
      </c>
      <c r="V189" s="449">
        <v>0</v>
      </c>
      <c r="W189" s="450">
        <v>0</v>
      </c>
      <c r="X189" s="450">
        <v>0</v>
      </c>
      <c r="Y189" s="449">
        <v>0</v>
      </c>
      <c r="Z189" s="449">
        <v>0</v>
      </c>
      <c r="AA189" s="450">
        <v>0</v>
      </c>
      <c r="AB189" s="449">
        <v>0</v>
      </c>
      <c r="AC189" s="449">
        <v>0</v>
      </c>
      <c r="AD189" s="449">
        <v>0</v>
      </c>
      <c r="AE189" s="449">
        <v>0</v>
      </c>
      <c r="AF189" s="449">
        <v>0</v>
      </c>
    </row>
    <row r="190" spans="1:32" ht="15">
      <c r="A190" s="140" t="str">
        <f t="shared" si="29"/>
        <v>E058</v>
      </c>
      <c r="B190" s="140" t="str">
        <f t="shared" si="42"/>
        <v>1.2.1</v>
      </c>
      <c r="C190" s="140" t="str">
        <f t="shared" si="37"/>
        <v>E058-P0850</v>
      </c>
      <c r="D190" s="140">
        <v>1</v>
      </c>
      <c r="E190" s="140" t="str">
        <f t="shared" si="38"/>
        <v>21115-0100</v>
      </c>
      <c r="F190" s="140" t="str">
        <f t="shared" si="39"/>
        <v>1</v>
      </c>
      <c r="G190" s="140" t="str">
        <f t="shared" si="40"/>
        <v>2612</v>
      </c>
      <c r="H190" s="140" t="str">
        <f t="shared" si="41"/>
        <v>1.2.1/E058-P0850/1/21115-0100/1/2612  Combus p Serv pub</v>
      </c>
      <c r="I190" s="448" t="s">
        <v>2118</v>
      </c>
      <c r="J190" s="925">
        <f t="shared" si="30"/>
        <v>511588.8</v>
      </c>
      <c r="K190" s="924">
        <f t="shared" si="31"/>
        <v>19401.889999999956</v>
      </c>
      <c r="L190" s="924">
        <f t="shared" si="32"/>
        <v>530990.68999999994</v>
      </c>
      <c r="M190" s="924">
        <f t="shared" si="33"/>
        <v>530990.68999999994</v>
      </c>
      <c r="N190" s="925">
        <f t="shared" si="34"/>
        <v>530990.68999999994</v>
      </c>
      <c r="O190" s="925">
        <f t="shared" si="35"/>
        <v>530990.68999999994</v>
      </c>
      <c r="P190" s="924">
        <f t="shared" si="36"/>
        <v>530990.68999999994</v>
      </c>
      <c r="Q190" s="924"/>
      <c r="R190" s="448" t="s">
        <v>2118</v>
      </c>
      <c r="S190" s="449">
        <v>511588.8</v>
      </c>
      <c r="T190" s="449">
        <v>540190.43999999994</v>
      </c>
      <c r="U190" s="449">
        <v>-520788.55</v>
      </c>
      <c r="V190" s="449">
        <v>530990.68999999994</v>
      </c>
      <c r="W190" s="449">
        <v>0</v>
      </c>
      <c r="X190" s="449">
        <v>530990.68999999994</v>
      </c>
      <c r="Y190" s="449">
        <v>530990.68999999994</v>
      </c>
      <c r="Z190" s="449">
        <v>100</v>
      </c>
      <c r="AA190" s="449">
        <v>0</v>
      </c>
      <c r="AB190" s="449">
        <v>0</v>
      </c>
      <c r="AC190" s="449">
        <v>530990.68999999994</v>
      </c>
      <c r="AD190" s="449">
        <v>100</v>
      </c>
      <c r="AE190" s="449">
        <v>0</v>
      </c>
      <c r="AF190" s="449">
        <v>0</v>
      </c>
    </row>
    <row r="191" spans="1:32" ht="15">
      <c r="A191" s="140" t="str">
        <f t="shared" si="29"/>
        <v>E058</v>
      </c>
      <c r="B191" s="140" t="str">
        <f t="shared" si="42"/>
        <v>1.2.1</v>
      </c>
      <c r="C191" s="140" t="str">
        <f t="shared" si="37"/>
        <v>E058-P0850</v>
      </c>
      <c r="D191" s="140">
        <v>1</v>
      </c>
      <c r="E191" s="140" t="str">
        <f t="shared" si="38"/>
        <v>21115-0100</v>
      </c>
      <c r="F191" s="140" t="str">
        <f t="shared" si="39"/>
        <v>1</v>
      </c>
      <c r="G191" s="140" t="str">
        <f t="shared" si="40"/>
        <v>3181</v>
      </c>
      <c r="H191" s="140" t="str">
        <f t="shared" si="41"/>
        <v>1.2.1/E058-P0850/1/21115-0100/1/3181  Servicio postal</v>
      </c>
      <c r="I191" s="448" t="s">
        <v>2129</v>
      </c>
      <c r="J191" s="925">
        <f t="shared" si="30"/>
        <v>264012.12</v>
      </c>
      <c r="K191" s="924">
        <f t="shared" si="31"/>
        <v>-87486.62</v>
      </c>
      <c r="L191" s="925">
        <f t="shared" si="32"/>
        <v>176525.5</v>
      </c>
      <c r="M191" s="924">
        <f t="shared" si="33"/>
        <v>176525.5</v>
      </c>
      <c r="N191" s="925">
        <f t="shared" si="34"/>
        <v>176525.5</v>
      </c>
      <c r="O191" s="925">
        <f t="shared" si="35"/>
        <v>176525.5</v>
      </c>
      <c r="P191" s="924">
        <f t="shared" si="36"/>
        <v>176525.5</v>
      </c>
      <c r="Q191" s="924"/>
      <c r="R191" s="448" t="s">
        <v>2129</v>
      </c>
      <c r="S191" s="449">
        <v>264012.12</v>
      </c>
      <c r="T191" s="449">
        <v>135202.07</v>
      </c>
      <c r="U191" s="449">
        <v>-222688.69</v>
      </c>
      <c r="V191" s="449">
        <v>176525.5</v>
      </c>
      <c r="W191" s="449">
        <v>0</v>
      </c>
      <c r="X191" s="449">
        <v>176525.5</v>
      </c>
      <c r="Y191" s="449">
        <v>176525.5</v>
      </c>
      <c r="Z191" s="449">
        <v>100</v>
      </c>
      <c r="AA191" s="450">
        <v>0</v>
      </c>
      <c r="AB191" s="449">
        <v>0</v>
      </c>
      <c r="AC191" s="449">
        <v>176525.5</v>
      </c>
      <c r="AD191" s="449">
        <v>100</v>
      </c>
      <c r="AE191" s="449">
        <v>0</v>
      </c>
      <c r="AF191" s="449">
        <v>0</v>
      </c>
    </row>
    <row r="192" spans="1:32" ht="15">
      <c r="A192" s="140" t="str">
        <f t="shared" si="29"/>
        <v>E058</v>
      </c>
      <c r="B192" s="140" t="str">
        <f t="shared" si="42"/>
        <v>1.2.1</v>
      </c>
      <c r="C192" s="140" t="str">
        <f t="shared" si="37"/>
        <v>E058-P0850</v>
      </c>
      <c r="D192" s="140">
        <v>1</v>
      </c>
      <c r="E192" s="140" t="str">
        <f t="shared" si="38"/>
        <v>21115-0100</v>
      </c>
      <c r="F192" s="140" t="str">
        <f t="shared" si="39"/>
        <v>1</v>
      </c>
      <c r="G192" s="140" t="str">
        <f t="shared" si="40"/>
        <v>3221</v>
      </c>
      <c r="H192" s="140" t="str">
        <f t="shared" si="41"/>
        <v>1.2.1/E058-P0850/1/21115-0100/1/3221  Arrendam Edificios</v>
      </c>
      <c r="I192" s="448" t="s">
        <v>2130</v>
      </c>
      <c r="J192" s="922">
        <f t="shared" si="30"/>
        <v>414990.04</v>
      </c>
      <c r="K192" s="922">
        <f t="shared" si="31"/>
        <v>-48827.359999999986</v>
      </c>
      <c r="L192" s="922">
        <f t="shared" si="32"/>
        <v>366162.68</v>
      </c>
      <c r="M192" s="922">
        <f t="shared" si="33"/>
        <v>366162.68</v>
      </c>
      <c r="N192" s="922">
        <f t="shared" si="34"/>
        <v>366162.68</v>
      </c>
      <c r="O192" s="922">
        <f t="shared" si="35"/>
        <v>366162.68</v>
      </c>
      <c r="P192" s="922">
        <f t="shared" si="36"/>
        <v>366162.68</v>
      </c>
      <c r="Q192" s="922"/>
      <c r="R192" s="448" t="s">
        <v>2130</v>
      </c>
      <c r="S192" s="449">
        <v>414990.04</v>
      </c>
      <c r="T192" s="449">
        <v>730419.81</v>
      </c>
      <c r="U192" s="449">
        <v>-779247.17</v>
      </c>
      <c r="V192" s="449">
        <v>366162.68</v>
      </c>
      <c r="W192" s="449">
        <v>0</v>
      </c>
      <c r="X192" s="449">
        <v>366162.68</v>
      </c>
      <c r="Y192" s="449">
        <v>366162.68</v>
      </c>
      <c r="Z192" s="449">
        <v>100</v>
      </c>
      <c r="AA192" s="449">
        <v>0</v>
      </c>
      <c r="AB192" s="449">
        <v>0</v>
      </c>
      <c r="AC192" s="449">
        <v>366162.68</v>
      </c>
      <c r="AD192" s="449">
        <v>100</v>
      </c>
      <c r="AE192" s="449">
        <v>0</v>
      </c>
      <c r="AF192" s="449">
        <v>0</v>
      </c>
    </row>
    <row r="193" spans="1:32" ht="15">
      <c r="A193" s="140" t="str">
        <f t="shared" si="29"/>
        <v>E058</v>
      </c>
      <c r="B193" s="140" t="str">
        <f t="shared" si="42"/>
        <v>1.2.1</v>
      </c>
      <c r="C193" s="140" t="str">
        <f t="shared" si="37"/>
        <v>E058-P0850</v>
      </c>
      <c r="D193" s="140">
        <v>1</v>
      </c>
      <c r="E193" s="140" t="str">
        <f t="shared" si="38"/>
        <v>21115-0100</v>
      </c>
      <c r="F193" s="140" t="str">
        <f t="shared" si="39"/>
        <v>1</v>
      </c>
      <c r="G193" s="140" t="str">
        <f t="shared" si="40"/>
        <v>3231</v>
      </c>
      <c r="H193" s="140" t="str">
        <f t="shared" si="41"/>
        <v>1.2.1/E058-P0850/1/21115-0100/1/3231  Arren Mobiliario</v>
      </c>
      <c r="I193" s="448" t="s">
        <v>2131</v>
      </c>
      <c r="J193" s="922">
        <f t="shared" si="30"/>
        <v>0</v>
      </c>
      <c r="K193" s="922">
        <f t="shared" si="31"/>
        <v>0</v>
      </c>
      <c r="L193" s="922">
        <f t="shared" si="32"/>
        <v>0</v>
      </c>
      <c r="M193" s="922">
        <f t="shared" si="33"/>
        <v>0</v>
      </c>
      <c r="N193" s="922">
        <f t="shared" si="34"/>
        <v>0</v>
      </c>
      <c r="O193" s="922">
        <f t="shared" si="35"/>
        <v>0</v>
      </c>
      <c r="P193" s="922">
        <f t="shared" si="36"/>
        <v>0</v>
      </c>
      <c r="Q193" s="922"/>
      <c r="R193" s="448" t="s">
        <v>2131</v>
      </c>
      <c r="S193" s="450">
        <v>0</v>
      </c>
      <c r="T193" s="449">
        <v>6728</v>
      </c>
      <c r="U193" s="449">
        <v>-6728</v>
      </c>
      <c r="V193" s="449">
        <v>0</v>
      </c>
      <c r="W193" s="450">
        <v>0</v>
      </c>
      <c r="X193" s="450">
        <v>0</v>
      </c>
      <c r="Y193" s="449">
        <v>0</v>
      </c>
      <c r="Z193" s="449">
        <v>0</v>
      </c>
      <c r="AA193" s="450">
        <v>0</v>
      </c>
      <c r="AB193" s="449">
        <v>0</v>
      </c>
      <c r="AC193" s="449">
        <v>0</v>
      </c>
      <c r="AD193" s="449">
        <v>0</v>
      </c>
      <c r="AE193" s="449">
        <v>0</v>
      </c>
      <c r="AF193" s="449">
        <v>0</v>
      </c>
    </row>
    <row r="194" spans="1:32" ht="15">
      <c r="A194" s="140" t="str">
        <f t="shared" si="29"/>
        <v>E058</v>
      </c>
      <c r="B194" s="140" t="str">
        <f t="shared" si="42"/>
        <v>1.2.1</v>
      </c>
      <c r="C194" s="140" t="str">
        <f t="shared" si="37"/>
        <v>E058-P0850</v>
      </c>
      <c r="D194" s="140">
        <v>1</v>
      </c>
      <c r="E194" s="140" t="str">
        <f t="shared" si="38"/>
        <v>21115-0100</v>
      </c>
      <c r="F194" s="140" t="str">
        <f t="shared" si="39"/>
        <v>1</v>
      </c>
      <c r="G194" s="140" t="str">
        <f t="shared" si="40"/>
        <v>3331</v>
      </c>
      <c r="H194" s="140" t="str">
        <f t="shared" si="41"/>
        <v>1.2.1/E058-P0850/1/21115-0100/1/3331  Serv Consultoría</v>
      </c>
      <c r="I194" s="448" t="s">
        <v>2134</v>
      </c>
      <c r="J194" s="924">
        <f t="shared" si="30"/>
        <v>0</v>
      </c>
      <c r="K194" s="924">
        <f t="shared" si="31"/>
        <v>0</v>
      </c>
      <c r="L194" s="924">
        <f t="shared" si="32"/>
        <v>0</v>
      </c>
      <c r="M194" s="924">
        <f t="shared" si="33"/>
        <v>0</v>
      </c>
      <c r="N194" s="924">
        <f t="shared" si="34"/>
        <v>0</v>
      </c>
      <c r="O194" s="924">
        <f t="shared" si="35"/>
        <v>0</v>
      </c>
      <c r="P194" s="924">
        <f t="shared" si="36"/>
        <v>0</v>
      </c>
      <c r="Q194" s="924"/>
      <c r="R194" s="448" t="s">
        <v>2134</v>
      </c>
      <c r="S194" s="449">
        <v>0</v>
      </c>
      <c r="T194" s="449">
        <v>1309600</v>
      </c>
      <c r="U194" s="449">
        <v>-1309600</v>
      </c>
      <c r="V194" s="449">
        <v>0</v>
      </c>
      <c r="W194" s="450">
        <v>0</v>
      </c>
      <c r="X194" s="450">
        <v>0</v>
      </c>
      <c r="Y194" s="449">
        <v>0</v>
      </c>
      <c r="Z194" s="449">
        <v>0</v>
      </c>
      <c r="AA194" s="450">
        <v>0</v>
      </c>
      <c r="AB194" s="449">
        <v>0</v>
      </c>
      <c r="AC194" s="449">
        <v>0</v>
      </c>
      <c r="AD194" s="449">
        <v>0</v>
      </c>
      <c r="AE194" s="449">
        <v>0</v>
      </c>
      <c r="AF194" s="449">
        <v>0</v>
      </c>
    </row>
    <row r="195" spans="1:32" ht="15">
      <c r="A195" s="140" t="str">
        <f t="shared" ref="A195:A258" si="43">IF((LEFT($I195,6))="***** ","E001",+A194)</f>
        <v>E058</v>
      </c>
      <c r="B195" s="140" t="str">
        <f t="shared" si="42"/>
        <v>1.2.1</v>
      </c>
      <c r="C195" s="140" t="str">
        <f t="shared" si="37"/>
        <v>E058-P0850</v>
      </c>
      <c r="D195" s="140">
        <v>1</v>
      </c>
      <c r="E195" s="140" t="str">
        <f t="shared" si="38"/>
        <v>21115-0100</v>
      </c>
      <c r="F195" s="140" t="str">
        <f t="shared" si="39"/>
        <v>1</v>
      </c>
      <c r="G195" s="140" t="str">
        <f t="shared" si="40"/>
        <v>3332</v>
      </c>
      <c r="H195" s="140" t="str">
        <f t="shared" si="41"/>
        <v>1.2.1/E058-P0850/1/21115-0100/1/3332  Serv Procesos</v>
      </c>
      <c r="I195" s="448" t="s">
        <v>2135</v>
      </c>
      <c r="J195" s="924">
        <f t="shared" ref="J195:J216" si="44">+S195</f>
        <v>1316780.3999999999</v>
      </c>
      <c r="K195" s="924">
        <f t="shared" ref="K195:K216" si="45">+T195+U195</f>
        <v>-7780.3999999999069</v>
      </c>
      <c r="L195" s="924">
        <f t="shared" ref="L195:L216" si="46">+V195</f>
        <v>1309000</v>
      </c>
      <c r="M195" s="924">
        <f t="shared" ref="M195:M216" si="47">+AA195+N195</f>
        <v>1309000</v>
      </c>
      <c r="N195" s="924">
        <f t="shared" ref="N195:N216" si="48">+W195+P195</f>
        <v>1309000</v>
      </c>
      <c r="O195" s="924">
        <f t="shared" ref="O195:O216" si="49">+W195+P195</f>
        <v>1309000</v>
      </c>
      <c r="P195" s="924">
        <f t="shared" ref="P195:P216" si="50">+X195</f>
        <v>1309000</v>
      </c>
      <c r="Q195" s="924"/>
      <c r="R195" s="448" t="s">
        <v>2135</v>
      </c>
      <c r="S195" s="449">
        <v>1316780.3999999999</v>
      </c>
      <c r="T195" s="449">
        <v>1309000</v>
      </c>
      <c r="U195" s="449">
        <v>-1316780.3999999999</v>
      </c>
      <c r="V195" s="449">
        <v>1309000</v>
      </c>
      <c r="W195" s="449">
        <v>0</v>
      </c>
      <c r="X195" s="449">
        <v>1309000</v>
      </c>
      <c r="Y195" s="449">
        <v>1309000</v>
      </c>
      <c r="Z195" s="449">
        <v>100</v>
      </c>
      <c r="AA195" s="450">
        <v>0</v>
      </c>
      <c r="AB195" s="449">
        <v>0</v>
      </c>
      <c r="AC195" s="449">
        <v>1309000</v>
      </c>
      <c r="AD195" s="449">
        <v>100</v>
      </c>
      <c r="AE195" s="449">
        <v>0</v>
      </c>
      <c r="AF195" s="449">
        <v>0</v>
      </c>
    </row>
    <row r="196" spans="1:32" ht="15">
      <c r="A196" s="140" t="str">
        <f t="shared" si="43"/>
        <v>E058</v>
      </c>
      <c r="B196" s="140" t="str">
        <f t="shared" si="42"/>
        <v>1.2.1</v>
      </c>
      <c r="C196" s="140" t="str">
        <f t="shared" ref="C196:C216" si="51">IF((LEFT($I196,4))="*** ",A196&amp;"-"&amp;MID($I196,7,5),+C195)</f>
        <v>E058-P0850</v>
      </c>
      <c r="D196" s="140">
        <v>1</v>
      </c>
      <c r="E196" s="140" t="str">
        <f t="shared" ref="E196:E259" si="52">IF((LEFT($I196,2))="* ",MID($I196,7,10),+E195)</f>
        <v>21115-0100</v>
      </c>
      <c r="F196" s="140" t="str">
        <f t="shared" ref="F196:F259" si="53">IF((LEFT($G196,1))="5","2","1")</f>
        <v>1</v>
      </c>
      <c r="G196" s="140" t="str">
        <f t="shared" ref="G196:G259" si="54">IF((LEFT($I196,1))=" ",MID($I196,7,4),"")</f>
        <v>3341</v>
      </c>
      <c r="H196" s="140" t="str">
        <f t="shared" ref="H196:H216" si="55">IF((LEFT($I196,1))=" ",B196&amp;"/"&amp;C196&amp;"/"&amp;D196&amp;"/"&amp;E196&amp;"/"&amp;F196&amp;"/"&amp;MID($I196,7,50),"")</f>
        <v>1.2.1/E058-P0850/1/21115-0100/1/3341  Servicios de capacitación</v>
      </c>
      <c r="I196" s="448" t="s">
        <v>2136</v>
      </c>
      <c r="J196" s="924">
        <f t="shared" si="44"/>
        <v>257289.86</v>
      </c>
      <c r="K196" s="924">
        <f t="shared" si="45"/>
        <v>-257289.86</v>
      </c>
      <c r="L196" s="924">
        <f t="shared" si="46"/>
        <v>0</v>
      </c>
      <c r="M196" s="924">
        <f t="shared" si="47"/>
        <v>0</v>
      </c>
      <c r="N196" s="924">
        <f t="shared" si="48"/>
        <v>0</v>
      </c>
      <c r="O196" s="924">
        <f t="shared" si="49"/>
        <v>0</v>
      </c>
      <c r="P196" s="924">
        <f t="shared" si="50"/>
        <v>0</v>
      </c>
      <c r="Q196" s="924"/>
      <c r="R196" s="448" t="s">
        <v>2136</v>
      </c>
      <c r="S196" s="449">
        <v>257289.86</v>
      </c>
      <c r="T196" s="449">
        <v>450257.26</v>
      </c>
      <c r="U196" s="449">
        <v>-707547.12</v>
      </c>
      <c r="V196" s="449">
        <v>0</v>
      </c>
      <c r="W196" s="450">
        <v>0</v>
      </c>
      <c r="X196" s="450">
        <v>0</v>
      </c>
      <c r="Y196" s="449">
        <v>0</v>
      </c>
      <c r="Z196" s="449">
        <v>0</v>
      </c>
      <c r="AA196" s="450">
        <v>0</v>
      </c>
      <c r="AB196" s="449">
        <v>0</v>
      </c>
      <c r="AC196" s="449">
        <v>0</v>
      </c>
      <c r="AD196" s="449">
        <v>0</v>
      </c>
      <c r="AE196" s="449">
        <v>0</v>
      </c>
      <c r="AF196" s="449">
        <v>0</v>
      </c>
    </row>
    <row r="197" spans="1:32" ht="15">
      <c r="A197" s="140" t="str">
        <f t="shared" si="43"/>
        <v>E058</v>
      </c>
      <c r="B197" s="140" t="str">
        <f t="shared" si="42"/>
        <v>1.2.1</v>
      </c>
      <c r="C197" s="140" t="str">
        <f t="shared" si="51"/>
        <v>E058-P0850</v>
      </c>
      <c r="D197" s="140">
        <v>1</v>
      </c>
      <c r="E197" s="140" t="str">
        <f t="shared" si="52"/>
        <v>21115-0100</v>
      </c>
      <c r="F197" s="140" t="str">
        <f t="shared" si="53"/>
        <v>1</v>
      </c>
      <c r="G197" s="140" t="str">
        <f t="shared" si="54"/>
        <v>3361</v>
      </c>
      <c r="H197" s="140" t="str">
        <f t="shared" si="55"/>
        <v>1.2.1/E058-P0850/1/21115-0100/1/3361  Impresiones docofic</v>
      </c>
      <c r="I197" s="448" t="s">
        <v>2137</v>
      </c>
      <c r="J197" s="924">
        <f t="shared" si="44"/>
        <v>195518.98</v>
      </c>
      <c r="K197" s="925">
        <f t="shared" si="45"/>
        <v>-194242.97999999998</v>
      </c>
      <c r="L197" s="925">
        <f t="shared" si="46"/>
        <v>1276</v>
      </c>
      <c r="M197" s="924">
        <f t="shared" si="47"/>
        <v>1276</v>
      </c>
      <c r="N197" s="924">
        <f t="shared" si="48"/>
        <v>1276</v>
      </c>
      <c r="O197" s="924">
        <f t="shared" si="49"/>
        <v>1276</v>
      </c>
      <c r="P197" s="924">
        <f t="shared" si="50"/>
        <v>1276</v>
      </c>
      <c r="Q197" s="924"/>
      <c r="R197" s="448" t="s">
        <v>2137</v>
      </c>
      <c r="S197" s="449">
        <v>195518.98</v>
      </c>
      <c r="T197" s="449">
        <v>352158.24</v>
      </c>
      <c r="U197" s="449">
        <v>-546401.22</v>
      </c>
      <c r="V197" s="449">
        <v>1276</v>
      </c>
      <c r="W197" s="449">
        <v>0</v>
      </c>
      <c r="X197" s="449">
        <v>1276</v>
      </c>
      <c r="Y197" s="449">
        <v>1276</v>
      </c>
      <c r="Z197" s="449">
        <v>100</v>
      </c>
      <c r="AA197" s="450">
        <v>0</v>
      </c>
      <c r="AB197" s="449">
        <v>0</v>
      </c>
      <c r="AC197" s="449">
        <v>1276</v>
      </c>
      <c r="AD197" s="449">
        <v>100</v>
      </c>
      <c r="AE197" s="449">
        <v>0</v>
      </c>
      <c r="AF197" s="449">
        <v>0</v>
      </c>
    </row>
    <row r="198" spans="1:32" ht="15">
      <c r="A198" s="140" t="str">
        <f t="shared" si="43"/>
        <v>E058</v>
      </c>
      <c r="B198" s="140" t="str">
        <f t="shared" si="42"/>
        <v>1.2.1</v>
      </c>
      <c r="C198" s="140" t="str">
        <f t="shared" si="51"/>
        <v>E058-P0850</v>
      </c>
      <c r="D198" s="140">
        <v>1</v>
      </c>
      <c r="E198" s="140" t="str">
        <f t="shared" si="52"/>
        <v>21115-0100</v>
      </c>
      <c r="F198" s="140" t="str">
        <f t="shared" si="53"/>
        <v>1</v>
      </c>
      <c r="G198" s="140" t="str">
        <f t="shared" si="54"/>
        <v>3551</v>
      </c>
      <c r="H198" s="140" t="str">
        <f t="shared" si="55"/>
        <v>1.2.1/E058-P0850/1/21115-0100/1/3551  Mantto Vehíc</v>
      </c>
      <c r="I198" s="448" t="s">
        <v>2147</v>
      </c>
      <c r="J198" s="924">
        <f t="shared" si="44"/>
        <v>128286.49</v>
      </c>
      <c r="K198" s="925">
        <f t="shared" si="45"/>
        <v>50520.490000000005</v>
      </c>
      <c r="L198" s="925">
        <f t="shared" si="46"/>
        <v>178806.98</v>
      </c>
      <c r="M198" s="924">
        <f t="shared" si="47"/>
        <v>178806.98</v>
      </c>
      <c r="N198" s="924">
        <f t="shared" si="48"/>
        <v>178806.98</v>
      </c>
      <c r="O198" s="924">
        <f t="shared" si="49"/>
        <v>178806.98</v>
      </c>
      <c r="P198" s="924">
        <f t="shared" si="50"/>
        <v>178806.98</v>
      </c>
      <c r="Q198" s="924"/>
      <c r="R198" s="448" t="s">
        <v>2147</v>
      </c>
      <c r="S198" s="449">
        <v>128286.49</v>
      </c>
      <c r="T198" s="449">
        <v>117672.08</v>
      </c>
      <c r="U198" s="449">
        <v>-67151.59</v>
      </c>
      <c r="V198" s="449">
        <v>178806.98</v>
      </c>
      <c r="W198" s="449">
        <v>0</v>
      </c>
      <c r="X198" s="449">
        <v>178806.98</v>
      </c>
      <c r="Y198" s="449">
        <v>178806.98</v>
      </c>
      <c r="Z198" s="449">
        <v>100</v>
      </c>
      <c r="AA198" s="450">
        <v>0</v>
      </c>
      <c r="AB198" s="449">
        <v>0</v>
      </c>
      <c r="AC198" s="449">
        <v>178806.98</v>
      </c>
      <c r="AD198" s="449">
        <v>100</v>
      </c>
      <c r="AE198" s="449">
        <v>0</v>
      </c>
      <c r="AF198" s="449">
        <v>0</v>
      </c>
    </row>
    <row r="199" spans="1:32" ht="15">
      <c r="A199" s="140" t="str">
        <f t="shared" si="43"/>
        <v>E058</v>
      </c>
      <c r="B199" s="140" t="str">
        <f t="shared" si="42"/>
        <v>1.2.1</v>
      </c>
      <c r="C199" s="140" t="str">
        <f t="shared" si="51"/>
        <v>E058-P0850</v>
      </c>
      <c r="D199" s="140">
        <v>1</v>
      </c>
      <c r="E199" s="140" t="str">
        <f t="shared" si="52"/>
        <v>21115-0100</v>
      </c>
      <c r="F199" s="140" t="str">
        <f t="shared" si="53"/>
        <v>1</v>
      </c>
      <c r="G199" s="140" t="str">
        <f t="shared" si="54"/>
        <v>3611</v>
      </c>
      <c r="H199" s="140" t="str">
        <f t="shared" si="55"/>
        <v>1.2.1/E058-P0850/1/21115-0100/1/3611  Difusión Activ Gub</v>
      </c>
      <c r="I199" s="448" t="s">
        <v>2150</v>
      </c>
      <c r="J199" s="924">
        <f t="shared" si="44"/>
        <v>4484756.01</v>
      </c>
      <c r="K199" s="924">
        <f t="shared" si="45"/>
        <v>274161.94</v>
      </c>
      <c r="L199" s="925">
        <f t="shared" si="46"/>
        <v>4758917.95</v>
      </c>
      <c r="M199" s="924">
        <f t="shared" si="47"/>
        <v>4758917.95</v>
      </c>
      <c r="N199" s="925">
        <f t="shared" si="48"/>
        <v>4758917.95</v>
      </c>
      <c r="O199" s="925">
        <f t="shared" si="49"/>
        <v>4758917.95</v>
      </c>
      <c r="P199" s="924">
        <f t="shared" si="50"/>
        <v>4758917.95</v>
      </c>
      <c r="Q199" s="924"/>
      <c r="R199" s="448" t="s">
        <v>2150</v>
      </c>
      <c r="S199" s="449">
        <v>4484756.01</v>
      </c>
      <c r="T199" s="449">
        <v>660249.74</v>
      </c>
      <c r="U199" s="449">
        <v>-386087.8</v>
      </c>
      <c r="V199" s="449">
        <v>4758917.95</v>
      </c>
      <c r="W199" s="449">
        <v>0</v>
      </c>
      <c r="X199" s="449">
        <v>4758917.95</v>
      </c>
      <c r="Y199" s="449">
        <v>4758917.95</v>
      </c>
      <c r="Z199" s="449">
        <v>100</v>
      </c>
      <c r="AA199" s="449">
        <v>0</v>
      </c>
      <c r="AB199" s="449">
        <v>0</v>
      </c>
      <c r="AC199" s="449">
        <v>4758917.95</v>
      </c>
      <c r="AD199" s="449">
        <v>100</v>
      </c>
      <c r="AE199" s="449">
        <v>0</v>
      </c>
      <c r="AF199" s="449">
        <v>0</v>
      </c>
    </row>
    <row r="200" spans="1:32" ht="15">
      <c r="A200" s="140" t="str">
        <f t="shared" si="43"/>
        <v>E058</v>
      </c>
      <c r="B200" s="140" t="str">
        <f t="shared" si="42"/>
        <v>1.2.1</v>
      </c>
      <c r="C200" s="140" t="str">
        <f t="shared" si="51"/>
        <v>E058-P0850</v>
      </c>
      <c r="D200" s="140">
        <v>1</v>
      </c>
      <c r="E200" s="140" t="str">
        <f t="shared" si="52"/>
        <v>21115-0100</v>
      </c>
      <c r="F200" s="140" t="str">
        <f t="shared" si="53"/>
        <v>1</v>
      </c>
      <c r="G200" s="140" t="str">
        <f t="shared" si="54"/>
        <v>3711</v>
      </c>
      <c r="H200" s="140" t="str">
        <f t="shared" si="55"/>
        <v>1.2.1/E058-P0850/1/21115-0100/1/3711  Pasajes aéreos Nac</v>
      </c>
      <c r="I200" s="448" t="s">
        <v>2155</v>
      </c>
      <c r="J200" s="924">
        <f t="shared" si="44"/>
        <v>143020.44</v>
      </c>
      <c r="K200" s="924">
        <f t="shared" si="45"/>
        <v>-117094.44</v>
      </c>
      <c r="L200" s="924">
        <f t="shared" si="46"/>
        <v>25926</v>
      </c>
      <c r="M200" s="924">
        <f t="shared" si="47"/>
        <v>25926</v>
      </c>
      <c r="N200" s="925">
        <f t="shared" si="48"/>
        <v>25926</v>
      </c>
      <c r="O200" s="925">
        <f t="shared" si="49"/>
        <v>25926</v>
      </c>
      <c r="P200" s="924">
        <f t="shared" si="50"/>
        <v>25926</v>
      </c>
      <c r="Q200" s="924"/>
      <c r="R200" s="448" t="s">
        <v>2155</v>
      </c>
      <c r="S200" s="449">
        <v>143020.44</v>
      </c>
      <c r="T200" s="449">
        <v>178677.19</v>
      </c>
      <c r="U200" s="449">
        <v>-295771.63</v>
      </c>
      <c r="V200" s="449">
        <v>25926</v>
      </c>
      <c r="W200" s="449">
        <v>0</v>
      </c>
      <c r="X200" s="449">
        <v>25926</v>
      </c>
      <c r="Y200" s="449">
        <v>25926</v>
      </c>
      <c r="Z200" s="449">
        <v>100</v>
      </c>
      <c r="AA200" s="450">
        <v>0</v>
      </c>
      <c r="AB200" s="449">
        <v>0</v>
      </c>
      <c r="AC200" s="449">
        <v>25926</v>
      </c>
      <c r="AD200" s="449">
        <v>100</v>
      </c>
      <c r="AE200" s="449">
        <v>0</v>
      </c>
      <c r="AF200" s="449">
        <v>0</v>
      </c>
    </row>
    <row r="201" spans="1:32" ht="15">
      <c r="A201" s="140" t="str">
        <f t="shared" si="43"/>
        <v>E058</v>
      </c>
      <c r="B201" s="140" t="str">
        <f t="shared" si="42"/>
        <v>1.2.1</v>
      </c>
      <c r="C201" s="140" t="str">
        <f t="shared" si="51"/>
        <v>E058-P0850</v>
      </c>
      <c r="D201" s="140">
        <v>1</v>
      </c>
      <c r="E201" s="140" t="str">
        <f t="shared" si="52"/>
        <v>21115-0100</v>
      </c>
      <c r="F201" s="140" t="str">
        <f t="shared" si="53"/>
        <v>1</v>
      </c>
      <c r="G201" s="140" t="str">
        <f t="shared" si="54"/>
        <v>3721</v>
      </c>
      <c r="H201" s="140" t="str">
        <f t="shared" si="55"/>
        <v>1.2.1/E058-P0850/1/21115-0100/1/3721  Pasajes terr Nac</v>
      </c>
      <c r="I201" s="448" t="s">
        <v>2156</v>
      </c>
      <c r="J201" s="924">
        <f t="shared" si="44"/>
        <v>128785.53</v>
      </c>
      <c r="K201" s="925">
        <f t="shared" si="45"/>
        <v>-52836.700000000012</v>
      </c>
      <c r="L201" s="925">
        <f t="shared" si="46"/>
        <v>75948.83</v>
      </c>
      <c r="M201" s="924">
        <f t="shared" si="47"/>
        <v>75948.83</v>
      </c>
      <c r="N201" s="924">
        <f t="shared" si="48"/>
        <v>75948.83</v>
      </c>
      <c r="O201" s="924">
        <f t="shared" si="49"/>
        <v>75948.83</v>
      </c>
      <c r="P201" s="924">
        <f t="shared" si="50"/>
        <v>74898.83</v>
      </c>
      <c r="Q201" s="924"/>
      <c r="R201" s="448" t="s">
        <v>2156</v>
      </c>
      <c r="S201" s="449">
        <v>128785.53</v>
      </c>
      <c r="T201" s="449">
        <v>150282.12</v>
      </c>
      <c r="U201" s="449">
        <v>-203118.82</v>
      </c>
      <c r="V201" s="449">
        <v>75948.83</v>
      </c>
      <c r="W201" s="449">
        <v>1050</v>
      </c>
      <c r="X201" s="449">
        <v>74898.83</v>
      </c>
      <c r="Y201" s="449">
        <v>75948.83</v>
      </c>
      <c r="Z201" s="449">
        <v>100</v>
      </c>
      <c r="AA201" s="449">
        <v>0</v>
      </c>
      <c r="AB201" s="449">
        <v>0</v>
      </c>
      <c r="AC201" s="449">
        <v>75948.83</v>
      </c>
      <c r="AD201" s="449">
        <v>100</v>
      </c>
      <c r="AE201" s="449">
        <v>0</v>
      </c>
      <c r="AF201" s="449">
        <v>0</v>
      </c>
    </row>
    <row r="202" spans="1:32" ht="15">
      <c r="A202" s="140" t="str">
        <f t="shared" si="43"/>
        <v>E058</v>
      </c>
      <c r="B202" s="140" t="str">
        <f t="shared" si="42"/>
        <v>1.2.1</v>
      </c>
      <c r="C202" s="140" t="str">
        <f t="shared" si="51"/>
        <v>E058-P0850</v>
      </c>
      <c r="D202" s="140">
        <v>1</v>
      </c>
      <c r="E202" s="140" t="str">
        <f t="shared" si="52"/>
        <v>21115-0100</v>
      </c>
      <c r="F202" s="140" t="str">
        <f t="shared" si="53"/>
        <v>1</v>
      </c>
      <c r="G202" s="140" t="str">
        <f t="shared" si="54"/>
        <v>3751</v>
      </c>
      <c r="H202" s="140" t="str">
        <f t="shared" si="55"/>
        <v>1.2.1/E058-P0850/1/21115-0100/1/3751  Viáticos nacionales</v>
      </c>
      <c r="I202" s="448" t="s">
        <v>2157</v>
      </c>
      <c r="J202" s="924">
        <f t="shared" si="44"/>
        <v>62740.57</v>
      </c>
      <c r="K202" s="924">
        <f t="shared" si="45"/>
        <v>-14142.750000000004</v>
      </c>
      <c r="L202" s="925">
        <f t="shared" si="46"/>
        <v>48597.82</v>
      </c>
      <c r="M202" s="924">
        <f t="shared" si="47"/>
        <v>48597.82</v>
      </c>
      <c r="N202" s="924">
        <f t="shared" si="48"/>
        <v>48597.82</v>
      </c>
      <c r="O202" s="924">
        <f t="shared" si="49"/>
        <v>48597.82</v>
      </c>
      <c r="P202" s="924">
        <f t="shared" si="50"/>
        <v>48597.82</v>
      </c>
      <c r="Q202" s="924"/>
      <c r="R202" s="448" t="s">
        <v>2157</v>
      </c>
      <c r="S202" s="449">
        <v>62740.57</v>
      </c>
      <c r="T202" s="449">
        <v>31613.55</v>
      </c>
      <c r="U202" s="449">
        <v>-45756.3</v>
      </c>
      <c r="V202" s="449">
        <v>48597.82</v>
      </c>
      <c r="W202" s="449">
        <v>0</v>
      </c>
      <c r="X202" s="449">
        <v>48597.82</v>
      </c>
      <c r="Y202" s="449">
        <v>48597.82</v>
      </c>
      <c r="Z202" s="449">
        <v>100</v>
      </c>
      <c r="AA202" s="449">
        <v>0</v>
      </c>
      <c r="AB202" s="449">
        <v>0</v>
      </c>
      <c r="AC202" s="449">
        <v>48597.82</v>
      </c>
      <c r="AD202" s="449">
        <v>100</v>
      </c>
      <c r="AE202" s="449">
        <v>0</v>
      </c>
      <c r="AF202" s="449">
        <v>0</v>
      </c>
    </row>
    <row r="203" spans="1:32" ht="15">
      <c r="A203" s="140" t="str">
        <f t="shared" si="43"/>
        <v>E058</v>
      </c>
      <c r="B203" s="140" t="str">
        <f t="shared" si="42"/>
        <v>1.2.1</v>
      </c>
      <c r="C203" s="140" t="str">
        <f t="shared" si="51"/>
        <v>E058-P0850</v>
      </c>
      <c r="D203" s="140">
        <v>1</v>
      </c>
      <c r="E203" s="140" t="str">
        <f t="shared" si="52"/>
        <v>21115-0100</v>
      </c>
      <c r="F203" s="140" t="str">
        <f t="shared" si="53"/>
        <v>1</v>
      </c>
      <c r="G203" s="140" t="str">
        <f t="shared" si="54"/>
        <v>3761</v>
      </c>
      <c r="H203" s="140" t="str">
        <f t="shared" si="55"/>
        <v>1.2.1/E058-P0850/1/21115-0100/1/3761  Viáticos Extranjero</v>
      </c>
      <c r="I203" s="448" t="s">
        <v>2180</v>
      </c>
      <c r="J203" s="924">
        <f t="shared" si="44"/>
        <v>47295.25</v>
      </c>
      <c r="K203" s="924">
        <f t="shared" si="45"/>
        <v>-47295.25</v>
      </c>
      <c r="L203" s="925">
        <f t="shared" si="46"/>
        <v>0</v>
      </c>
      <c r="M203" s="924">
        <f t="shared" si="47"/>
        <v>0</v>
      </c>
      <c r="N203" s="924">
        <f t="shared" si="48"/>
        <v>0</v>
      </c>
      <c r="O203" s="924">
        <f t="shared" si="49"/>
        <v>0</v>
      </c>
      <c r="P203" s="924">
        <f t="shared" si="50"/>
        <v>0</v>
      </c>
      <c r="Q203" s="924"/>
      <c r="R203" s="448" t="s">
        <v>2180</v>
      </c>
      <c r="S203" s="449">
        <v>47295.25</v>
      </c>
      <c r="T203" s="449">
        <v>64590.5</v>
      </c>
      <c r="U203" s="449">
        <v>-111885.75</v>
      </c>
      <c r="V203" s="449">
        <v>0</v>
      </c>
      <c r="W203" s="450">
        <v>0</v>
      </c>
      <c r="X203" s="450">
        <v>0</v>
      </c>
      <c r="Y203" s="449">
        <v>0</v>
      </c>
      <c r="Z203" s="449">
        <v>0</v>
      </c>
      <c r="AA203" s="450">
        <v>0</v>
      </c>
      <c r="AB203" s="449">
        <v>0</v>
      </c>
      <c r="AC203" s="449">
        <v>0</v>
      </c>
      <c r="AD203" s="449">
        <v>0</v>
      </c>
      <c r="AE203" s="449">
        <v>0</v>
      </c>
      <c r="AF203" s="449">
        <v>0</v>
      </c>
    </row>
    <row r="204" spans="1:32" ht="15">
      <c r="A204" s="140" t="str">
        <f t="shared" si="43"/>
        <v>E058</v>
      </c>
      <c r="B204" s="140" t="str">
        <f t="shared" si="42"/>
        <v>1.2.1</v>
      </c>
      <c r="C204" s="140" t="str">
        <f t="shared" si="51"/>
        <v>E058-P0850</v>
      </c>
      <c r="D204" s="140">
        <v>1</v>
      </c>
      <c r="E204" s="140" t="str">
        <f t="shared" si="52"/>
        <v>21115-0100</v>
      </c>
      <c r="F204" s="140" t="str">
        <f t="shared" si="53"/>
        <v>1</v>
      </c>
      <c r="G204" s="140" t="str">
        <f t="shared" si="54"/>
        <v>3811</v>
      </c>
      <c r="H204" s="140" t="str">
        <f t="shared" si="55"/>
        <v>1.2.1/E058-P0850/1/21115-0100/1/3811  Gastos de ceremonial</v>
      </c>
      <c r="I204" s="448" t="s">
        <v>2158</v>
      </c>
      <c r="J204" s="924">
        <f t="shared" si="44"/>
        <v>28511.27</v>
      </c>
      <c r="K204" s="924">
        <f t="shared" si="45"/>
        <v>-28511.269999999997</v>
      </c>
      <c r="L204" s="925">
        <f t="shared" si="46"/>
        <v>0</v>
      </c>
      <c r="M204" s="924">
        <f t="shared" si="47"/>
        <v>0</v>
      </c>
      <c r="N204" s="924">
        <f t="shared" si="48"/>
        <v>0</v>
      </c>
      <c r="O204" s="924">
        <f t="shared" si="49"/>
        <v>0</v>
      </c>
      <c r="P204" s="924">
        <f t="shared" si="50"/>
        <v>0</v>
      </c>
      <c r="Q204" s="924"/>
      <c r="R204" s="448" t="s">
        <v>2158</v>
      </c>
      <c r="S204" s="449">
        <v>28511.27</v>
      </c>
      <c r="T204" s="449">
        <v>57022.54</v>
      </c>
      <c r="U204" s="449">
        <v>-85533.81</v>
      </c>
      <c r="V204" s="449">
        <v>0</v>
      </c>
      <c r="W204" s="450">
        <v>0</v>
      </c>
      <c r="X204" s="450">
        <v>0</v>
      </c>
      <c r="Y204" s="449">
        <v>0</v>
      </c>
      <c r="Z204" s="449">
        <v>0</v>
      </c>
      <c r="AA204" s="450">
        <v>0</v>
      </c>
      <c r="AB204" s="449">
        <v>0</v>
      </c>
      <c r="AC204" s="449">
        <v>0</v>
      </c>
      <c r="AD204" s="449">
        <v>0</v>
      </c>
      <c r="AE204" s="449">
        <v>0</v>
      </c>
      <c r="AF204" s="449">
        <v>0</v>
      </c>
    </row>
    <row r="205" spans="1:32" ht="15">
      <c r="A205" s="140" t="str">
        <f t="shared" si="43"/>
        <v>E058</v>
      </c>
      <c r="B205" s="140" t="str">
        <f t="shared" si="42"/>
        <v>1.2.1</v>
      </c>
      <c r="C205" s="140" t="str">
        <f t="shared" si="51"/>
        <v>E058-P0850</v>
      </c>
      <c r="D205" s="140">
        <v>1</v>
      </c>
      <c r="E205" s="140" t="str">
        <f t="shared" si="52"/>
        <v>21115-0100</v>
      </c>
      <c r="F205" s="140" t="str">
        <f t="shared" si="53"/>
        <v>1</v>
      </c>
      <c r="G205" s="140" t="str">
        <f t="shared" si="54"/>
        <v>3831</v>
      </c>
      <c r="H205" s="140" t="str">
        <f t="shared" si="55"/>
        <v>1.2.1/E058-P0850/1/21115-0100/1/3831  Congresos y convenciones</v>
      </c>
      <c r="I205" s="448" t="s">
        <v>2159</v>
      </c>
      <c r="J205" s="924">
        <f t="shared" si="44"/>
        <v>513250.56</v>
      </c>
      <c r="K205" s="925">
        <f t="shared" si="45"/>
        <v>-508850.56000000006</v>
      </c>
      <c r="L205" s="925">
        <f t="shared" si="46"/>
        <v>4400</v>
      </c>
      <c r="M205" s="924">
        <f t="shared" si="47"/>
        <v>4400</v>
      </c>
      <c r="N205" s="924">
        <f t="shared" si="48"/>
        <v>4400</v>
      </c>
      <c r="O205" s="924">
        <f t="shared" si="49"/>
        <v>4400</v>
      </c>
      <c r="P205" s="924">
        <f t="shared" si="50"/>
        <v>4400</v>
      </c>
      <c r="Q205" s="924"/>
      <c r="R205" s="448" t="s">
        <v>2159</v>
      </c>
      <c r="S205" s="449">
        <v>513250.56</v>
      </c>
      <c r="T205" s="449">
        <v>470061.36</v>
      </c>
      <c r="U205" s="449">
        <v>-978911.92</v>
      </c>
      <c r="V205" s="449">
        <v>4400</v>
      </c>
      <c r="W205" s="449">
        <v>0</v>
      </c>
      <c r="X205" s="449">
        <v>4400</v>
      </c>
      <c r="Y205" s="449">
        <v>4400</v>
      </c>
      <c r="Z205" s="449">
        <v>100</v>
      </c>
      <c r="AA205" s="449">
        <v>0</v>
      </c>
      <c r="AB205" s="449">
        <v>0</v>
      </c>
      <c r="AC205" s="449">
        <v>4400</v>
      </c>
      <c r="AD205" s="449">
        <v>100</v>
      </c>
      <c r="AE205" s="449">
        <v>0</v>
      </c>
      <c r="AF205" s="449">
        <v>0</v>
      </c>
    </row>
    <row r="206" spans="1:32" ht="15">
      <c r="A206" s="140" t="str">
        <f t="shared" si="43"/>
        <v>E058</v>
      </c>
      <c r="B206" s="140" t="str">
        <f t="shared" si="42"/>
        <v>1.2.1</v>
      </c>
      <c r="C206" s="140" t="str">
        <f t="shared" si="51"/>
        <v>E058-P0850</v>
      </c>
      <c r="D206" s="140">
        <v>1</v>
      </c>
      <c r="E206" s="140" t="str">
        <f t="shared" si="52"/>
        <v>21115-0100</v>
      </c>
      <c r="F206" s="140" t="str">
        <f t="shared" si="53"/>
        <v>1</v>
      </c>
      <c r="G206" s="140" t="str">
        <f t="shared" si="54"/>
        <v>3852</v>
      </c>
      <c r="H206" s="140" t="str">
        <f t="shared" si="55"/>
        <v>1.2.1/E058-P0850/1/21115-0100/1/3852  Gto Oficina SP</v>
      </c>
      <c r="I206" s="448" t="s">
        <v>2160</v>
      </c>
      <c r="J206" s="924">
        <f t="shared" si="44"/>
        <v>0</v>
      </c>
      <c r="K206" s="925">
        <f t="shared" si="45"/>
        <v>0</v>
      </c>
      <c r="L206" s="925">
        <f t="shared" si="46"/>
        <v>0</v>
      </c>
      <c r="M206" s="924">
        <f t="shared" si="47"/>
        <v>0</v>
      </c>
      <c r="N206" s="924">
        <f t="shared" si="48"/>
        <v>0</v>
      </c>
      <c r="O206" s="924">
        <f t="shared" si="49"/>
        <v>0</v>
      </c>
      <c r="P206" s="924">
        <f t="shared" si="50"/>
        <v>0</v>
      </c>
      <c r="Q206" s="924"/>
      <c r="R206" s="448" t="s">
        <v>2160</v>
      </c>
      <c r="S206" s="449">
        <v>0</v>
      </c>
      <c r="T206" s="449">
        <v>103866.76</v>
      </c>
      <c r="U206" s="449">
        <v>-103866.76</v>
      </c>
      <c r="V206" s="449">
        <v>0</v>
      </c>
      <c r="W206" s="450">
        <v>0</v>
      </c>
      <c r="X206" s="450">
        <v>0</v>
      </c>
      <c r="Y206" s="449">
        <v>0</v>
      </c>
      <c r="Z206" s="449">
        <v>0</v>
      </c>
      <c r="AA206" s="450">
        <v>0</v>
      </c>
      <c r="AB206" s="449">
        <v>0</v>
      </c>
      <c r="AC206" s="449">
        <v>0</v>
      </c>
      <c r="AD206" s="449">
        <v>0</v>
      </c>
      <c r="AE206" s="449">
        <v>0</v>
      </c>
      <c r="AF206" s="449">
        <v>0</v>
      </c>
    </row>
    <row r="207" spans="1:32" ht="15">
      <c r="A207" s="140" t="str">
        <f t="shared" si="43"/>
        <v>E058</v>
      </c>
      <c r="B207" s="140" t="str">
        <f t="shared" si="42"/>
        <v>1.2.1</v>
      </c>
      <c r="C207" s="140" t="str">
        <f t="shared" si="51"/>
        <v>E058-P0850</v>
      </c>
      <c r="D207" s="140">
        <v>1</v>
      </c>
      <c r="E207" s="140" t="str">
        <f t="shared" si="52"/>
        <v>21115-0100</v>
      </c>
      <c r="F207" s="140" t="str">
        <f t="shared" si="53"/>
        <v>1</v>
      </c>
      <c r="G207" s="140" t="str">
        <f t="shared" si="54"/>
        <v>3853</v>
      </c>
      <c r="H207" s="140" t="str">
        <f t="shared" si="55"/>
        <v>1.2.1/E058-P0850/1/21115-0100/1/3853  Gastos de representación</v>
      </c>
      <c r="I207" s="448" t="s">
        <v>2181</v>
      </c>
      <c r="J207" s="924">
        <f t="shared" si="44"/>
        <v>113309.19</v>
      </c>
      <c r="K207" s="925">
        <f t="shared" si="45"/>
        <v>-98253.189999999988</v>
      </c>
      <c r="L207" s="925">
        <f t="shared" si="46"/>
        <v>15056</v>
      </c>
      <c r="M207" s="924">
        <f t="shared" si="47"/>
        <v>15056</v>
      </c>
      <c r="N207" s="925">
        <f t="shared" si="48"/>
        <v>15056</v>
      </c>
      <c r="O207" s="925">
        <f t="shared" si="49"/>
        <v>15056</v>
      </c>
      <c r="P207" s="924">
        <f t="shared" si="50"/>
        <v>15056</v>
      </c>
      <c r="Q207" s="924"/>
      <c r="R207" s="448" t="s">
        <v>2181</v>
      </c>
      <c r="S207" s="449">
        <v>113309.19</v>
      </c>
      <c r="T207" s="449">
        <v>71608.86</v>
      </c>
      <c r="U207" s="449">
        <v>-169862.05</v>
      </c>
      <c r="V207" s="449">
        <v>15056</v>
      </c>
      <c r="W207" s="449">
        <v>0</v>
      </c>
      <c r="X207" s="449">
        <v>15056</v>
      </c>
      <c r="Y207" s="449">
        <v>15056</v>
      </c>
      <c r="Z207" s="449">
        <v>100</v>
      </c>
      <c r="AA207" s="450">
        <v>0</v>
      </c>
      <c r="AB207" s="449">
        <v>0</v>
      </c>
      <c r="AC207" s="449">
        <v>15056</v>
      </c>
      <c r="AD207" s="449">
        <v>100</v>
      </c>
      <c r="AE207" s="449">
        <v>0</v>
      </c>
      <c r="AF207" s="449">
        <v>0</v>
      </c>
    </row>
    <row r="208" spans="1:32" ht="15">
      <c r="A208" s="140" t="str">
        <f t="shared" si="43"/>
        <v>E058</v>
      </c>
      <c r="B208" s="140" t="str">
        <f t="shared" si="42"/>
        <v>1.2.1</v>
      </c>
      <c r="C208" s="140" t="str">
        <f t="shared" si="51"/>
        <v>E058-P0850</v>
      </c>
      <c r="D208" s="140">
        <v>1</v>
      </c>
      <c r="E208" s="140" t="str">
        <f t="shared" si="52"/>
        <v>21115-0100</v>
      </c>
      <c r="F208" s="140" t="str">
        <f t="shared" si="53"/>
        <v>1</v>
      </c>
      <c r="G208" s="140" t="str">
        <f t="shared" si="54"/>
        <v>3981</v>
      </c>
      <c r="H208" s="140" t="str">
        <f t="shared" si="55"/>
        <v>1.2.1/E058-P0850/1/21115-0100/1/3981  Impuesto sobre nóminas</v>
      </c>
      <c r="I208" s="448" t="s">
        <v>2162</v>
      </c>
      <c r="J208" s="924">
        <f t="shared" si="44"/>
        <v>683417.93</v>
      </c>
      <c r="K208" s="924">
        <f t="shared" si="45"/>
        <v>119972.07999999999</v>
      </c>
      <c r="L208" s="925">
        <f t="shared" si="46"/>
        <v>803390.01</v>
      </c>
      <c r="M208" s="924">
        <f t="shared" si="47"/>
        <v>803390.01</v>
      </c>
      <c r="N208" s="925">
        <f t="shared" si="48"/>
        <v>803390.01</v>
      </c>
      <c r="O208" s="925">
        <f t="shared" si="49"/>
        <v>803390.01</v>
      </c>
      <c r="P208" s="924">
        <f t="shared" si="50"/>
        <v>803390.01</v>
      </c>
      <c r="Q208" s="924"/>
      <c r="R208" s="448" t="s">
        <v>2162</v>
      </c>
      <c r="S208" s="449">
        <v>683417.93</v>
      </c>
      <c r="T208" s="449">
        <v>229148.61</v>
      </c>
      <c r="U208" s="449">
        <v>-109176.53</v>
      </c>
      <c r="V208" s="449">
        <v>803390.01</v>
      </c>
      <c r="W208" s="449">
        <v>0</v>
      </c>
      <c r="X208" s="449">
        <v>803390.01</v>
      </c>
      <c r="Y208" s="449">
        <v>803390.01</v>
      </c>
      <c r="Z208" s="449">
        <v>100</v>
      </c>
      <c r="AA208" s="449">
        <v>0</v>
      </c>
      <c r="AB208" s="449">
        <v>0</v>
      </c>
      <c r="AC208" s="449">
        <v>803390.01</v>
      </c>
      <c r="AD208" s="449">
        <v>100</v>
      </c>
      <c r="AE208" s="449">
        <v>0</v>
      </c>
      <c r="AF208" s="449">
        <v>0</v>
      </c>
    </row>
    <row r="209" spans="1:32" ht="15">
      <c r="A209" s="140" t="str">
        <f t="shared" si="43"/>
        <v>E058</v>
      </c>
      <c r="B209" s="140" t="str">
        <f t="shared" si="42"/>
        <v>1.2.1</v>
      </c>
      <c r="C209" s="140" t="str">
        <f t="shared" si="51"/>
        <v>E058-P0850</v>
      </c>
      <c r="D209" s="140">
        <v>1</v>
      </c>
      <c r="E209" s="140" t="str">
        <f t="shared" si="52"/>
        <v>21115-0100</v>
      </c>
      <c r="F209" s="140" t="str">
        <f t="shared" si="53"/>
        <v>2</v>
      </c>
      <c r="G209" s="140" t="str">
        <f t="shared" si="54"/>
        <v>5111</v>
      </c>
      <c r="H209" s="140" t="str">
        <f t="shared" si="55"/>
        <v>1.2.1/E058-P0850/1/21115-0100/2/5111  Muebles de oficina</v>
      </c>
      <c r="I209" s="448" t="s">
        <v>2163</v>
      </c>
      <c r="J209" s="924">
        <f t="shared" si="44"/>
        <v>0</v>
      </c>
      <c r="K209" s="924">
        <f t="shared" si="45"/>
        <v>297593.40999999997</v>
      </c>
      <c r="L209" s="925">
        <f t="shared" si="46"/>
        <v>297593.40999999997</v>
      </c>
      <c r="M209" s="924">
        <f t="shared" si="47"/>
        <v>297593.40999999997</v>
      </c>
      <c r="N209" s="925">
        <f t="shared" si="48"/>
        <v>297593.40999999997</v>
      </c>
      <c r="O209" s="925">
        <f t="shared" si="49"/>
        <v>297593.40999999997</v>
      </c>
      <c r="P209" s="924">
        <f t="shared" si="50"/>
        <v>297593.40999999997</v>
      </c>
      <c r="Q209" s="924"/>
      <c r="R209" s="448" t="s">
        <v>2163</v>
      </c>
      <c r="S209" s="450">
        <v>0</v>
      </c>
      <c r="T209" s="449">
        <v>793406.45</v>
      </c>
      <c r="U209" s="449">
        <v>-495813.04</v>
      </c>
      <c r="V209" s="449">
        <v>297593.40999999997</v>
      </c>
      <c r="W209" s="449">
        <v>0</v>
      </c>
      <c r="X209" s="449">
        <v>297593.40999999997</v>
      </c>
      <c r="Y209" s="449">
        <v>297593.40999999997</v>
      </c>
      <c r="Z209" s="449">
        <v>100</v>
      </c>
      <c r="AA209" s="450">
        <v>0</v>
      </c>
      <c r="AB209" s="449">
        <v>0</v>
      </c>
      <c r="AC209" s="449">
        <v>297593.40999999997</v>
      </c>
      <c r="AD209" s="449">
        <v>100</v>
      </c>
      <c r="AE209" s="449">
        <v>0</v>
      </c>
      <c r="AF209" s="449">
        <v>0</v>
      </c>
    </row>
    <row r="210" spans="1:32" ht="15">
      <c r="A210" s="140" t="str">
        <f t="shared" si="43"/>
        <v>E058</v>
      </c>
      <c r="B210" s="140" t="str">
        <f t="shared" si="42"/>
        <v>1.2.1</v>
      </c>
      <c r="C210" s="140" t="str">
        <f t="shared" si="51"/>
        <v>E058-P0850</v>
      </c>
      <c r="D210" s="140">
        <v>1</v>
      </c>
      <c r="E210" s="140" t="str">
        <f t="shared" si="52"/>
        <v>21115-0100</v>
      </c>
      <c r="F210" s="140" t="str">
        <f t="shared" si="53"/>
        <v>2</v>
      </c>
      <c r="G210" s="140" t="str">
        <f t="shared" si="54"/>
        <v>5151</v>
      </c>
      <c r="H210" s="140" t="str">
        <f t="shared" si="55"/>
        <v>1.2.1/E058-P0850/1/21115-0100/2/5151  Computadoras</v>
      </c>
      <c r="I210" s="448" t="s">
        <v>2164</v>
      </c>
      <c r="J210" s="924">
        <f t="shared" si="44"/>
        <v>69902.47</v>
      </c>
      <c r="K210" s="925">
        <f t="shared" si="45"/>
        <v>769349.2</v>
      </c>
      <c r="L210" s="925">
        <f t="shared" si="46"/>
        <v>839251.67</v>
      </c>
      <c r="M210" s="924">
        <f t="shared" si="47"/>
        <v>839251.67</v>
      </c>
      <c r="N210" s="924">
        <f t="shared" si="48"/>
        <v>839251.67</v>
      </c>
      <c r="O210" s="924">
        <f t="shared" si="49"/>
        <v>839251.67</v>
      </c>
      <c r="P210" s="924">
        <f t="shared" si="50"/>
        <v>839251.67</v>
      </c>
      <c r="Q210" s="924"/>
      <c r="R210" s="448" t="s">
        <v>2164</v>
      </c>
      <c r="S210" s="449">
        <v>69902.47</v>
      </c>
      <c r="T210" s="449">
        <v>976661.84</v>
      </c>
      <c r="U210" s="449">
        <v>-207312.64000000001</v>
      </c>
      <c r="V210" s="449">
        <v>839251.67</v>
      </c>
      <c r="W210" s="449">
        <v>0</v>
      </c>
      <c r="X210" s="449">
        <v>839251.67</v>
      </c>
      <c r="Y210" s="449">
        <v>839251.67</v>
      </c>
      <c r="Z210" s="449">
        <v>100</v>
      </c>
      <c r="AA210" s="450">
        <v>0</v>
      </c>
      <c r="AB210" s="449">
        <v>0</v>
      </c>
      <c r="AC210" s="449">
        <v>839251.67</v>
      </c>
      <c r="AD210" s="449">
        <v>100</v>
      </c>
      <c r="AE210" s="449">
        <v>0</v>
      </c>
      <c r="AF210" s="449">
        <v>0</v>
      </c>
    </row>
    <row r="211" spans="1:32" ht="15">
      <c r="A211" s="140" t="str">
        <f t="shared" si="43"/>
        <v>E058</v>
      </c>
      <c r="B211" s="140" t="str">
        <f t="shared" si="42"/>
        <v>1.2.1</v>
      </c>
      <c r="C211" s="140" t="str">
        <f t="shared" si="51"/>
        <v>E058-P0850</v>
      </c>
      <c r="D211" s="140">
        <v>1</v>
      </c>
      <c r="E211" s="140" t="str">
        <f t="shared" si="52"/>
        <v>21115-0100</v>
      </c>
      <c r="F211" s="140" t="str">
        <f t="shared" si="53"/>
        <v>2</v>
      </c>
      <c r="G211" s="140" t="str">
        <f t="shared" si="54"/>
        <v>5191</v>
      </c>
      <c r="H211" s="140" t="str">
        <f t="shared" si="55"/>
        <v>1.2.1/E058-P0850/1/21115-0100/2/5191  Otros mobiliarios</v>
      </c>
      <c r="I211" s="448" t="s">
        <v>2165</v>
      </c>
      <c r="J211" s="924">
        <f t="shared" si="44"/>
        <v>0</v>
      </c>
      <c r="K211" s="925">
        <f t="shared" si="45"/>
        <v>14103.47</v>
      </c>
      <c r="L211" s="925">
        <f t="shared" si="46"/>
        <v>14103.47</v>
      </c>
      <c r="M211" s="924">
        <f t="shared" si="47"/>
        <v>14103.47</v>
      </c>
      <c r="N211" s="925">
        <f t="shared" si="48"/>
        <v>14103.47</v>
      </c>
      <c r="O211" s="925">
        <f t="shared" si="49"/>
        <v>14103.47</v>
      </c>
      <c r="P211" s="924">
        <f t="shared" si="50"/>
        <v>14103.47</v>
      </c>
      <c r="Q211" s="924"/>
      <c r="R211" s="448" t="s">
        <v>2165</v>
      </c>
      <c r="S211" s="450">
        <v>0</v>
      </c>
      <c r="T211" s="449">
        <v>14103.47</v>
      </c>
      <c r="U211" s="450">
        <v>0</v>
      </c>
      <c r="V211" s="449">
        <v>14103.47</v>
      </c>
      <c r="W211" s="449">
        <v>0</v>
      </c>
      <c r="X211" s="449">
        <v>14103.47</v>
      </c>
      <c r="Y211" s="449">
        <v>14103.47</v>
      </c>
      <c r="Z211" s="449">
        <v>100</v>
      </c>
      <c r="AA211" s="450">
        <v>0</v>
      </c>
      <c r="AB211" s="449">
        <v>0</v>
      </c>
      <c r="AC211" s="449">
        <v>14103.47</v>
      </c>
      <c r="AD211" s="449">
        <v>100</v>
      </c>
      <c r="AE211" s="449">
        <v>0</v>
      </c>
      <c r="AF211" s="449">
        <v>0</v>
      </c>
    </row>
    <row r="212" spans="1:32" ht="15">
      <c r="A212" s="140" t="str">
        <f t="shared" si="43"/>
        <v>E058</v>
      </c>
      <c r="B212" s="140" t="str">
        <f t="shared" si="42"/>
        <v>1.2.1</v>
      </c>
      <c r="C212" s="140" t="str">
        <f t="shared" si="51"/>
        <v>E058-P0850</v>
      </c>
      <c r="D212" s="140">
        <v>1</v>
      </c>
      <c r="E212" s="140" t="str">
        <f t="shared" si="52"/>
        <v>21115-0100</v>
      </c>
      <c r="F212" s="140" t="str">
        <f t="shared" si="53"/>
        <v>2</v>
      </c>
      <c r="G212" s="140" t="str">
        <f t="shared" si="54"/>
        <v>5411</v>
      </c>
      <c r="H212" s="140" t="str">
        <f t="shared" si="55"/>
        <v>1.2.1/E058-P0850/1/21115-0100/2/5411  Automóviles y camiones</v>
      </c>
      <c r="I212" s="448" t="s">
        <v>2166</v>
      </c>
      <c r="J212" s="924">
        <f t="shared" si="44"/>
        <v>424715.35</v>
      </c>
      <c r="K212" s="925">
        <f t="shared" si="45"/>
        <v>443782.65000000014</v>
      </c>
      <c r="L212" s="924">
        <f t="shared" si="46"/>
        <v>868498</v>
      </c>
      <c r="M212" s="924">
        <f t="shared" si="47"/>
        <v>868498</v>
      </c>
      <c r="N212" s="924">
        <f t="shared" si="48"/>
        <v>868498</v>
      </c>
      <c r="O212" s="924">
        <f t="shared" si="49"/>
        <v>868498</v>
      </c>
      <c r="P212" s="924">
        <f t="shared" si="50"/>
        <v>868498</v>
      </c>
      <c r="Q212" s="924"/>
      <c r="R212" s="448" t="s">
        <v>2166</v>
      </c>
      <c r="S212" s="449">
        <v>424715.35</v>
      </c>
      <c r="T212" s="449">
        <v>1238973.6000000001</v>
      </c>
      <c r="U212" s="449">
        <v>-795190.95</v>
      </c>
      <c r="V212" s="449">
        <v>868498</v>
      </c>
      <c r="W212" s="449">
        <v>0</v>
      </c>
      <c r="X212" s="449">
        <v>868498</v>
      </c>
      <c r="Y212" s="449">
        <v>868498</v>
      </c>
      <c r="Z212" s="449">
        <v>100</v>
      </c>
      <c r="AA212" s="450">
        <v>0</v>
      </c>
      <c r="AB212" s="449">
        <v>0</v>
      </c>
      <c r="AC212" s="449">
        <v>868498</v>
      </c>
      <c r="AD212" s="449">
        <v>100</v>
      </c>
      <c r="AE212" s="449">
        <v>0</v>
      </c>
      <c r="AF212" s="449">
        <v>0</v>
      </c>
    </row>
    <row r="213" spans="1:32" ht="15">
      <c r="A213" s="140" t="str">
        <f t="shared" si="43"/>
        <v>E058</v>
      </c>
      <c r="B213" s="140" t="str">
        <f t="shared" si="42"/>
        <v>1.2.1</v>
      </c>
      <c r="C213" s="140" t="str">
        <f t="shared" si="51"/>
        <v>E058-P0850</v>
      </c>
      <c r="D213" s="140">
        <v>1</v>
      </c>
      <c r="E213" s="140" t="str">
        <f t="shared" si="52"/>
        <v>21115-0100</v>
      </c>
      <c r="F213" s="140" t="str">
        <f t="shared" si="53"/>
        <v>2</v>
      </c>
      <c r="G213" s="140" t="str">
        <f t="shared" si="54"/>
        <v>5651</v>
      </c>
      <c r="H213" s="140" t="str">
        <f t="shared" si="55"/>
        <v>1.2.1/E058-P0850/1/21115-0100/2/5651  Eq Comunicación</v>
      </c>
      <c r="I213" s="448" t="s">
        <v>2583</v>
      </c>
      <c r="J213" s="924">
        <f t="shared" si="44"/>
        <v>0</v>
      </c>
      <c r="K213" s="925">
        <f t="shared" si="45"/>
        <v>4000.84</v>
      </c>
      <c r="L213" s="925">
        <f t="shared" si="46"/>
        <v>4000.84</v>
      </c>
      <c r="M213" s="924">
        <f t="shared" si="47"/>
        <v>4000.84</v>
      </c>
      <c r="N213" s="924">
        <f t="shared" si="48"/>
        <v>4000.84</v>
      </c>
      <c r="O213" s="924">
        <f t="shared" si="49"/>
        <v>4000.84</v>
      </c>
      <c r="P213" s="924">
        <f t="shared" si="50"/>
        <v>4000.84</v>
      </c>
      <c r="Q213" s="924"/>
      <c r="R213" s="448" t="s">
        <v>2583</v>
      </c>
      <c r="S213" s="450">
        <v>0</v>
      </c>
      <c r="T213" s="449">
        <v>4000.84</v>
      </c>
      <c r="U213" s="450">
        <v>0</v>
      </c>
      <c r="V213" s="449">
        <v>4000.84</v>
      </c>
      <c r="W213" s="449">
        <v>0</v>
      </c>
      <c r="X213" s="449">
        <v>4000.84</v>
      </c>
      <c r="Y213" s="449">
        <v>4000.84</v>
      </c>
      <c r="Z213" s="449">
        <v>100</v>
      </c>
      <c r="AA213" s="450">
        <v>0</v>
      </c>
      <c r="AB213" s="449">
        <v>0</v>
      </c>
      <c r="AC213" s="449">
        <v>4000.84</v>
      </c>
      <c r="AD213" s="449">
        <v>100</v>
      </c>
      <c r="AE213" s="449">
        <v>0</v>
      </c>
      <c r="AF213" s="449">
        <v>0</v>
      </c>
    </row>
    <row r="214" spans="1:32" ht="15" hidden="1">
      <c r="A214" s="140" t="str">
        <f t="shared" si="43"/>
        <v>E058</v>
      </c>
      <c r="B214" s="140" t="str">
        <f t="shared" si="42"/>
        <v>1.2.1</v>
      </c>
      <c r="C214" s="140" t="str">
        <f t="shared" si="51"/>
        <v>E058-P0850</v>
      </c>
      <c r="D214" s="140">
        <v>1</v>
      </c>
      <c r="E214" s="140" t="str">
        <f t="shared" si="52"/>
        <v>21115-0105</v>
      </c>
      <c r="F214" s="140" t="str">
        <f t="shared" si="53"/>
        <v>1</v>
      </c>
      <c r="G214" s="140" t="str">
        <f t="shared" si="54"/>
        <v/>
      </c>
      <c r="H214" s="140" t="str">
        <f t="shared" si="55"/>
        <v/>
      </c>
      <c r="I214" s="455" t="s">
        <v>2087</v>
      </c>
      <c r="J214" s="924">
        <f t="shared" si="44"/>
        <v>0</v>
      </c>
      <c r="K214" s="925">
        <f t="shared" si="45"/>
        <v>0</v>
      </c>
      <c r="L214" s="925">
        <f t="shared" si="46"/>
        <v>0</v>
      </c>
      <c r="M214" s="924">
        <f t="shared" si="47"/>
        <v>0</v>
      </c>
      <c r="N214" s="924">
        <f t="shared" si="48"/>
        <v>0</v>
      </c>
      <c r="O214" s="924">
        <f t="shared" si="49"/>
        <v>0</v>
      </c>
      <c r="P214" s="924">
        <f t="shared" si="50"/>
        <v>0</v>
      </c>
      <c r="Q214" s="924"/>
      <c r="R214" s="455" t="s">
        <v>2087</v>
      </c>
      <c r="S214" s="899">
        <v>0</v>
      </c>
      <c r="T214" s="456">
        <v>8790.01</v>
      </c>
      <c r="U214" s="456">
        <v>-8790.01</v>
      </c>
      <c r="V214" s="456">
        <v>0</v>
      </c>
      <c r="W214" s="899">
        <v>0</v>
      </c>
      <c r="X214" s="899">
        <v>0</v>
      </c>
      <c r="Y214" s="456">
        <v>0</v>
      </c>
      <c r="Z214" s="456">
        <v>0</v>
      </c>
      <c r="AA214" s="899">
        <v>0</v>
      </c>
      <c r="AB214" s="456">
        <v>0</v>
      </c>
      <c r="AC214" s="456">
        <v>0</v>
      </c>
      <c r="AD214" s="456">
        <v>0</v>
      </c>
      <c r="AE214" s="456">
        <v>0</v>
      </c>
      <c r="AF214" s="456">
        <v>0</v>
      </c>
    </row>
    <row r="215" spans="1:32" ht="15">
      <c r="A215" s="140" t="str">
        <f t="shared" si="43"/>
        <v>E058</v>
      </c>
      <c r="B215" s="140" t="str">
        <f t="shared" si="42"/>
        <v>1.2.1</v>
      </c>
      <c r="C215" s="140" t="str">
        <f t="shared" si="51"/>
        <v>E058-P0850</v>
      </c>
      <c r="D215" s="140">
        <v>1</v>
      </c>
      <c r="E215" s="140" t="str">
        <f t="shared" si="52"/>
        <v>21115-0105</v>
      </c>
      <c r="F215" s="140" t="str">
        <f t="shared" si="53"/>
        <v>1</v>
      </c>
      <c r="G215" s="140" t="str">
        <f t="shared" si="54"/>
        <v>1321</v>
      </c>
      <c r="H215" s="140" t="str">
        <f t="shared" si="55"/>
        <v>1.2.1/E058-P0850/1/21115-0105/1/1321  Prima Vacacional</v>
      </c>
      <c r="I215" s="448" t="s">
        <v>2095</v>
      </c>
      <c r="J215" s="924">
        <f t="shared" si="44"/>
        <v>0</v>
      </c>
      <c r="K215" s="925">
        <f t="shared" si="45"/>
        <v>0</v>
      </c>
      <c r="L215" s="925">
        <f t="shared" si="46"/>
        <v>0</v>
      </c>
      <c r="M215" s="924">
        <f t="shared" si="47"/>
        <v>0</v>
      </c>
      <c r="N215" s="925">
        <f t="shared" si="48"/>
        <v>0</v>
      </c>
      <c r="O215" s="925">
        <f t="shared" si="49"/>
        <v>0</v>
      </c>
      <c r="P215" s="924">
        <f t="shared" si="50"/>
        <v>0</v>
      </c>
      <c r="Q215" s="924"/>
      <c r="R215" s="448" t="s">
        <v>2095</v>
      </c>
      <c r="S215" s="450">
        <v>0</v>
      </c>
      <c r="T215" s="449">
        <v>3778</v>
      </c>
      <c r="U215" s="449">
        <v>-3778</v>
      </c>
      <c r="V215" s="449">
        <v>0</v>
      </c>
      <c r="W215" s="450">
        <v>0</v>
      </c>
      <c r="X215" s="450">
        <v>0</v>
      </c>
      <c r="Y215" s="449">
        <v>0</v>
      </c>
      <c r="Z215" s="449">
        <v>0</v>
      </c>
      <c r="AA215" s="450">
        <v>0</v>
      </c>
      <c r="AB215" s="449">
        <v>0</v>
      </c>
      <c r="AC215" s="449">
        <v>0</v>
      </c>
      <c r="AD215" s="449">
        <v>0</v>
      </c>
      <c r="AE215" s="449">
        <v>0</v>
      </c>
      <c r="AF215" s="449">
        <v>0</v>
      </c>
    </row>
    <row r="216" spans="1:32" ht="15">
      <c r="A216" s="140" t="str">
        <f t="shared" si="43"/>
        <v>E058</v>
      </c>
      <c r="B216" s="140" t="str">
        <f t="shared" si="42"/>
        <v>1.2.1</v>
      </c>
      <c r="C216" s="140" t="str">
        <f t="shared" si="51"/>
        <v>E058-P0850</v>
      </c>
      <c r="D216" s="140">
        <v>1</v>
      </c>
      <c r="E216" s="140" t="str">
        <f t="shared" si="52"/>
        <v>21115-0105</v>
      </c>
      <c r="F216" s="140" t="str">
        <f t="shared" si="53"/>
        <v>1</v>
      </c>
      <c r="G216" s="140" t="str">
        <f t="shared" si="54"/>
        <v>2112</v>
      </c>
      <c r="H216" s="140" t="str">
        <f t="shared" si="55"/>
        <v>1.2.1/E058-P0850/1/21115-0105/1/2112  Equipos menores de oficina</v>
      </c>
      <c r="I216" s="448" t="s">
        <v>2108</v>
      </c>
      <c r="J216" s="924">
        <f t="shared" si="44"/>
        <v>0</v>
      </c>
      <c r="K216" s="924">
        <f t="shared" si="45"/>
        <v>0</v>
      </c>
      <c r="L216" s="925">
        <f t="shared" si="46"/>
        <v>0</v>
      </c>
      <c r="M216" s="924">
        <f t="shared" si="47"/>
        <v>0</v>
      </c>
      <c r="N216" s="924">
        <f t="shared" si="48"/>
        <v>0</v>
      </c>
      <c r="O216" s="924">
        <f t="shared" si="49"/>
        <v>0</v>
      </c>
      <c r="P216" s="924">
        <f t="shared" si="50"/>
        <v>0</v>
      </c>
      <c r="Q216" s="924"/>
      <c r="R216" s="448" t="s">
        <v>2108</v>
      </c>
      <c r="S216" s="450">
        <v>0</v>
      </c>
      <c r="T216" s="449">
        <v>851.51</v>
      </c>
      <c r="U216" s="449">
        <v>-851.51</v>
      </c>
      <c r="V216" s="449">
        <v>0</v>
      </c>
      <c r="W216" s="450">
        <v>0</v>
      </c>
      <c r="X216" s="450">
        <v>0</v>
      </c>
      <c r="Y216" s="449">
        <v>0</v>
      </c>
      <c r="Z216" s="449">
        <v>0</v>
      </c>
      <c r="AA216" s="450">
        <v>0</v>
      </c>
      <c r="AB216" s="449">
        <v>0</v>
      </c>
      <c r="AC216" s="449">
        <v>0</v>
      </c>
      <c r="AD216" s="449">
        <v>0</v>
      </c>
      <c r="AE216" s="449">
        <v>0</v>
      </c>
      <c r="AF216" s="449">
        <v>0</v>
      </c>
    </row>
    <row r="217" spans="1:32" ht="15">
      <c r="A217" s="140" t="str">
        <f t="shared" si="43"/>
        <v>E058</v>
      </c>
      <c r="B217" s="140" t="str">
        <f t="shared" si="42"/>
        <v>1.2.1</v>
      </c>
      <c r="C217" s="140" t="str">
        <f t="shared" ref="C217:C219" si="56">IF((LEFT($I217,4))="*** ",A217&amp;"-"&amp;MID($I217,7,5),+C216)</f>
        <v>E058-P0850</v>
      </c>
      <c r="D217" s="140">
        <v>2</v>
      </c>
      <c r="E217" s="140" t="str">
        <f t="shared" si="52"/>
        <v>21115-0105</v>
      </c>
      <c r="F217" s="140" t="str">
        <f t="shared" si="53"/>
        <v>1</v>
      </c>
      <c r="G217" s="140" t="str">
        <f t="shared" si="54"/>
        <v>3471</v>
      </c>
      <c r="H217" s="140" t="str">
        <f t="shared" ref="H217:H219" si="57">IF((LEFT($I217,1))=" ",B217&amp;"/"&amp;C217&amp;"/"&amp;D217&amp;"/"&amp;E217&amp;"/"&amp;F217&amp;"/"&amp;MID($I217,7,50),"")</f>
        <v>1.2.1/E058-P0850/2/21115-0105/1/3471  Fletes y maniobras</v>
      </c>
      <c r="I217" s="448" t="s">
        <v>2142</v>
      </c>
      <c r="J217" s="924">
        <f t="shared" ref="J217:J219" si="58">+S217</f>
        <v>0</v>
      </c>
      <c r="K217" s="924">
        <f t="shared" ref="K217:K219" si="59">+T217+U217</f>
        <v>0</v>
      </c>
      <c r="L217" s="925">
        <f t="shared" ref="L217:L219" si="60">+V217</f>
        <v>0</v>
      </c>
      <c r="M217" s="924">
        <f t="shared" ref="M217:M219" si="61">+AA217+N217</f>
        <v>0</v>
      </c>
      <c r="N217" s="924">
        <f t="shared" ref="N217:N219" si="62">+W217+P217</f>
        <v>0</v>
      </c>
      <c r="O217" s="924">
        <f t="shared" ref="O217:O219" si="63">+W217+P217</f>
        <v>0</v>
      </c>
      <c r="P217" s="924">
        <f t="shared" ref="P217:P219" si="64">+X217</f>
        <v>0</v>
      </c>
      <c r="Q217" s="924"/>
      <c r="R217" s="448" t="s">
        <v>2142</v>
      </c>
      <c r="S217" s="450">
        <v>0</v>
      </c>
      <c r="T217" s="449">
        <v>2668</v>
      </c>
      <c r="U217" s="449">
        <v>-2668</v>
      </c>
      <c r="V217" s="449">
        <v>0</v>
      </c>
      <c r="W217" s="450">
        <v>0</v>
      </c>
      <c r="X217" s="450">
        <v>0</v>
      </c>
      <c r="Y217" s="449">
        <v>0</v>
      </c>
      <c r="Z217" s="449">
        <v>0</v>
      </c>
      <c r="AA217" s="450">
        <v>0</v>
      </c>
      <c r="AB217" s="449">
        <v>0</v>
      </c>
      <c r="AC217" s="449">
        <v>0</v>
      </c>
      <c r="AD217" s="449">
        <v>0</v>
      </c>
      <c r="AE217" s="449">
        <v>0</v>
      </c>
      <c r="AF217" s="449">
        <v>0</v>
      </c>
    </row>
    <row r="218" spans="1:32" ht="15">
      <c r="A218" s="140" t="str">
        <f t="shared" si="43"/>
        <v>E058</v>
      </c>
      <c r="B218" s="140" t="str">
        <f t="shared" si="42"/>
        <v>1.2.1</v>
      </c>
      <c r="C218" s="140" t="str">
        <f t="shared" si="56"/>
        <v>E058-P0850</v>
      </c>
      <c r="D218" s="140">
        <v>3</v>
      </c>
      <c r="E218" s="140" t="str">
        <f t="shared" si="52"/>
        <v>21115-0105</v>
      </c>
      <c r="F218" s="140" t="str">
        <f t="shared" si="53"/>
        <v>1</v>
      </c>
      <c r="G218" s="140" t="str">
        <f t="shared" si="54"/>
        <v>3921</v>
      </c>
      <c r="H218" s="140" t="str">
        <f t="shared" si="57"/>
        <v>1.2.1/E058-P0850/3/21115-0105/1/3921  Otros impuestos y derechos</v>
      </c>
      <c r="I218" s="448" t="s">
        <v>2161</v>
      </c>
      <c r="J218" s="924">
        <f t="shared" si="58"/>
        <v>0</v>
      </c>
      <c r="K218" s="924">
        <f t="shared" si="59"/>
        <v>0</v>
      </c>
      <c r="L218" s="925">
        <f t="shared" si="60"/>
        <v>0</v>
      </c>
      <c r="M218" s="924">
        <f t="shared" si="61"/>
        <v>0</v>
      </c>
      <c r="N218" s="924">
        <f t="shared" si="62"/>
        <v>0</v>
      </c>
      <c r="O218" s="924">
        <f t="shared" si="63"/>
        <v>0</v>
      </c>
      <c r="P218" s="924">
        <f t="shared" si="64"/>
        <v>0</v>
      </c>
      <c r="Q218" s="924"/>
      <c r="R218" s="448" t="s">
        <v>2161</v>
      </c>
      <c r="S218" s="450">
        <v>0</v>
      </c>
      <c r="T218" s="449">
        <v>1492.5</v>
      </c>
      <c r="U218" s="449">
        <v>-1492.5</v>
      </c>
      <c r="V218" s="449">
        <v>0</v>
      </c>
      <c r="W218" s="450">
        <v>0</v>
      </c>
      <c r="X218" s="450">
        <v>0</v>
      </c>
      <c r="Y218" s="449">
        <v>0</v>
      </c>
      <c r="Z218" s="449">
        <v>0</v>
      </c>
      <c r="AA218" s="450">
        <v>0</v>
      </c>
      <c r="AB218" s="449">
        <v>0</v>
      </c>
      <c r="AC218" s="449">
        <v>0</v>
      </c>
      <c r="AD218" s="449">
        <v>0</v>
      </c>
      <c r="AE218" s="449">
        <v>0</v>
      </c>
      <c r="AF218" s="449">
        <v>0</v>
      </c>
    </row>
    <row r="219" spans="1:32" ht="15" hidden="1">
      <c r="A219" s="140" t="str">
        <f t="shared" si="43"/>
        <v>E058</v>
      </c>
      <c r="B219" s="140" t="str">
        <f t="shared" si="42"/>
        <v>1.2.1</v>
      </c>
      <c r="C219" s="140" t="str">
        <f t="shared" si="56"/>
        <v>E058-P0850</v>
      </c>
      <c r="D219" s="140">
        <v>4</v>
      </c>
      <c r="E219" s="140" t="str">
        <f t="shared" si="52"/>
        <v>21115-0110</v>
      </c>
      <c r="F219" s="140" t="str">
        <f t="shared" si="53"/>
        <v>1</v>
      </c>
      <c r="G219" s="140" t="str">
        <f t="shared" si="54"/>
        <v/>
      </c>
      <c r="H219" s="140" t="str">
        <f t="shared" si="57"/>
        <v/>
      </c>
      <c r="I219" s="455" t="s">
        <v>2171</v>
      </c>
      <c r="J219" s="924">
        <f t="shared" si="58"/>
        <v>0</v>
      </c>
      <c r="K219" s="924">
        <f t="shared" si="59"/>
        <v>0</v>
      </c>
      <c r="L219" s="925">
        <f t="shared" si="60"/>
        <v>0</v>
      </c>
      <c r="M219" s="924">
        <f t="shared" si="61"/>
        <v>0</v>
      </c>
      <c r="N219" s="924">
        <f t="shared" si="62"/>
        <v>0</v>
      </c>
      <c r="O219" s="924">
        <f t="shared" si="63"/>
        <v>0</v>
      </c>
      <c r="P219" s="924">
        <f t="shared" si="64"/>
        <v>0</v>
      </c>
      <c r="Q219" s="924"/>
      <c r="R219" s="455" t="s">
        <v>2171</v>
      </c>
      <c r="S219" s="899">
        <v>0</v>
      </c>
      <c r="T219" s="456">
        <v>65419.85</v>
      </c>
      <c r="U219" s="456">
        <v>-65419.85</v>
      </c>
      <c r="V219" s="456">
        <v>0</v>
      </c>
      <c r="W219" s="899">
        <v>0</v>
      </c>
      <c r="X219" s="899">
        <v>0</v>
      </c>
      <c r="Y219" s="456">
        <v>0</v>
      </c>
      <c r="Z219" s="456">
        <v>0</v>
      </c>
      <c r="AA219" s="899">
        <v>0</v>
      </c>
      <c r="AB219" s="456">
        <v>0</v>
      </c>
      <c r="AC219" s="456">
        <v>0</v>
      </c>
      <c r="AD219" s="456">
        <v>0</v>
      </c>
      <c r="AE219" s="456">
        <v>0</v>
      </c>
      <c r="AF219" s="456">
        <v>0</v>
      </c>
    </row>
    <row r="220" spans="1:32" ht="15">
      <c r="A220" s="140" t="str">
        <f t="shared" si="43"/>
        <v>E058</v>
      </c>
      <c r="B220" s="140" t="str">
        <f t="shared" si="42"/>
        <v>1.2.1</v>
      </c>
      <c r="C220" s="140" t="str">
        <f t="shared" ref="C220:C233" si="65">IF((LEFT($I220,4))="*** ",A220&amp;"-"&amp;MID($I220,7,5),+C219)</f>
        <v>E058-P0850</v>
      </c>
      <c r="D220" s="140">
        <v>5</v>
      </c>
      <c r="E220" s="140" t="str">
        <f t="shared" si="52"/>
        <v>21115-0110</v>
      </c>
      <c r="F220" s="140" t="str">
        <f t="shared" si="53"/>
        <v>1</v>
      </c>
      <c r="G220" s="140" t="str">
        <f t="shared" si="54"/>
        <v>3341</v>
      </c>
      <c r="H220" s="140" t="str">
        <f t="shared" ref="H220:H233" si="66">IF((LEFT($I220,1))=" ",B220&amp;"/"&amp;C220&amp;"/"&amp;D220&amp;"/"&amp;E220&amp;"/"&amp;F220&amp;"/"&amp;MID($I220,7,50),"")</f>
        <v>1.2.1/E058-P0850/5/21115-0110/1/3341  Servicios de capacitación</v>
      </c>
      <c r="I220" s="448" t="s">
        <v>2136</v>
      </c>
      <c r="J220" s="924">
        <f t="shared" ref="J220:J233" si="67">+S220</f>
        <v>0</v>
      </c>
      <c r="K220" s="924">
        <f t="shared" ref="K220:K233" si="68">+T220+U220</f>
        <v>0</v>
      </c>
      <c r="L220" s="925">
        <f t="shared" ref="L220:L233" si="69">+V220</f>
        <v>0</v>
      </c>
      <c r="M220" s="924">
        <f t="shared" ref="M220:M233" si="70">+AA220+N220</f>
        <v>0</v>
      </c>
      <c r="N220" s="924">
        <f t="shared" ref="N220:N233" si="71">+W220+P220</f>
        <v>0</v>
      </c>
      <c r="O220" s="924">
        <f t="shared" ref="O220:O233" si="72">+W220+P220</f>
        <v>0</v>
      </c>
      <c r="P220" s="924">
        <f t="shared" ref="P220:P233" si="73">+X220</f>
        <v>0</v>
      </c>
      <c r="R220" s="448" t="s">
        <v>2136</v>
      </c>
      <c r="S220" s="450">
        <v>0</v>
      </c>
      <c r="T220" s="449">
        <v>65419.85</v>
      </c>
      <c r="U220" s="449">
        <v>-65419.85</v>
      </c>
      <c r="V220" s="449">
        <v>0</v>
      </c>
      <c r="W220" s="450">
        <v>0</v>
      </c>
      <c r="X220" s="450">
        <v>0</v>
      </c>
      <c r="Y220" s="449">
        <v>0</v>
      </c>
      <c r="Z220" s="449">
        <v>0</v>
      </c>
      <c r="AA220" s="450">
        <v>0</v>
      </c>
      <c r="AB220" s="449">
        <v>0</v>
      </c>
      <c r="AC220" s="449">
        <v>0</v>
      </c>
      <c r="AD220" s="449">
        <v>0</v>
      </c>
      <c r="AE220" s="449">
        <v>0</v>
      </c>
      <c r="AF220" s="449">
        <v>0</v>
      </c>
    </row>
    <row r="221" spans="1:32" ht="15" hidden="1">
      <c r="A221" s="140" t="str">
        <f t="shared" si="43"/>
        <v>E058</v>
      </c>
      <c r="B221" s="140" t="str">
        <f t="shared" si="42"/>
        <v>1.2.1</v>
      </c>
      <c r="C221" s="140" t="str">
        <f t="shared" si="65"/>
        <v>E058-P0850</v>
      </c>
      <c r="D221" s="140">
        <v>6</v>
      </c>
      <c r="E221" s="140" t="str">
        <f t="shared" si="52"/>
        <v>21115-0110</v>
      </c>
      <c r="F221" s="140" t="str">
        <f t="shared" si="53"/>
        <v>1</v>
      </c>
      <c r="G221" s="140" t="str">
        <f t="shared" si="54"/>
        <v/>
      </c>
      <c r="H221" s="140" t="str">
        <f t="shared" si="66"/>
        <v/>
      </c>
      <c r="I221" s="918" t="s">
        <v>2182</v>
      </c>
      <c r="J221" s="924">
        <f t="shared" si="67"/>
        <v>0</v>
      </c>
      <c r="K221" s="924">
        <f t="shared" si="68"/>
        <v>25807.559999999998</v>
      </c>
      <c r="L221" s="925">
        <f t="shared" si="69"/>
        <v>25807.56</v>
      </c>
      <c r="M221" s="924">
        <f t="shared" si="70"/>
        <v>25807.56</v>
      </c>
      <c r="N221" s="924">
        <f t="shared" si="71"/>
        <v>25807.56</v>
      </c>
      <c r="O221" s="924">
        <f t="shared" si="72"/>
        <v>25807.56</v>
      </c>
      <c r="P221" s="924">
        <f t="shared" si="73"/>
        <v>25807.56</v>
      </c>
      <c r="R221" s="918" t="s">
        <v>2182</v>
      </c>
      <c r="S221" s="920">
        <v>0</v>
      </c>
      <c r="T221" s="919">
        <v>296001.2</v>
      </c>
      <c r="U221" s="919">
        <v>-270193.64</v>
      </c>
      <c r="V221" s="919">
        <v>25807.56</v>
      </c>
      <c r="W221" s="919">
        <v>0</v>
      </c>
      <c r="X221" s="919">
        <v>25807.56</v>
      </c>
      <c r="Y221" s="919">
        <v>25807.56</v>
      </c>
      <c r="Z221" s="919">
        <v>100</v>
      </c>
      <c r="AA221" s="919">
        <v>0</v>
      </c>
      <c r="AB221" s="919">
        <v>0</v>
      </c>
      <c r="AC221" s="919">
        <v>25807.56</v>
      </c>
      <c r="AD221" s="919">
        <v>100</v>
      </c>
      <c r="AE221" s="919">
        <v>0</v>
      </c>
      <c r="AF221" s="919">
        <v>0</v>
      </c>
    </row>
    <row r="222" spans="1:32" ht="15" hidden="1">
      <c r="A222" s="140" t="str">
        <f t="shared" si="43"/>
        <v>E058</v>
      </c>
      <c r="B222" s="140" t="str">
        <f t="shared" si="42"/>
        <v>1.2.1</v>
      </c>
      <c r="C222" s="140" t="str">
        <f t="shared" si="65"/>
        <v>E058-P2039</v>
      </c>
      <c r="D222" s="140">
        <v>7</v>
      </c>
      <c r="E222" s="140" t="str">
        <f t="shared" si="52"/>
        <v>21115-0110</v>
      </c>
      <c r="F222" s="140" t="str">
        <f t="shared" si="53"/>
        <v>1</v>
      </c>
      <c r="G222" s="140" t="str">
        <f t="shared" si="54"/>
        <v/>
      </c>
      <c r="H222" s="140" t="str">
        <f t="shared" si="66"/>
        <v/>
      </c>
      <c r="I222" s="918" t="s">
        <v>2183</v>
      </c>
      <c r="J222" s="924">
        <f t="shared" si="67"/>
        <v>0</v>
      </c>
      <c r="K222" s="924">
        <f t="shared" si="68"/>
        <v>25807.559999999998</v>
      </c>
      <c r="L222" s="925">
        <f t="shared" si="69"/>
        <v>25807.56</v>
      </c>
      <c r="M222" s="924">
        <f t="shared" si="70"/>
        <v>25807.56</v>
      </c>
      <c r="N222" s="924">
        <f t="shared" si="71"/>
        <v>25807.56</v>
      </c>
      <c r="O222" s="924">
        <f t="shared" si="72"/>
        <v>25807.56</v>
      </c>
      <c r="P222" s="924">
        <f t="shared" si="73"/>
        <v>25807.56</v>
      </c>
      <c r="R222" s="918" t="s">
        <v>2183</v>
      </c>
      <c r="S222" s="920">
        <v>0</v>
      </c>
      <c r="T222" s="919">
        <v>296001.2</v>
      </c>
      <c r="U222" s="919">
        <v>-270193.64</v>
      </c>
      <c r="V222" s="919">
        <v>25807.56</v>
      </c>
      <c r="W222" s="919">
        <v>0</v>
      </c>
      <c r="X222" s="919">
        <v>25807.56</v>
      </c>
      <c r="Y222" s="919">
        <v>25807.56</v>
      </c>
      <c r="Z222" s="919">
        <v>100</v>
      </c>
      <c r="AA222" s="919">
        <v>0</v>
      </c>
      <c r="AB222" s="919">
        <v>0</v>
      </c>
      <c r="AC222" s="919">
        <v>25807.56</v>
      </c>
      <c r="AD222" s="919">
        <v>100</v>
      </c>
      <c r="AE222" s="919">
        <v>0</v>
      </c>
      <c r="AF222" s="919">
        <v>0</v>
      </c>
    </row>
    <row r="223" spans="1:32" ht="15" hidden="1">
      <c r="A223" s="140" t="str">
        <f t="shared" si="43"/>
        <v>E058</v>
      </c>
      <c r="B223" s="140" t="str">
        <f t="shared" si="42"/>
        <v>1.2.1</v>
      </c>
      <c r="C223" s="140" t="str">
        <f t="shared" si="65"/>
        <v>E058-P2039</v>
      </c>
      <c r="D223" s="140">
        <v>8</v>
      </c>
      <c r="E223" s="140" t="str">
        <f t="shared" si="52"/>
        <v>21115-0110</v>
      </c>
      <c r="F223" s="140" t="str">
        <f t="shared" si="53"/>
        <v>1</v>
      </c>
      <c r="G223" s="140" t="str">
        <f t="shared" si="54"/>
        <v/>
      </c>
      <c r="H223" s="140" t="str">
        <f t="shared" si="66"/>
        <v/>
      </c>
      <c r="I223" s="971" t="s">
        <v>2091</v>
      </c>
      <c r="J223" s="924">
        <f t="shared" si="67"/>
        <v>0</v>
      </c>
      <c r="K223" s="924">
        <f t="shared" si="68"/>
        <v>25807.559999999998</v>
      </c>
      <c r="L223" s="925">
        <f t="shared" si="69"/>
        <v>25807.56</v>
      </c>
      <c r="M223" s="924">
        <f t="shared" si="70"/>
        <v>25807.56</v>
      </c>
      <c r="N223" s="924">
        <f t="shared" si="71"/>
        <v>25807.56</v>
      </c>
      <c r="O223" s="924">
        <f t="shared" si="72"/>
        <v>25807.56</v>
      </c>
      <c r="P223" s="924">
        <f t="shared" si="73"/>
        <v>25807.56</v>
      </c>
      <c r="R223" s="971" t="s">
        <v>2091</v>
      </c>
      <c r="S223" s="973">
        <v>0</v>
      </c>
      <c r="T223" s="972">
        <v>296001.2</v>
      </c>
      <c r="U223" s="972">
        <v>-270193.64</v>
      </c>
      <c r="V223" s="972">
        <v>25807.56</v>
      </c>
      <c r="W223" s="972">
        <v>0</v>
      </c>
      <c r="X223" s="972">
        <v>25807.56</v>
      </c>
      <c r="Y223" s="972">
        <v>25807.56</v>
      </c>
      <c r="Z223" s="972">
        <v>100</v>
      </c>
      <c r="AA223" s="972">
        <v>0</v>
      </c>
      <c r="AB223" s="972">
        <v>0</v>
      </c>
      <c r="AC223" s="972">
        <v>25807.56</v>
      </c>
      <c r="AD223" s="972">
        <v>100</v>
      </c>
      <c r="AE223" s="972">
        <v>0</v>
      </c>
      <c r="AF223" s="972">
        <v>0</v>
      </c>
    </row>
    <row r="224" spans="1:32" ht="15" hidden="1">
      <c r="A224" s="140" t="str">
        <f t="shared" si="43"/>
        <v>E058</v>
      </c>
      <c r="B224" s="140" t="str">
        <f t="shared" si="42"/>
        <v>1.2.1</v>
      </c>
      <c r="C224" s="140" t="str">
        <f t="shared" si="65"/>
        <v>E058-P2039</v>
      </c>
      <c r="D224" s="140">
        <v>9</v>
      </c>
      <c r="E224" s="140" t="str">
        <f t="shared" si="52"/>
        <v>21115-0107</v>
      </c>
      <c r="F224" s="140" t="str">
        <f t="shared" si="53"/>
        <v>1</v>
      </c>
      <c r="G224" s="140" t="str">
        <f t="shared" si="54"/>
        <v/>
      </c>
      <c r="H224" s="140" t="str">
        <f t="shared" si="66"/>
        <v/>
      </c>
      <c r="I224" s="455" t="s">
        <v>2184</v>
      </c>
      <c r="J224" s="924">
        <f t="shared" si="67"/>
        <v>0</v>
      </c>
      <c r="K224" s="924">
        <f t="shared" si="68"/>
        <v>25807.559999999998</v>
      </c>
      <c r="L224" s="925">
        <f t="shared" si="69"/>
        <v>25807.56</v>
      </c>
      <c r="M224" s="924">
        <f t="shared" si="70"/>
        <v>25807.56</v>
      </c>
      <c r="N224" s="924">
        <f t="shared" si="71"/>
        <v>25807.56</v>
      </c>
      <c r="O224" s="924">
        <f t="shared" si="72"/>
        <v>25807.56</v>
      </c>
      <c r="P224" s="924">
        <f t="shared" si="73"/>
        <v>25807.56</v>
      </c>
      <c r="R224" s="455" t="s">
        <v>2184</v>
      </c>
      <c r="S224" s="899">
        <v>0</v>
      </c>
      <c r="T224" s="456">
        <v>296001.2</v>
      </c>
      <c r="U224" s="456">
        <v>-270193.64</v>
      </c>
      <c r="V224" s="456">
        <v>25807.56</v>
      </c>
      <c r="W224" s="456">
        <v>0</v>
      </c>
      <c r="X224" s="456">
        <v>25807.56</v>
      </c>
      <c r="Y224" s="456">
        <v>25807.56</v>
      </c>
      <c r="Z224" s="456">
        <v>100</v>
      </c>
      <c r="AA224" s="456">
        <v>0</v>
      </c>
      <c r="AB224" s="456">
        <v>0</v>
      </c>
      <c r="AC224" s="456">
        <v>25807.56</v>
      </c>
      <c r="AD224" s="456">
        <v>100</v>
      </c>
      <c r="AE224" s="456">
        <v>0</v>
      </c>
      <c r="AF224" s="456">
        <v>0</v>
      </c>
    </row>
    <row r="225" spans="1:32" ht="15">
      <c r="A225" s="140" t="str">
        <f t="shared" si="43"/>
        <v>E058</v>
      </c>
      <c r="B225" s="140" t="str">
        <f t="shared" si="42"/>
        <v>1.2.1</v>
      </c>
      <c r="C225" s="140" t="str">
        <f t="shared" si="65"/>
        <v>E058-P2039</v>
      </c>
      <c r="D225" s="140">
        <v>10</v>
      </c>
      <c r="E225" s="140" t="str">
        <f t="shared" si="52"/>
        <v>21115-0107</v>
      </c>
      <c r="F225" s="140" t="str">
        <f t="shared" si="53"/>
        <v>1</v>
      </c>
      <c r="G225" s="140" t="str">
        <f t="shared" si="54"/>
        <v>1131</v>
      </c>
      <c r="H225" s="140" t="str">
        <f t="shared" si="66"/>
        <v>1.2.1/E058-P2039/10/21115-0107/1/1131  Sueldos Base</v>
      </c>
      <c r="I225" s="448" t="s">
        <v>2092</v>
      </c>
      <c r="J225" s="924">
        <f t="shared" si="67"/>
        <v>0</v>
      </c>
      <c r="K225" s="924">
        <f t="shared" si="68"/>
        <v>0</v>
      </c>
      <c r="L225" s="925">
        <f t="shared" si="69"/>
        <v>0</v>
      </c>
      <c r="M225" s="924">
        <f t="shared" si="70"/>
        <v>0</v>
      </c>
      <c r="N225" s="924">
        <f t="shared" si="71"/>
        <v>0</v>
      </c>
      <c r="O225" s="924">
        <f t="shared" si="72"/>
        <v>0</v>
      </c>
      <c r="P225" s="924">
        <f t="shared" si="73"/>
        <v>0</v>
      </c>
      <c r="R225" s="448" t="s">
        <v>2092</v>
      </c>
      <c r="S225" s="450">
        <v>0</v>
      </c>
      <c r="T225" s="449">
        <v>13132.92</v>
      </c>
      <c r="U225" s="449">
        <v>-13132.92</v>
      </c>
      <c r="V225" s="449">
        <v>0</v>
      </c>
      <c r="W225" s="450">
        <v>0</v>
      </c>
      <c r="X225" s="450">
        <v>0</v>
      </c>
      <c r="Y225" s="449">
        <v>0</v>
      </c>
      <c r="Z225" s="449">
        <v>0</v>
      </c>
      <c r="AA225" s="450">
        <v>0</v>
      </c>
      <c r="AB225" s="449">
        <v>0</v>
      </c>
      <c r="AC225" s="449">
        <v>0</v>
      </c>
      <c r="AD225" s="449">
        <v>0</v>
      </c>
      <c r="AE225" s="449">
        <v>0</v>
      </c>
      <c r="AF225" s="449">
        <v>0</v>
      </c>
    </row>
    <row r="226" spans="1:32" ht="15">
      <c r="A226" s="140" t="str">
        <f t="shared" si="43"/>
        <v>E058</v>
      </c>
      <c r="B226" s="140" t="str">
        <f t="shared" si="42"/>
        <v>1.2.1</v>
      </c>
      <c r="C226" s="140" t="str">
        <f t="shared" si="65"/>
        <v>E058-P2039</v>
      </c>
      <c r="D226" s="140">
        <v>11</v>
      </c>
      <c r="E226" s="140" t="str">
        <f t="shared" si="52"/>
        <v>21115-0107</v>
      </c>
      <c r="F226" s="140" t="str">
        <f t="shared" si="53"/>
        <v>1</v>
      </c>
      <c r="G226" s="140" t="str">
        <f t="shared" si="54"/>
        <v>1321</v>
      </c>
      <c r="H226" s="140" t="str">
        <f t="shared" si="66"/>
        <v>1.2.1/E058-P2039/11/21115-0107/1/1321  Prima Vacacional</v>
      </c>
      <c r="I226" s="448" t="s">
        <v>2095</v>
      </c>
      <c r="J226" s="924">
        <f t="shared" si="67"/>
        <v>0</v>
      </c>
      <c r="K226" s="924">
        <f t="shared" si="68"/>
        <v>0</v>
      </c>
      <c r="L226" s="925">
        <f t="shared" si="69"/>
        <v>0</v>
      </c>
      <c r="M226" s="924">
        <f t="shared" si="70"/>
        <v>0</v>
      </c>
      <c r="N226" s="924">
        <f t="shared" si="71"/>
        <v>0</v>
      </c>
      <c r="O226" s="924">
        <f t="shared" si="72"/>
        <v>0</v>
      </c>
      <c r="P226" s="924">
        <f t="shared" si="73"/>
        <v>0</v>
      </c>
      <c r="R226" s="448" t="s">
        <v>2095</v>
      </c>
      <c r="S226" s="450">
        <v>0</v>
      </c>
      <c r="T226" s="449">
        <v>3376.44</v>
      </c>
      <c r="U226" s="449">
        <v>-3376.44</v>
      </c>
      <c r="V226" s="449">
        <v>0</v>
      </c>
      <c r="W226" s="450">
        <v>0</v>
      </c>
      <c r="X226" s="450">
        <v>0</v>
      </c>
      <c r="Y226" s="449">
        <v>0</v>
      </c>
      <c r="Z226" s="449">
        <v>0</v>
      </c>
      <c r="AA226" s="450">
        <v>0</v>
      </c>
      <c r="AB226" s="449">
        <v>0</v>
      </c>
      <c r="AC226" s="449">
        <v>0</v>
      </c>
      <c r="AD226" s="449">
        <v>0</v>
      </c>
      <c r="AE226" s="449">
        <v>0</v>
      </c>
      <c r="AF226" s="449">
        <v>0</v>
      </c>
    </row>
    <row r="227" spans="1:32" ht="15">
      <c r="A227" s="140" t="str">
        <f t="shared" si="43"/>
        <v>E058</v>
      </c>
      <c r="B227" s="140" t="str">
        <f t="shared" si="42"/>
        <v>1.2.1</v>
      </c>
      <c r="C227" s="140" t="str">
        <f t="shared" si="65"/>
        <v>E058-P2039</v>
      </c>
      <c r="D227" s="140">
        <v>12</v>
      </c>
      <c r="E227" s="140" t="str">
        <f t="shared" si="52"/>
        <v>21115-0107</v>
      </c>
      <c r="F227" s="140" t="str">
        <f t="shared" si="53"/>
        <v>1</v>
      </c>
      <c r="G227" s="140" t="str">
        <f t="shared" si="54"/>
        <v>1323</v>
      </c>
      <c r="H227" s="140" t="str">
        <f t="shared" si="66"/>
        <v>1.2.1/E058-P2039/12/21115-0107/1/1323  Gratificación de fin de año</v>
      </c>
      <c r="I227" s="448" t="s">
        <v>2096</v>
      </c>
      <c r="J227" s="924">
        <f t="shared" si="67"/>
        <v>0</v>
      </c>
      <c r="K227" s="924">
        <f t="shared" si="68"/>
        <v>0</v>
      </c>
      <c r="L227" s="925">
        <f t="shared" si="69"/>
        <v>0</v>
      </c>
      <c r="M227" s="924">
        <f t="shared" si="70"/>
        <v>0</v>
      </c>
      <c r="N227" s="924">
        <f t="shared" si="71"/>
        <v>0</v>
      </c>
      <c r="O227" s="924">
        <f t="shared" si="72"/>
        <v>0</v>
      </c>
      <c r="P227" s="924">
        <f t="shared" si="73"/>
        <v>0</v>
      </c>
      <c r="R227" s="448" t="s">
        <v>2096</v>
      </c>
      <c r="S227" s="450">
        <v>0</v>
      </c>
      <c r="T227" s="449">
        <v>15193.6</v>
      </c>
      <c r="U227" s="449">
        <v>-15193.6</v>
      </c>
      <c r="V227" s="449">
        <v>0</v>
      </c>
      <c r="W227" s="450">
        <v>0</v>
      </c>
      <c r="X227" s="450">
        <v>0</v>
      </c>
      <c r="Y227" s="449">
        <v>0</v>
      </c>
      <c r="Z227" s="449">
        <v>0</v>
      </c>
      <c r="AA227" s="450">
        <v>0</v>
      </c>
      <c r="AB227" s="449">
        <v>0</v>
      </c>
      <c r="AC227" s="449">
        <v>0</v>
      </c>
      <c r="AD227" s="449">
        <v>0</v>
      </c>
      <c r="AE227" s="449">
        <v>0</v>
      </c>
      <c r="AF227" s="449">
        <v>0</v>
      </c>
    </row>
    <row r="228" spans="1:32" ht="15">
      <c r="A228" s="140" t="str">
        <f t="shared" si="43"/>
        <v>E058</v>
      </c>
      <c r="B228" s="140" t="str">
        <f t="shared" si="42"/>
        <v>1.2.1</v>
      </c>
      <c r="C228" s="140" t="str">
        <f t="shared" si="65"/>
        <v>E058-P2039</v>
      </c>
      <c r="D228" s="140">
        <v>13</v>
      </c>
      <c r="E228" s="140" t="str">
        <f t="shared" si="52"/>
        <v>21115-0107</v>
      </c>
      <c r="F228" s="140" t="str">
        <f t="shared" si="53"/>
        <v>1</v>
      </c>
      <c r="G228" s="140" t="str">
        <f t="shared" si="54"/>
        <v>1342</v>
      </c>
      <c r="H228" s="140" t="str">
        <f t="shared" si="66"/>
        <v>1.2.1/E058-P2039/13/21115-0107/1/1342  Compensaciones por servicios</v>
      </c>
      <c r="I228" s="448" t="s">
        <v>2179</v>
      </c>
      <c r="J228" s="924">
        <f t="shared" si="67"/>
        <v>0</v>
      </c>
      <c r="K228" s="924">
        <f t="shared" si="68"/>
        <v>10957.559999999998</v>
      </c>
      <c r="L228" s="925">
        <f t="shared" si="69"/>
        <v>10957.56</v>
      </c>
      <c r="M228" s="924">
        <f t="shared" si="70"/>
        <v>10957.56</v>
      </c>
      <c r="N228" s="924">
        <f t="shared" si="71"/>
        <v>10957.56</v>
      </c>
      <c r="O228" s="924">
        <f t="shared" si="72"/>
        <v>10957.56</v>
      </c>
      <c r="P228" s="924">
        <f t="shared" si="73"/>
        <v>10957.56</v>
      </c>
      <c r="R228" s="448" t="s">
        <v>2179</v>
      </c>
      <c r="S228" s="450">
        <v>0</v>
      </c>
      <c r="T228" s="449">
        <v>32877.56</v>
      </c>
      <c r="U228" s="449">
        <v>-21920</v>
      </c>
      <c r="V228" s="449">
        <v>10957.56</v>
      </c>
      <c r="W228" s="449">
        <v>0</v>
      </c>
      <c r="X228" s="449">
        <v>10957.56</v>
      </c>
      <c r="Y228" s="449">
        <v>10957.56</v>
      </c>
      <c r="Z228" s="449">
        <v>100</v>
      </c>
      <c r="AA228" s="449">
        <v>0</v>
      </c>
      <c r="AB228" s="449">
        <v>0</v>
      </c>
      <c r="AC228" s="449">
        <v>10957.56</v>
      </c>
      <c r="AD228" s="449">
        <v>100</v>
      </c>
      <c r="AE228" s="449">
        <v>0</v>
      </c>
      <c r="AF228" s="449">
        <v>0</v>
      </c>
    </row>
    <row r="229" spans="1:32" ht="15">
      <c r="A229" s="140" t="str">
        <f t="shared" si="43"/>
        <v>E058</v>
      </c>
      <c r="B229" s="140" t="str">
        <f t="shared" si="42"/>
        <v>1.2.1</v>
      </c>
      <c r="C229" s="140" t="str">
        <f t="shared" si="65"/>
        <v>E058-P2039</v>
      </c>
      <c r="D229" s="140">
        <v>14</v>
      </c>
      <c r="E229" s="140" t="str">
        <f t="shared" si="52"/>
        <v>21115-0107</v>
      </c>
      <c r="F229" s="140" t="str">
        <f t="shared" si="53"/>
        <v>1</v>
      </c>
      <c r="G229" s="140" t="str">
        <f t="shared" si="54"/>
        <v>1411</v>
      </c>
      <c r="H229" s="140" t="str">
        <f t="shared" si="66"/>
        <v>1.2.1/E058-P2039/14/21115-0107/1/1411  Aportaciones al ISSEG</v>
      </c>
      <c r="I229" s="448" t="s">
        <v>2097</v>
      </c>
      <c r="J229" s="924">
        <f t="shared" si="67"/>
        <v>0</v>
      </c>
      <c r="K229" s="924">
        <f t="shared" si="68"/>
        <v>0</v>
      </c>
      <c r="L229" s="925">
        <f t="shared" si="69"/>
        <v>0</v>
      </c>
      <c r="M229" s="924">
        <f t="shared" si="70"/>
        <v>0</v>
      </c>
      <c r="N229" s="924">
        <f t="shared" si="71"/>
        <v>0</v>
      </c>
      <c r="O229" s="924">
        <f t="shared" si="72"/>
        <v>0</v>
      </c>
      <c r="P229" s="924">
        <f t="shared" si="73"/>
        <v>0</v>
      </c>
      <c r="R229" s="448" t="s">
        <v>2097</v>
      </c>
      <c r="S229" s="450">
        <v>0</v>
      </c>
      <c r="T229" s="449">
        <v>3020.64</v>
      </c>
      <c r="U229" s="449">
        <v>-3020.64</v>
      </c>
      <c r="V229" s="449">
        <v>0</v>
      </c>
      <c r="W229" s="450">
        <v>0</v>
      </c>
      <c r="X229" s="450">
        <v>0</v>
      </c>
      <c r="Y229" s="449">
        <v>0</v>
      </c>
      <c r="Z229" s="449">
        <v>0</v>
      </c>
      <c r="AA229" s="450">
        <v>0</v>
      </c>
      <c r="AB229" s="449">
        <v>0</v>
      </c>
      <c r="AC229" s="449">
        <v>0</v>
      </c>
      <c r="AD229" s="449">
        <v>0</v>
      </c>
      <c r="AE229" s="449">
        <v>0</v>
      </c>
      <c r="AF229" s="449">
        <v>0</v>
      </c>
    </row>
    <row r="230" spans="1:32" ht="15">
      <c r="A230" s="140" t="str">
        <f t="shared" si="43"/>
        <v>E058</v>
      </c>
      <c r="B230" s="140" t="str">
        <f t="shared" si="42"/>
        <v>1.2.1</v>
      </c>
      <c r="C230" s="140" t="str">
        <f t="shared" si="65"/>
        <v>E058-P2039</v>
      </c>
      <c r="D230" s="140">
        <v>15</v>
      </c>
      <c r="E230" s="140" t="str">
        <f t="shared" si="52"/>
        <v>21115-0107</v>
      </c>
      <c r="F230" s="140" t="str">
        <f t="shared" si="53"/>
        <v>1</v>
      </c>
      <c r="G230" s="140" t="str">
        <f t="shared" si="54"/>
        <v>1412</v>
      </c>
      <c r="H230" s="140" t="str">
        <f t="shared" si="66"/>
        <v>1.2.1/E058-P2039/15/21115-0107/1/1412  Cuotas al ISSSTE</v>
      </c>
      <c r="I230" s="448" t="s">
        <v>2098</v>
      </c>
      <c r="J230" s="924">
        <f t="shared" si="67"/>
        <v>0</v>
      </c>
      <c r="K230" s="924">
        <f t="shared" si="68"/>
        <v>0</v>
      </c>
      <c r="L230" s="925">
        <f t="shared" si="69"/>
        <v>0</v>
      </c>
      <c r="M230" s="924">
        <f t="shared" si="70"/>
        <v>0</v>
      </c>
      <c r="N230" s="924">
        <f t="shared" si="71"/>
        <v>0</v>
      </c>
      <c r="O230" s="924">
        <f t="shared" si="72"/>
        <v>0</v>
      </c>
      <c r="P230" s="924">
        <f t="shared" si="73"/>
        <v>0</v>
      </c>
      <c r="R230" s="448" t="s">
        <v>2098</v>
      </c>
      <c r="S230" s="450">
        <v>0</v>
      </c>
      <c r="T230" s="449">
        <v>1280.6400000000001</v>
      </c>
      <c r="U230" s="449">
        <v>-1280.6400000000001</v>
      </c>
      <c r="V230" s="449">
        <v>0</v>
      </c>
      <c r="W230" s="450">
        <v>0</v>
      </c>
      <c r="X230" s="450">
        <v>0</v>
      </c>
      <c r="Y230" s="449">
        <v>0</v>
      </c>
      <c r="Z230" s="449">
        <v>0</v>
      </c>
      <c r="AA230" s="450">
        <v>0</v>
      </c>
      <c r="AB230" s="449">
        <v>0</v>
      </c>
      <c r="AC230" s="449">
        <v>0</v>
      </c>
      <c r="AD230" s="449">
        <v>0</v>
      </c>
      <c r="AE230" s="449">
        <v>0</v>
      </c>
      <c r="AF230" s="449">
        <v>0</v>
      </c>
    </row>
    <row r="231" spans="1:32" ht="15">
      <c r="A231" s="140" t="str">
        <f t="shared" si="43"/>
        <v>E058</v>
      </c>
      <c r="B231" s="140" t="str">
        <f t="shared" si="42"/>
        <v>1.2.1</v>
      </c>
      <c r="C231" s="140" t="str">
        <f t="shared" si="65"/>
        <v>E058-P2039</v>
      </c>
      <c r="D231" s="140">
        <v>16</v>
      </c>
      <c r="E231" s="140" t="str">
        <f t="shared" si="52"/>
        <v>21115-0107</v>
      </c>
      <c r="F231" s="140" t="str">
        <f t="shared" si="53"/>
        <v>1</v>
      </c>
      <c r="G231" s="140" t="str">
        <f t="shared" si="54"/>
        <v>1541</v>
      </c>
      <c r="H231" s="140" t="str">
        <f t="shared" si="66"/>
        <v>1.2.1/E058-P2039/16/21115-0107/1/1541  Prestaciones CGT</v>
      </c>
      <c r="I231" s="448" t="s">
        <v>2101</v>
      </c>
      <c r="J231" s="924">
        <f t="shared" si="67"/>
        <v>0</v>
      </c>
      <c r="K231" s="924">
        <f t="shared" si="68"/>
        <v>0</v>
      </c>
      <c r="L231" s="925">
        <f t="shared" si="69"/>
        <v>0</v>
      </c>
      <c r="M231" s="924">
        <f t="shared" si="70"/>
        <v>0</v>
      </c>
      <c r="N231" s="924">
        <f t="shared" si="71"/>
        <v>0</v>
      </c>
      <c r="O231" s="924">
        <f t="shared" si="72"/>
        <v>0</v>
      </c>
      <c r="P231" s="924">
        <f t="shared" si="73"/>
        <v>0</v>
      </c>
      <c r="R231" s="448" t="s">
        <v>2101</v>
      </c>
      <c r="S231" s="450">
        <v>0</v>
      </c>
      <c r="T231" s="449">
        <v>198849.4</v>
      </c>
      <c r="U231" s="449">
        <v>-198849.4</v>
      </c>
      <c r="V231" s="449">
        <v>0</v>
      </c>
      <c r="W231" s="450">
        <v>0</v>
      </c>
      <c r="X231" s="450">
        <v>0</v>
      </c>
      <c r="Y231" s="449">
        <v>0</v>
      </c>
      <c r="Z231" s="449">
        <v>0</v>
      </c>
      <c r="AA231" s="450">
        <v>0</v>
      </c>
      <c r="AB231" s="449">
        <v>0</v>
      </c>
      <c r="AC231" s="449">
        <v>0</v>
      </c>
      <c r="AD231" s="449">
        <v>0</v>
      </c>
      <c r="AE231" s="449">
        <v>0</v>
      </c>
      <c r="AF231" s="449">
        <v>0</v>
      </c>
    </row>
    <row r="232" spans="1:32" ht="15">
      <c r="A232" s="140" t="str">
        <f t="shared" si="43"/>
        <v>E058</v>
      </c>
      <c r="B232" s="140" t="str">
        <f t="shared" si="42"/>
        <v>1.2.1</v>
      </c>
      <c r="C232" s="140" t="str">
        <f t="shared" si="65"/>
        <v>E058-P2039</v>
      </c>
      <c r="D232" s="140">
        <v>17</v>
      </c>
      <c r="E232" s="140" t="str">
        <f t="shared" si="52"/>
        <v>21115-0107</v>
      </c>
      <c r="F232" s="140" t="str">
        <f t="shared" si="53"/>
        <v>1</v>
      </c>
      <c r="G232" s="140" t="str">
        <f t="shared" si="54"/>
        <v>1592</v>
      </c>
      <c r="H232" s="140" t="str">
        <f t="shared" si="66"/>
        <v>1.2.1/E058-P2039/17/21115-0107/1/1592  Otras prestaciones</v>
      </c>
      <c r="I232" s="448" t="s">
        <v>2103</v>
      </c>
      <c r="J232" s="924">
        <f t="shared" si="67"/>
        <v>0</v>
      </c>
      <c r="K232" s="924">
        <f t="shared" si="68"/>
        <v>14850</v>
      </c>
      <c r="L232" s="925">
        <f t="shared" si="69"/>
        <v>14850</v>
      </c>
      <c r="M232" s="924">
        <f t="shared" si="70"/>
        <v>14850</v>
      </c>
      <c r="N232" s="924">
        <f t="shared" si="71"/>
        <v>14850</v>
      </c>
      <c r="O232" s="924">
        <f t="shared" si="72"/>
        <v>14850</v>
      </c>
      <c r="P232" s="924">
        <f t="shared" si="73"/>
        <v>14850</v>
      </c>
      <c r="R232" s="448" t="s">
        <v>2103</v>
      </c>
      <c r="S232" s="450">
        <v>0</v>
      </c>
      <c r="T232" s="449">
        <v>14870</v>
      </c>
      <c r="U232" s="449">
        <v>-20</v>
      </c>
      <c r="V232" s="449">
        <v>14850</v>
      </c>
      <c r="W232" s="449">
        <v>0</v>
      </c>
      <c r="X232" s="449">
        <v>14850</v>
      </c>
      <c r="Y232" s="449">
        <v>14850</v>
      </c>
      <c r="Z232" s="449">
        <v>100</v>
      </c>
      <c r="AA232" s="449">
        <v>0</v>
      </c>
      <c r="AB232" s="449">
        <v>0</v>
      </c>
      <c r="AC232" s="449">
        <v>14850</v>
      </c>
      <c r="AD232" s="449">
        <v>100</v>
      </c>
      <c r="AE232" s="449">
        <v>0</v>
      </c>
      <c r="AF232" s="449">
        <v>0</v>
      </c>
    </row>
    <row r="233" spans="1:32" ht="15">
      <c r="A233" s="140" t="str">
        <f t="shared" si="43"/>
        <v>E058</v>
      </c>
      <c r="B233" s="140" t="str">
        <f t="shared" si="42"/>
        <v>1.2.1</v>
      </c>
      <c r="C233" s="140" t="str">
        <f t="shared" si="65"/>
        <v>E058-P2039</v>
      </c>
      <c r="D233" s="140">
        <v>18</v>
      </c>
      <c r="E233" s="140" t="str">
        <f t="shared" si="52"/>
        <v>21115-0107</v>
      </c>
      <c r="F233" s="140" t="str">
        <f t="shared" si="53"/>
        <v>1</v>
      </c>
      <c r="G233" s="140" t="str">
        <f t="shared" si="54"/>
        <v>3221</v>
      </c>
      <c r="H233" s="140" t="str">
        <f t="shared" si="66"/>
        <v>1.2.1/E058-P2039/18/21115-0107/1/3221  Arrendam Edificios</v>
      </c>
      <c r="I233" s="448" t="s">
        <v>2130</v>
      </c>
      <c r="J233" s="924">
        <f t="shared" si="67"/>
        <v>0</v>
      </c>
      <c r="K233" s="924">
        <f t="shared" si="68"/>
        <v>0</v>
      </c>
      <c r="L233" s="925">
        <f t="shared" si="69"/>
        <v>0</v>
      </c>
      <c r="M233" s="924">
        <f t="shared" si="70"/>
        <v>0</v>
      </c>
      <c r="N233" s="924">
        <f t="shared" si="71"/>
        <v>0</v>
      </c>
      <c r="O233" s="924">
        <f t="shared" si="72"/>
        <v>0</v>
      </c>
      <c r="P233" s="924">
        <f t="shared" si="73"/>
        <v>0</v>
      </c>
      <c r="R233" s="448" t="s">
        <v>2130</v>
      </c>
      <c r="S233" s="450">
        <v>0</v>
      </c>
      <c r="T233" s="449">
        <v>13400</v>
      </c>
      <c r="U233" s="449">
        <v>-13400</v>
      </c>
      <c r="V233" s="449">
        <v>0</v>
      </c>
      <c r="W233" s="450">
        <v>0</v>
      </c>
      <c r="X233" s="450">
        <v>0</v>
      </c>
      <c r="Y233" s="449">
        <v>0</v>
      </c>
      <c r="Z233" s="449">
        <v>0</v>
      </c>
      <c r="AA233" s="450">
        <v>0</v>
      </c>
      <c r="AB233" s="449">
        <v>0</v>
      </c>
      <c r="AC233" s="449">
        <v>0</v>
      </c>
      <c r="AD233" s="449">
        <v>0</v>
      </c>
      <c r="AE233" s="449">
        <v>0</v>
      </c>
      <c r="AF233" s="449">
        <v>0</v>
      </c>
    </row>
    <row r="234" spans="1:32" ht="15" hidden="1">
      <c r="A234" s="140" t="str">
        <f t="shared" si="43"/>
        <v>E058</v>
      </c>
      <c r="B234" s="140" t="str">
        <f t="shared" si="42"/>
        <v>1.2.2</v>
      </c>
      <c r="C234" s="140" t="str">
        <f t="shared" ref="C234:C252" si="74">IF((LEFT($I234,4))="*** ",A234&amp;"-"&amp;MID($I234,7,5),+C233)</f>
        <v>E058-P2039</v>
      </c>
      <c r="D234" s="140">
        <v>19</v>
      </c>
      <c r="E234" s="140" t="str">
        <f t="shared" si="52"/>
        <v>21115-0107</v>
      </c>
      <c r="F234" s="140" t="str">
        <f t="shared" si="53"/>
        <v>1</v>
      </c>
      <c r="G234" s="140" t="str">
        <f t="shared" si="54"/>
        <v/>
      </c>
      <c r="H234" s="140" t="str">
        <f t="shared" ref="H234:H252" si="75">IF((LEFT($I234,1))=" ",B234&amp;"/"&amp;C234&amp;"/"&amp;D234&amp;"/"&amp;E234&amp;"/"&amp;F234&amp;"/"&amp;MID($I234,7,50),"")</f>
        <v/>
      </c>
      <c r="I234" s="918" t="s">
        <v>2185</v>
      </c>
      <c r="J234" s="924">
        <f t="shared" ref="J234:J252" si="76">+S234</f>
        <v>8213662.96</v>
      </c>
      <c r="K234" s="924">
        <f t="shared" ref="K234:K252" si="77">+T234+U234</f>
        <v>-336072.44000000041</v>
      </c>
      <c r="L234" s="925">
        <f t="shared" ref="L234:L252" si="78">+V234</f>
        <v>7877590.5199999996</v>
      </c>
      <c r="M234" s="924">
        <f t="shared" ref="M234:M252" si="79">+AA234+N234</f>
        <v>7877590.5199999996</v>
      </c>
      <c r="N234" s="924">
        <f t="shared" ref="N234:N252" si="80">+W234+P234</f>
        <v>7877590.5199999996</v>
      </c>
      <c r="O234" s="924">
        <f t="shared" ref="O234:O252" si="81">+W234+P234</f>
        <v>7877590.5199999996</v>
      </c>
      <c r="P234" s="924">
        <f t="shared" ref="P234:P252" si="82">+X234</f>
        <v>7877590.5199999996</v>
      </c>
      <c r="R234" s="918" t="s">
        <v>2185</v>
      </c>
      <c r="S234" s="919">
        <v>8213662.96</v>
      </c>
      <c r="T234" s="919">
        <v>4890293.47</v>
      </c>
      <c r="U234" s="919">
        <v>-5226365.91</v>
      </c>
      <c r="V234" s="919">
        <v>7877590.5199999996</v>
      </c>
      <c r="W234" s="919">
        <v>0</v>
      </c>
      <c r="X234" s="919">
        <v>7877590.5199999996</v>
      </c>
      <c r="Y234" s="919">
        <v>7877590.5199999996</v>
      </c>
      <c r="Z234" s="919">
        <v>100</v>
      </c>
      <c r="AA234" s="919">
        <v>0</v>
      </c>
      <c r="AB234" s="919">
        <v>0</v>
      </c>
      <c r="AC234" s="919">
        <v>7877590.5199999996</v>
      </c>
      <c r="AD234" s="919">
        <v>100</v>
      </c>
      <c r="AE234" s="919">
        <v>0</v>
      </c>
      <c r="AF234" s="919">
        <v>0</v>
      </c>
    </row>
    <row r="235" spans="1:32" ht="15" hidden="1">
      <c r="A235" s="140" t="str">
        <f t="shared" si="43"/>
        <v>E058</v>
      </c>
      <c r="B235" s="140" t="str">
        <f t="shared" si="42"/>
        <v>1.2.2</v>
      </c>
      <c r="C235" s="140" t="str">
        <f t="shared" si="74"/>
        <v>E058-P2039</v>
      </c>
      <c r="D235" s="140">
        <v>20</v>
      </c>
      <c r="E235" s="140" t="str">
        <f t="shared" si="52"/>
        <v>21115-0107</v>
      </c>
      <c r="F235" s="140" t="str">
        <f t="shared" si="53"/>
        <v>1</v>
      </c>
      <c r="G235" s="140" t="str">
        <f t="shared" si="54"/>
        <v/>
      </c>
      <c r="H235" s="140" t="str">
        <f t="shared" si="75"/>
        <v/>
      </c>
      <c r="I235" s="918" t="s">
        <v>2183</v>
      </c>
      <c r="J235" s="924">
        <f t="shared" si="76"/>
        <v>8213662.96</v>
      </c>
      <c r="K235" s="924">
        <f t="shared" si="77"/>
        <v>-336072.44000000041</v>
      </c>
      <c r="L235" s="925">
        <f t="shared" si="78"/>
        <v>7877590.5199999996</v>
      </c>
      <c r="M235" s="924">
        <f t="shared" si="79"/>
        <v>7877590.5199999996</v>
      </c>
      <c r="N235" s="924">
        <f t="shared" si="80"/>
        <v>7877590.5199999996</v>
      </c>
      <c r="O235" s="924">
        <f t="shared" si="81"/>
        <v>7877590.5199999996</v>
      </c>
      <c r="P235" s="924">
        <f t="shared" si="82"/>
        <v>7877590.5199999996</v>
      </c>
      <c r="R235" s="918" t="s">
        <v>2183</v>
      </c>
      <c r="S235" s="919">
        <v>8213662.96</v>
      </c>
      <c r="T235" s="919">
        <v>4890293.47</v>
      </c>
      <c r="U235" s="919">
        <v>-5226365.91</v>
      </c>
      <c r="V235" s="919">
        <v>7877590.5199999996</v>
      </c>
      <c r="W235" s="919">
        <v>0</v>
      </c>
      <c r="X235" s="919">
        <v>7877590.5199999996</v>
      </c>
      <c r="Y235" s="919">
        <v>7877590.5199999996</v>
      </c>
      <c r="Z235" s="919">
        <v>100</v>
      </c>
      <c r="AA235" s="919">
        <v>0</v>
      </c>
      <c r="AB235" s="919">
        <v>0</v>
      </c>
      <c r="AC235" s="919">
        <v>7877590.5199999996</v>
      </c>
      <c r="AD235" s="919">
        <v>100</v>
      </c>
      <c r="AE235" s="919">
        <v>0</v>
      </c>
      <c r="AF235" s="919">
        <v>0</v>
      </c>
    </row>
    <row r="236" spans="1:32" ht="15" hidden="1">
      <c r="A236" s="140" t="str">
        <f t="shared" si="43"/>
        <v>E058</v>
      </c>
      <c r="B236" s="140" t="str">
        <f t="shared" si="42"/>
        <v>1.2.2</v>
      </c>
      <c r="C236" s="140" t="str">
        <f t="shared" si="74"/>
        <v>E058-P2039</v>
      </c>
      <c r="D236" s="140">
        <v>21</v>
      </c>
      <c r="E236" s="140" t="str">
        <f t="shared" si="52"/>
        <v>21115-0107</v>
      </c>
      <c r="F236" s="140" t="str">
        <f t="shared" si="53"/>
        <v>1</v>
      </c>
      <c r="G236" s="140" t="str">
        <f t="shared" si="54"/>
        <v/>
      </c>
      <c r="H236" s="140" t="str">
        <f t="shared" si="75"/>
        <v/>
      </c>
      <c r="I236" s="971" t="s">
        <v>2091</v>
      </c>
      <c r="J236" s="924">
        <f t="shared" si="76"/>
        <v>8213662.96</v>
      </c>
      <c r="K236" s="924">
        <f t="shared" si="77"/>
        <v>-336072.44000000041</v>
      </c>
      <c r="L236" s="925">
        <f t="shared" si="78"/>
        <v>7877590.5199999996</v>
      </c>
      <c r="M236" s="924">
        <f t="shared" si="79"/>
        <v>7877590.5199999996</v>
      </c>
      <c r="N236" s="924">
        <f t="shared" si="80"/>
        <v>7877590.5199999996</v>
      </c>
      <c r="O236" s="924">
        <f t="shared" si="81"/>
        <v>7877590.5199999996</v>
      </c>
      <c r="P236" s="924">
        <f t="shared" si="82"/>
        <v>7877590.5199999996</v>
      </c>
      <c r="R236" s="971" t="s">
        <v>2091</v>
      </c>
      <c r="S236" s="972">
        <v>8213662.96</v>
      </c>
      <c r="T236" s="972">
        <v>4890293.47</v>
      </c>
      <c r="U236" s="972">
        <v>-5226365.91</v>
      </c>
      <c r="V236" s="972">
        <v>7877590.5199999996</v>
      </c>
      <c r="W236" s="972">
        <v>0</v>
      </c>
      <c r="X236" s="972">
        <v>7877590.5199999996</v>
      </c>
      <c r="Y236" s="972">
        <v>7877590.5199999996</v>
      </c>
      <c r="Z236" s="972">
        <v>100</v>
      </c>
      <c r="AA236" s="972">
        <v>0</v>
      </c>
      <c r="AB236" s="972">
        <v>0</v>
      </c>
      <c r="AC236" s="972">
        <v>7877590.5199999996</v>
      </c>
      <c r="AD236" s="972">
        <v>100</v>
      </c>
      <c r="AE236" s="972">
        <v>0</v>
      </c>
      <c r="AF236" s="972">
        <v>0</v>
      </c>
    </row>
    <row r="237" spans="1:32" ht="15" hidden="1">
      <c r="A237" s="140" t="str">
        <f t="shared" si="43"/>
        <v>E058</v>
      </c>
      <c r="B237" s="140" t="str">
        <f t="shared" si="42"/>
        <v>1.2.2</v>
      </c>
      <c r="C237" s="140" t="str">
        <f t="shared" si="74"/>
        <v>E058-P2039</v>
      </c>
      <c r="D237" s="140">
        <v>22</v>
      </c>
      <c r="E237" s="140" t="str">
        <f t="shared" si="52"/>
        <v>21115-0100</v>
      </c>
      <c r="F237" s="140" t="str">
        <f t="shared" si="53"/>
        <v>1</v>
      </c>
      <c r="G237" s="140" t="str">
        <f t="shared" si="54"/>
        <v/>
      </c>
      <c r="H237" s="140" t="str">
        <f t="shared" si="75"/>
        <v/>
      </c>
      <c r="I237" s="455" t="s">
        <v>2177</v>
      </c>
      <c r="J237" s="924">
        <f t="shared" si="76"/>
        <v>0</v>
      </c>
      <c r="K237" s="924">
        <f t="shared" si="77"/>
        <v>0</v>
      </c>
      <c r="L237" s="925">
        <f t="shared" si="78"/>
        <v>0</v>
      </c>
      <c r="M237" s="924">
        <f t="shared" si="79"/>
        <v>0</v>
      </c>
      <c r="N237" s="924">
        <f t="shared" si="80"/>
        <v>0</v>
      </c>
      <c r="O237" s="924">
        <f t="shared" si="81"/>
        <v>0</v>
      </c>
      <c r="P237" s="924">
        <f t="shared" si="82"/>
        <v>0</v>
      </c>
      <c r="R237" s="455" t="s">
        <v>2177</v>
      </c>
      <c r="S237" s="899">
        <v>0</v>
      </c>
      <c r="T237" s="456">
        <v>7638.6</v>
      </c>
      <c r="U237" s="456">
        <v>-7638.6</v>
      </c>
      <c r="V237" s="456">
        <v>0</v>
      </c>
      <c r="W237" s="899">
        <v>0</v>
      </c>
      <c r="X237" s="899">
        <v>0</v>
      </c>
      <c r="Y237" s="456">
        <v>0</v>
      </c>
      <c r="Z237" s="456">
        <v>0</v>
      </c>
      <c r="AA237" s="899">
        <v>0</v>
      </c>
      <c r="AB237" s="456">
        <v>0</v>
      </c>
      <c r="AC237" s="456">
        <v>0</v>
      </c>
      <c r="AD237" s="456">
        <v>0</v>
      </c>
      <c r="AE237" s="456">
        <v>0</v>
      </c>
      <c r="AF237" s="456">
        <v>0</v>
      </c>
    </row>
    <row r="238" spans="1:32" ht="15">
      <c r="A238" s="140" t="str">
        <f t="shared" si="43"/>
        <v>E058</v>
      </c>
      <c r="B238" s="140" t="str">
        <f t="shared" si="42"/>
        <v>1.2.2</v>
      </c>
      <c r="C238" s="140" t="str">
        <f t="shared" si="74"/>
        <v>E058-P2039</v>
      </c>
      <c r="D238" s="140">
        <v>23</v>
      </c>
      <c r="E238" s="140" t="str">
        <f t="shared" si="52"/>
        <v>21115-0100</v>
      </c>
      <c r="F238" s="140" t="str">
        <f t="shared" si="53"/>
        <v>1</v>
      </c>
      <c r="G238" s="140" t="str">
        <f t="shared" si="54"/>
        <v>1411</v>
      </c>
      <c r="H238" s="140" t="str">
        <f t="shared" si="75"/>
        <v>1.2.2/E058-P2039/23/21115-0100/1/1411  Aportaciones al ISSEG</v>
      </c>
      <c r="I238" s="448" t="s">
        <v>2097</v>
      </c>
      <c r="J238" s="924">
        <f t="shared" si="76"/>
        <v>0</v>
      </c>
      <c r="K238" s="924">
        <f t="shared" si="77"/>
        <v>0</v>
      </c>
      <c r="L238" s="925">
        <f t="shared" si="78"/>
        <v>0</v>
      </c>
      <c r="M238" s="924">
        <f t="shared" si="79"/>
        <v>0</v>
      </c>
      <c r="N238" s="924">
        <f t="shared" si="80"/>
        <v>0</v>
      </c>
      <c r="O238" s="924">
        <f t="shared" si="81"/>
        <v>0</v>
      </c>
      <c r="P238" s="924">
        <f t="shared" si="82"/>
        <v>0</v>
      </c>
      <c r="R238" s="448" t="s">
        <v>2097</v>
      </c>
      <c r="S238" s="450">
        <v>0</v>
      </c>
      <c r="T238" s="449">
        <v>7638.6</v>
      </c>
      <c r="U238" s="449">
        <v>-7638.6</v>
      </c>
      <c r="V238" s="449">
        <v>0</v>
      </c>
      <c r="W238" s="450">
        <v>0</v>
      </c>
      <c r="X238" s="450">
        <v>0</v>
      </c>
      <c r="Y238" s="449">
        <v>0</v>
      </c>
      <c r="Z238" s="449">
        <v>0</v>
      </c>
      <c r="AA238" s="450">
        <v>0</v>
      </c>
      <c r="AB238" s="449">
        <v>0</v>
      </c>
      <c r="AC238" s="449">
        <v>0</v>
      </c>
      <c r="AD238" s="449">
        <v>0</v>
      </c>
      <c r="AE238" s="449">
        <v>0</v>
      </c>
      <c r="AF238" s="449">
        <v>0</v>
      </c>
    </row>
    <row r="239" spans="1:32" ht="15" hidden="1">
      <c r="A239" s="140" t="str">
        <f t="shared" si="43"/>
        <v>E058</v>
      </c>
      <c r="B239" s="140" t="str">
        <f t="shared" si="42"/>
        <v>1.2.2</v>
      </c>
      <c r="C239" s="140" t="str">
        <f t="shared" si="74"/>
        <v>E058-P2039</v>
      </c>
      <c r="D239" s="140">
        <v>24</v>
      </c>
      <c r="E239" s="140" t="str">
        <f t="shared" si="52"/>
        <v>21115-0107</v>
      </c>
      <c r="F239" s="140" t="str">
        <f t="shared" si="53"/>
        <v>1</v>
      </c>
      <c r="G239" s="140" t="str">
        <f t="shared" si="54"/>
        <v/>
      </c>
      <c r="H239" s="140" t="str">
        <f t="shared" si="75"/>
        <v/>
      </c>
      <c r="I239" s="455" t="s">
        <v>2184</v>
      </c>
      <c r="J239" s="924">
        <f t="shared" si="76"/>
        <v>8213662.96</v>
      </c>
      <c r="K239" s="924">
        <f t="shared" si="77"/>
        <v>-336072.43999999948</v>
      </c>
      <c r="L239" s="925">
        <f t="shared" si="78"/>
        <v>7877590.5199999996</v>
      </c>
      <c r="M239" s="924">
        <f t="shared" si="79"/>
        <v>7877590.5199999996</v>
      </c>
      <c r="N239" s="924">
        <f t="shared" si="80"/>
        <v>7877590.5199999996</v>
      </c>
      <c r="O239" s="924">
        <f t="shared" si="81"/>
        <v>7877590.5199999996</v>
      </c>
      <c r="P239" s="924">
        <f t="shared" si="82"/>
        <v>7877590.5199999996</v>
      </c>
      <c r="R239" s="455" t="s">
        <v>2184</v>
      </c>
      <c r="S239" s="456">
        <v>8213662.96</v>
      </c>
      <c r="T239" s="456">
        <v>4882654.87</v>
      </c>
      <c r="U239" s="456">
        <v>-5218727.3099999996</v>
      </c>
      <c r="V239" s="456">
        <v>7877590.5199999996</v>
      </c>
      <c r="W239" s="456">
        <v>0</v>
      </c>
      <c r="X239" s="456">
        <v>7877590.5199999996</v>
      </c>
      <c r="Y239" s="456">
        <v>7877590.5199999996</v>
      </c>
      <c r="Z239" s="456">
        <v>100</v>
      </c>
      <c r="AA239" s="456">
        <v>0</v>
      </c>
      <c r="AB239" s="456">
        <v>0</v>
      </c>
      <c r="AC239" s="456">
        <v>7877590.5199999996</v>
      </c>
      <c r="AD239" s="456">
        <v>100</v>
      </c>
      <c r="AE239" s="456">
        <v>0</v>
      </c>
      <c r="AF239" s="456">
        <v>0</v>
      </c>
    </row>
    <row r="240" spans="1:32" ht="15">
      <c r="A240" s="140" t="str">
        <f t="shared" si="43"/>
        <v>E058</v>
      </c>
      <c r="B240" s="140" t="str">
        <f t="shared" si="42"/>
        <v>1.2.2</v>
      </c>
      <c r="C240" s="140" t="str">
        <f t="shared" si="74"/>
        <v>E058-P2039</v>
      </c>
      <c r="D240" s="140">
        <v>25</v>
      </c>
      <c r="E240" s="140" t="str">
        <f t="shared" si="52"/>
        <v>21115-0107</v>
      </c>
      <c r="F240" s="140" t="str">
        <f t="shared" si="53"/>
        <v>1</v>
      </c>
      <c r="G240" s="140" t="str">
        <f t="shared" si="54"/>
        <v>1131</v>
      </c>
      <c r="H240" s="140" t="str">
        <f t="shared" si="75"/>
        <v>1.2.2/E058-P2039/25/21115-0107/1/1131  Sueldos Base</v>
      </c>
      <c r="I240" s="448" t="s">
        <v>2092</v>
      </c>
      <c r="J240" s="924">
        <f t="shared" si="76"/>
        <v>1574976.86</v>
      </c>
      <c r="K240" s="924">
        <f t="shared" si="77"/>
        <v>-3090.2900000000373</v>
      </c>
      <c r="L240" s="925">
        <f t="shared" si="78"/>
        <v>1571886.57</v>
      </c>
      <c r="M240" s="924">
        <f t="shared" si="79"/>
        <v>1571886.57</v>
      </c>
      <c r="N240" s="924">
        <f t="shared" si="80"/>
        <v>1571886.57</v>
      </c>
      <c r="O240" s="924">
        <f t="shared" si="81"/>
        <v>1571886.57</v>
      </c>
      <c r="P240" s="924">
        <f t="shared" si="82"/>
        <v>1571886.57</v>
      </c>
      <c r="R240" s="448" t="s">
        <v>2092</v>
      </c>
      <c r="S240" s="449">
        <v>1574976.86</v>
      </c>
      <c r="T240" s="449">
        <v>410461.72</v>
      </c>
      <c r="U240" s="449">
        <v>-413552.01</v>
      </c>
      <c r="V240" s="449">
        <v>1571886.57</v>
      </c>
      <c r="W240" s="449">
        <v>0</v>
      </c>
      <c r="X240" s="449">
        <v>1571886.57</v>
      </c>
      <c r="Y240" s="449">
        <v>1571886.57</v>
      </c>
      <c r="Z240" s="449">
        <v>100</v>
      </c>
      <c r="AA240" s="449">
        <v>0</v>
      </c>
      <c r="AB240" s="449">
        <v>0</v>
      </c>
      <c r="AC240" s="449">
        <v>1571886.57</v>
      </c>
      <c r="AD240" s="449">
        <v>100</v>
      </c>
      <c r="AE240" s="449">
        <v>0</v>
      </c>
      <c r="AF240" s="449">
        <v>0</v>
      </c>
    </row>
    <row r="241" spans="1:32" ht="15">
      <c r="A241" s="140" t="str">
        <f t="shared" si="43"/>
        <v>E058</v>
      </c>
      <c r="B241" s="140" t="str">
        <f t="shared" si="42"/>
        <v>1.2.2</v>
      </c>
      <c r="C241" s="140" t="str">
        <f t="shared" si="74"/>
        <v>E058-P2039</v>
      </c>
      <c r="D241" s="140">
        <v>26</v>
      </c>
      <c r="E241" s="140" t="str">
        <f t="shared" si="52"/>
        <v>21115-0107</v>
      </c>
      <c r="F241" s="140" t="str">
        <f t="shared" si="53"/>
        <v>1</v>
      </c>
      <c r="G241" s="140" t="str">
        <f t="shared" si="54"/>
        <v>1212</v>
      </c>
      <c r="H241" s="140" t="str">
        <f t="shared" si="75"/>
        <v>1.2.2/E058-P2039/26/21115-0107/1/1212  Honorarios asimilados</v>
      </c>
      <c r="I241" s="448" t="s">
        <v>2093</v>
      </c>
      <c r="J241" s="924">
        <f t="shared" si="76"/>
        <v>642642.02</v>
      </c>
      <c r="K241" s="924">
        <f t="shared" si="77"/>
        <v>-68364.790000000037</v>
      </c>
      <c r="L241" s="925">
        <f t="shared" si="78"/>
        <v>574277.23</v>
      </c>
      <c r="M241" s="924">
        <f t="shared" si="79"/>
        <v>574277.23</v>
      </c>
      <c r="N241" s="924">
        <f t="shared" si="80"/>
        <v>574277.23</v>
      </c>
      <c r="O241" s="924">
        <f t="shared" si="81"/>
        <v>574277.23</v>
      </c>
      <c r="P241" s="924">
        <f t="shared" si="82"/>
        <v>574277.23</v>
      </c>
      <c r="R241" s="448" t="s">
        <v>2093</v>
      </c>
      <c r="S241" s="449">
        <v>642642.02</v>
      </c>
      <c r="T241" s="449">
        <v>1009469.96</v>
      </c>
      <c r="U241" s="449">
        <v>-1077834.75</v>
      </c>
      <c r="V241" s="449">
        <v>574277.23</v>
      </c>
      <c r="W241" s="449">
        <v>0</v>
      </c>
      <c r="X241" s="449">
        <v>574277.23</v>
      </c>
      <c r="Y241" s="449">
        <v>574277.23</v>
      </c>
      <c r="Z241" s="449">
        <v>100</v>
      </c>
      <c r="AA241" s="449">
        <v>0</v>
      </c>
      <c r="AB241" s="449">
        <v>0</v>
      </c>
      <c r="AC241" s="449">
        <v>574277.23</v>
      </c>
      <c r="AD241" s="449">
        <v>100</v>
      </c>
      <c r="AE241" s="449">
        <v>0</v>
      </c>
      <c r="AF241" s="449">
        <v>0</v>
      </c>
    </row>
    <row r="242" spans="1:32" ht="15">
      <c r="A242" s="140" t="str">
        <f t="shared" si="43"/>
        <v>E058</v>
      </c>
      <c r="B242" s="140" t="str">
        <f t="shared" si="42"/>
        <v>1.2.2</v>
      </c>
      <c r="C242" s="140" t="str">
        <f t="shared" si="74"/>
        <v>E058-P2039</v>
      </c>
      <c r="D242" s="140">
        <v>27</v>
      </c>
      <c r="E242" s="140" t="str">
        <f t="shared" si="52"/>
        <v>21115-0107</v>
      </c>
      <c r="F242" s="140" t="str">
        <f t="shared" si="53"/>
        <v>1</v>
      </c>
      <c r="G242" s="140" t="str">
        <f t="shared" si="54"/>
        <v>1311</v>
      </c>
      <c r="H242" s="140" t="str">
        <f t="shared" si="75"/>
        <v>1.2.2/E058-P2039/27/21115-0107/1/1311  Prima quinquenal</v>
      </c>
      <c r="I242" s="448" t="s">
        <v>2094</v>
      </c>
      <c r="J242" s="924">
        <f t="shared" si="76"/>
        <v>3876</v>
      </c>
      <c r="K242" s="924">
        <f t="shared" si="77"/>
        <v>-85.33</v>
      </c>
      <c r="L242" s="925">
        <f t="shared" si="78"/>
        <v>3790.67</v>
      </c>
      <c r="M242" s="924">
        <f t="shared" si="79"/>
        <v>3790.67</v>
      </c>
      <c r="N242" s="924">
        <f t="shared" si="80"/>
        <v>3790.67</v>
      </c>
      <c r="O242" s="924">
        <f t="shared" si="81"/>
        <v>3790.67</v>
      </c>
      <c r="P242" s="924">
        <f t="shared" si="82"/>
        <v>3790.67</v>
      </c>
      <c r="R242" s="448" t="s">
        <v>2094</v>
      </c>
      <c r="S242" s="449">
        <v>3876</v>
      </c>
      <c r="T242" s="449">
        <v>85.3</v>
      </c>
      <c r="U242" s="449">
        <v>-170.63</v>
      </c>
      <c r="V242" s="449">
        <v>3790.67</v>
      </c>
      <c r="W242" s="449">
        <v>0</v>
      </c>
      <c r="X242" s="449">
        <v>3790.67</v>
      </c>
      <c r="Y242" s="449">
        <v>3790.67</v>
      </c>
      <c r="Z242" s="449">
        <v>100</v>
      </c>
      <c r="AA242" s="449">
        <v>0</v>
      </c>
      <c r="AB242" s="449">
        <v>0</v>
      </c>
      <c r="AC242" s="449">
        <v>3790.67</v>
      </c>
      <c r="AD242" s="449">
        <v>100</v>
      </c>
      <c r="AE242" s="449">
        <v>0</v>
      </c>
      <c r="AF242" s="449">
        <v>0</v>
      </c>
    </row>
    <row r="243" spans="1:32" ht="15">
      <c r="A243" s="140" t="str">
        <f t="shared" si="43"/>
        <v>E058</v>
      </c>
      <c r="B243" s="140" t="str">
        <f t="shared" si="42"/>
        <v>1.2.2</v>
      </c>
      <c r="C243" s="140" t="str">
        <f t="shared" si="74"/>
        <v>E058-P2039</v>
      </c>
      <c r="D243" s="140">
        <v>28</v>
      </c>
      <c r="E243" s="140" t="str">
        <f t="shared" si="52"/>
        <v>21115-0107</v>
      </c>
      <c r="F243" s="140" t="str">
        <f t="shared" si="53"/>
        <v>1</v>
      </c>
      <c r="G243" s="140" t="str">
        <f t="shared" si="54"/>
        <v>1321</v>
      </c>
      <c r="H243" s="140" t="str">
        <f t="shared" si="75"/>
        <v>1.2.2/E058-P2039/28/21115-0107/1/1321  Prima Vacacional</v>
      </c>
      <c r="I243" s="448" t="s">
        <v>2095</v>
      </c>
      <c r="J243" s="924">
        <f t="shared" si="76"/>
        <v>128993.1</v>
      </c>
      <c r="K243" s="924">
        <f t="shared" si="77"/>
        <v>-4510.1999999999971</v>
      </c>
      <c r="L243" s="925">
        <f t="shared" si="78"/>
        <v>124482.9</v>
      </c>
      <c r="M243" s="924">
        <f t="shared" si="79"/>
        <v>124482.9</v>
      </c>
      <c r="N243" s="924">
        <f t="shared" si="80"/>
        <v>124482.9</v>
      </c>
      <c r="O243" s="924">
        <f t="shared" si="81"/>
        <v>124482.9</v>
      </c>
      <c r="P243" s="924">
        <f t="shared" si="82"/>
        <v>124482.9</v>
      </c>
      <c r="R243" s="448" t="s">
        <v>2095</v>
      </c>
      <c r="S243" s="449">
        <v>128993.1</v>
      </c>
      <c r="T243" s="449">
        <v>23647.15</v>
      </c>
      <c r="U243" s="449">
        <v>-28157.35</v>
      </c>
      <c r="V243" s="449">
        <v>124482.9</v>
      </c>
      <c r="W243" s="449">
        <v>0</v>
      </c>
      <c r="X243" s="449">
        <v>124482.9</v>
      </c>
      <c r="Y243" s="449">
        <v>124482.9</v>
      </c>
      <c r="Z243" s="449">
        <v>100</v>
      </c>
      <c r="AA243" s="449">
        <v>0</v>
      </c>
      <c r="AB243" s="449">
        <v>0</v>
      </c>
      <c r="AC243" s="449">
        <v>124482.9</v>
      </c>
      <c r="AD243" s="449">
        <v>100</v>
      </c>
      <c r="AE243" s="449">
        <v>0</v>
      </c>
      <c r="AF243" s="449">
        <v>0</v>
      </c>
    </row>
    <row r="244" spans="1:32" ht="15">
      <c r="A244" s="140" t="str">
        <f t="shared" si="43"/>
        <v>E058</v>
      </c>
      <c r="B244" s="140" t="str">
        <f t="shared" si="42"/>
        <v>1.2.2</v>
      </c>
      <c r="C244" s="140" t="str">
        <f t="shared" si="74"/>
        <v>E058-P2039</v>
      </c>
      <c r="D244" s="140">
        <v>29</v>
      </c>
      <c r="E244" s="140" t="str">
        <f t="shared" si="52"/>
        <v>21115-0107</v>
      </c>
      <c r="F244" s="140" t="str">
        <f t="shared" si="53"/>
        <v>1</v>
      </c>
      <c r="G244" s="140" t="str">
        <f t="shared" si="54"/>
        <v>1323</v>
      </c>
      <c r="H244" s="140" t="str">
        <f t="shared" si="75"/>
        <v>1.2.2/E058-P2039/29/21115-0107/1/1323  Gratificación de fin de año</v>
      </c>
      <c r="I244" s="448" t="s">
        <v>2096</v>
      </c>
      <c r="J244" s="924">
        <f t="shared" si="76"/>
        <v>580442.71</v>
      </c>
      <c r="K244" s="924">
        <f t="shared" si="77"/>
        <v>2274.4599999999919</v>
      </c>
      <c r="L244" s="925">
        <f t="shared" si="78"/>
        <v>582717.17000000004</v>
      </c>
      <c r="M244" s="924">
        <f t="shared" si="79"/>
        <v>582717.17000000004</v>
      </c>
      <c r="N244" s="924">
        <f t="shared" si="80"/>
        <v>582717.17000000004</v>
      </c>
      <c r="O244" s="924">
        <f t="shared" si="81"/>
        <v>582717.17000000004</v>
      </c>
      <c r="P244" s="924">
        <f t="shared" si="82"/>
        <v>582717.17000000004</v>
      </c>
      <c r="R244" s="448" t="s">
        <v>2096</v>
      </c>
      <c r="S244" s="449">
        <v>580442.71</v>
      </c>
      <c r="T244" s="449">
        <v>256665.3</v>
      </c>
      <c r="U244" s="449">
        <v>-254390.84</v>
      </c>
      <c r="V244" s="449">
        <v>582717.17000000004</v>
      </c>
      <c r="W244" s="449">
        <v>0</v>
      </c>
      <c r="X244" s="449">
        <v>582717.17000000004</v>
      </c>
      <c r="Y244" s="449">
        <v>582717.17000000004</v>
      </c>
      <c r="Z244" s="449">
        <v>100</v>
      </c>
      <c r="AA244" s="449">
        <v>0</v>
      </c>
      <c r="AB244" s="449">
        <v>0</v>
      </c>
      <c r="AC244" s="449">
        <v>582717.17000000004</v>
      </c>
      <c r="AD244" s="449">
        <v>100</v>
      </c>
      <c r="AE244" s="449">
        <v>0</v>
      </c>
      <c r="AF244" s="449">
        <v>0</v>
      </c>
    </row>
    <row r="245" spans="1:32" ht="15">
      <c r="A245" s="140" t="str">
        <f t="shared" si="43"/>
        <v>E058</v>
      </c>
      <c r="B245" s="140" t="str">
        <f t="shared" si="42"/>
        <v>1.2.2</v>
      </c>
      <c r="C245" s="140" t="str">
        <f t="shared" si="74"/>
        <v>E058-P2039</v>
      </c>
      <c r="D245" s="140">
        <v>30</v>
      </c>
      <c r="E245" s="140" t="str">
        <f t="shared" si="52"/>
        <v>21115-0107</v>
      </c>
      <c r="F245" s="140" t="str">
        <f t="shared" si="53"/>
        <v>1</v>
      </c>
      <c r="G245" s="140" t="str">
        <f t="shared" si="54"/>
        <v>1342</v>
      </c>
      <c r="H245" s="140" t="str">
        <f t="shared" si="75"/>
        <v>1.2.2/E058-P2039/30/21115-0107/1/1342  Compensaciones por servicios</v>
      </c>
      <c r="I245" s="448" t="s">
        <v>2179</v>
      </c>
      <c r="J245" s="924">
        <f t="shared" si="76"/>
        <v>85495.99</v>
      </c>
      <c r="K245" s="924">
        <f t="shared" si="77"/>
        <v>49321.299999999988</v>
      </c>
      <c r="L245" s="925">
        <f t="shared" si="78"/>
        <v>134817.29</v>
      </c>
      <c r="M245" s="924">
        <f t="shared" si="79"/>
        <v>134817.29</v>
      </c>
      <c r="N245" s="924">
        <f t="shared" si="80"/>
        <v>134817.29</v>
      </c>
      <c r="O245" s="924">
        <f t="shared" si="81"/>
        <v>134817.29</v>
      </c>
      <c r="P245" s="924">
        <f t="shared" si="82"/>
        <v>134817.29</v>
      </c>
      <c r="R245" s="448" t="s">
        <v>2179</v>
      </c>
      <c r="S245" s="449">
        <v>85495.99</v>
      </c>
      <c r="T245" s="449">
        <v>203278.97</v>
      </c>
      <c r="U245" s="449">
        <v>-153957.67000000001</v>
      </c>
      <c r="V245" s="449">
        <v>134817.29</v>
      </c>
      <c r="W245" s="449">
        <v>0</v>
      </c>
      <c r="X245" s="449">
        <v>134817.29</v>
      </c>
      <c r="Y245" s="449">
        <v>134817.29</v>
      </c>
      <c r="Z245" s="449">
        <v>100</v>
      </c>
      <c r="AA245" s="449">
        <v>0</v>
      </c>
      <c r="AB245" s="449">
        <v>0</v>
      </c>
      <c r="AC245" s="449">
        <v>134817.29</v>
      </c>
      <c r="AD245" s="449">
        <v>100</v>
      </c>
      <c r="AE245" s="449">
        <v>0</v>
      </c>
      <c r="AF245" s="449">
        <v>0</v>
      </c>
    </row>
    <row r="246" spans="1:32" ht="15">
      <c r="A246" s="140" t="str">
        <f t="shared" si="43"/>
        <v>E058</v>
      </c>
      <c r="B246" s="140" t="str">
        <f t="shared" si="42"/>
        <v>1.2.2</v>
      </c>
      <c r="C246" s="140" t="str">
        <f t="shared" si="74"/>
        <v>E058-P2039</v>
      </c>
      <c r="D246" s="140">
        <v>31</v>
      </c>
      <c r="E246" s="140" t="str">
        <f t="shared" si="52"/>
        <v>21115-0107</v>
      </c>
      <c r="F246" s="140" t="str">
        <f t="shared" si="53"/>
        <v>1</v>
      </c>
      <c r="G246" s="140" t="str">
        <f t="shared" si="54"/>
        <v>1411</v>
      </c>
      <c r="H246" s="140" t="str">
        <f t="shared" si="75"/>
        <v>1.2.2/E058-P2039/31/21115-0107/1/1411  Aportaciones al ISSEG</v>
      </c>
      <c r="I246" s="448" t="s">
        <v>2097</v>
      </c>
      <c r="J246" s="924">
        <f t="shared" si="76"/>
        <v>347202.9</v>
      </c>
      <c r="K246" s="924">
        <f t="shared" si="77"/>
        <v>14331.190000000002</v>
      </c>
      <c r="L246" s="925">
        <f t="shared" si="78"/>
        <v>361534.09</v>
      </c>
      <c r="M246" s="924">
        <f t="shared" si="79"/>
        <v>361534.09</v>
      </c>
      <c r="N246" s="924">
        <f t="shared" si="80"/>
        <v>361534.09</v>
      </c>
      <c r="O246" s="924">
        <f t="shared" si="81"/>
        <v>361534.09</v>
      </c>
      <c r="P246" s="924">
        <f t="shared" si="82"/>
        <v>361534.09</v>
      </c>
      <c r="R246" s="448" t="s">
        <v>2097</v>
      </c>
      <c r="S246" s="449">
        <v>347202.9</v>
      </c>
      <c r="T246" s="449">
        <v>55986.8</v>
      </c>
      <c r="U246" s="449">
        <v>-41655.61</v>
      </c>
      <c r="V246" s="449">
        <v>361534.09</v>
      </c>
      <c r="W246" s="449">
        <v>0</v>
      </c>
      <c r="X246" s="449">
        <v>361534.09</v>
      </c>
      <c r="Y246" s="449">
        <v>361534.09</v>
      </c>
      <c r="Z246" s="449">
        <v>100</v>
      </c>
      <c r="AA246" s="449">
        <v>0</v>
      </c>
      <c r="AB246" s="449">
        <v>0</v>
      </c>
      <c r="AC246" s="449">
        <v>361534.09</v>
      </c>
      <c r="AD246" s="449">
        <v>100</v>
      </c>
      <c r="AE246" s="449">
        <v>0</v>
      </c>
      <c r="AF246" s="449">
        <v>0</v>
      </c>
    </row>
    <row r="247" spans="1:32" ht="15">
      <c r="A247" s="140" t="str">
        <f t="shared" si="43"/>
        <v>E058</v>
      </c>
      <c r="B247" s="140" t="str">
        <f t="shared" si="42"/>
        <v>1.2.2</v>
      </c>
      <c r="C247" s="140" t="str">
        <f t="shared" si="74"/>
        <v>E058-P2039</v>
      </c>
      <c r="D247" s="140">
        <v>32</v>
      </c>
      <c r="E247" s="140" t="str">
        <f t="shared" si="52"/>
        <v>21115-0107</v>
      </c>
      <c r="F247" s="140" t="str">
        <f t="shared" si="53"/>
        <v>1</v>
      </c>
      <c r="G247" s="140" t="str">
        <f t="shared" si="54"/>
        <v>1412</v>
      </c>
      <c r="H247" s="140" t="str">
        <f t="shared" si="75"/>
        <v>1.2.2/E058-P2039/32/21115-0107/1/1412  Cuotas al ISSSTE</v>
      </c>
      <c r="I247" s="448" t="s">
        <v>2098</v>
      </c>
      <c r="J247" s="924">
        <f t="shared" si="76"/>
        <v>153648</v>
      </c>
      <c r="K247" s="924">
        <f t="shared" si="77"/>
        <v>-39686.089999999997</v>
      </c>
      <c r="L247" s="925">
        <f t="shared" si="78"/>
        <v>113961.91</v>
      </c>
      <c r="M247" s="924">
        <f t="shared" si="79"/>
        <v>113961.91</v>
      </c>
      <c r="N247" s="924">
        <f t="shared" si="80"/>
        <v>113961.91</v>
      </c>
      <c r="O247" s="924">
        <f t="shared" si="81"/>
        <v>113961.91</v>
      </c>
      <c r="P247" s="924">
        <f t="shared" si="82"/>
        <v>113961.91</v>
      </c>
      <c r="R247" s="448" t="s">
        <v>2098</v>
      </c>
      <c r="S247" s="449">
        <v>153648</v>
      </c>
      <c r="T247" s="449">
        <v>119762.16</v>
      </c>
      <c r="U247" s="449">
        <v>-159448.25</v>
      </c>
      <c r="V247" s="449">
        <v>113961.91</v>
      </c>
      <c r="W247" s="449">
        <v>0</v>
      </c>
      <c r="X247" s="449">
        <v>113961.91</v>
      </c>
      <c r="Y247" s="449">
        <v>113961.91</v>
      </c>
      <c r="Z247" s="449">
        <v>100</v>
      </c>
      <c r="AA247" s="449">
        <v>0</v>
      </c>
      <c r="AB247" s="449">
        <v>0</v>
      </c>
      <c r="AC247" s="449">
        <v>113961.91</v>
      </c>
      <c r="AD247" s="449">
        <v>100</v>
      </c>
      <c r="AE247" s="449">
        <v>0</v>
      </c>
      <c r="AF247" s="449">
        <v>0</v>
      </c>
    </row>
    <row r="248" spans="1:32" ht="15">
      <c r="A248" s="140" t="str">
        <f t="shared" si="43"/>
        <v>E058</v>
      </c>
      <c r="B248" s="140" t="str">
        <f t="shared" si="42"/>
        <v>1.2.2</v>
      </c>
      <c r="C248" s="140" t="str">
        <f t="shared" si="74"/>
        <v>E058-P2039</v>
      </c>
      <c r="D248" s="140">
        <v>33</v>
      </c>
      <c r="E248" s="140" t="str">
        <f t="shared" si="52"/>
        <v>21115-0107</v>
      </c>
      <c r="F248" s="140" t="str">
        <f t="shared" si="53"/>
        <v>1</v>
      </c>
      <c r="G248" s="140" t="str">
        <f t="shared" si="54"/>
        <v>1541</v>
      </c>
      <c r="H248" s="140" t="str">
        <f t="shared" si="75"/>
        <v>1.2.2/E058-P2039/33/21115-0107/1/1541  Prestaciones CGT</v>
      </c>
      <c r="I248" s="448" t="s">
        <v>2101</v>
      </c>
      <c r="J248" s="924">
        <f t="shared" si="76"/>
        <v>1512232.08</v>
      </c>
      <c r="K248" s="924">
        <f t="shared" si="77"/>
        <v>99833.19</v>
      </c>
      <c r="L248" s="925">
        <f t="shared" si="78"/>
        <v>1612065.27</v>
      </c>
      <c r="M248" s="924">
        <f t="shared" si="79"/>
        <v>1612065.27</v>
      </c>
      <c r="N248" s="924">
        <f t="shared" si="80"/>
        <v>1612065.27</v>
      </c>
      <c r="O248" s="924">
        <f t="shared" si="81"/>
        <v>1612065.27</v>
      </c>
      <c r="P248" s="924">
        <f t="shared" si="82"/>
        <v>1612065.27</v>
      </c>
      <c r="R248" s="448" t="s">
        <v>2101</v>
      </c>
      <c r="S248" s="449">
        <v>1512232.08</v>
      </c>
      <c r="T248" s="449">
        <v>301684.32</v>
      </c>
      <c r="U248" s="449">
        <v>-201851.13</v>
      </c>
      <c r="V248" s="449">
        <v>1612065.27</v>
      </c>
      <c r="W248" s="449">
        <v>0</v>
      </c>
      <c r="X248" s="449">
        <v>1612065.27</v>
      </c>
      <c r="Y248" s="449">
        <v>1612065.27</v>
      </c>
      <c r="Z248" s="449">
        <v>100</v>
      </c>
      <c r="AA248" s="449">
        <v>0</v>
      </c>
      <c r="AB248" s="449">
        <v>0</v>
      </c>
      <c r="AC248" s="449">
        <v>1612065.27</v>
      </c>
      <c r="AD248" s="449">
        <v>100</v>
      </c>
      <c r="AE248" s="449">
        <v>0</v>
      </c>
      <c r="AF248" s="449">
        <v>0</v>
      </c>
    </row>
    <row r="249" spans="1:32" ht="15">
      <c r="A249" s="140" t="str">
        <f t="shared" si="43"/>
        <v>E058</v>
      </c>
      <c r="B249" s="140" t="str">
        <f t="shared" si="42"/>
        <v>1.2.2</v>
      </c>
      <c r="C249" s="140" t="str">
        <f t="shared" si="74"/>
        <v>E058-P2039</v>
      </c>
      <c r="D249" s="140">
        <v>34</v>
      </c>
      <c r="E249" s="140" t="str">
        <f t="shared" si="52"/>
        <v>21115-0107</v>
      </c>
      <c r="F249" s="140" t="str">
        <f t="shared" si="53"/>
        <v>1</v>
      </c>
      <c r="G249" s="140" t="str">
        <f t="shared" si="54"/>
        <v>1591</v>
      </c>
      <c r="H249" s="140" t="str">
        <f t="shared" si="75"/>
        <v>1.2.2/E058-P2039/34/21115-0107/1/1591  Asign Adic sueldo</v>
      </c>
      <c r="I249" s="448" t="s">
        <v>2102</v>
      </c>
      <c r="J249" s="924">
        <f t="shared" si="76"/>
        <v>1552538.41</v>
      </c>
      <c r="K249" s="924">
        <f t="shared" si="77"/>
        <v>-47643</v>
      </c>
      <c r="L249" s="925">
        <f t="shared" si="78"/>
        <v>1504895.41</v>
      </c>
      <c r="M249" s="924">
        <f t="shared" si="79"/>
        <v>1504895.41</v>
      </c>
      <c r="N249" s="924">
        <f t="shared" si="80"/>
        <v>1504895.41</v>
      </c>
      <c r="O249" s="924">
        <f t="shared" si="81"/>
        <v>1504895.41</v>
      </c>
      <c r="P249" s="924">
        <f t="shared" si="82"/>
        <v>1504895.41</v>
      </c>
      <c r="R249" s="448" t="s">
        <v>2102</v>
      </c>
      <c r="S249" s="449">
        <v>1552538.41</v>
      </c>
      <c r="T249" s="449">
        <v>111322.65</v>
      </c>
      <c r="U249" s="449">
        <v>-158965.65</v>
      </c>
      <c r="V249" s="449">
        <v>1504895.41</v>
      </c>
      <c r="W249" s="449">
        <v>0</v>
      </c>
      <c r="X249" s="449">
        <v>1504895.41</v>
      </c>
      <c r="Y249" s="449">
        <v>1504895.41</v>
      </c>
      <c r="Z249" s="449">
        <v>100</v>
      </c>
      <c r="AA249" s="449">
        <v>0</v>
      </c>
      <c r="AB249" s="449">
        <v>0</v>
      </c>
      <c r="AC249" s="449">
        <v>1504895.41</v>
      </c>
      <c r="AD249" s="449">
        <v>100</v>
      </c>
      <c r="AE249" s="449">
        <v>0</v>
      </c>
      <c r="AF249" s="449">
        <v>0</v>
      </c>
    </row>
    <row r="250" spans="1:32" ht="15">
      <c r="A250" s="140" t="str">
        <f t="shared" si="43"/>
        <v>E058</v>
      </c>
      <c r="B250" s="140" t="str">
        <f t="shared" si="42"/>
        <v>1.2.2</v>
      </c>
      <c r="C250" s="140" t="str">
        <f t="shared" si="74"/>
        <v>E058-P2039</v>
      </c>
      <c r="D250" s="140">
        <v>35</v>
      </c>
      <c r="E250" s="140" t="str">
        <f t="shared" si="52"/>
        <v>21115-0107</v>
      </c>
      <c r="F250" s="140" t="str">
        <f t="shared" si="53"/>
        <v>1</v>
      </c>
      <c r="G250" s="140" t="str">
        <f t="shared" si="54"/>
        <v>1592</v>
      </c>
      <c r="H250" s="140" t="str">
        <f t="shared" si="75"/>
        <v>1.2.2/E058-P2039/35/21115-0107/1/1592  Otras prestaciones</v>
      </c>
      <c r="I250" s="448" t="s">
        <v>2103</v>
      </c>
      <c r="J250" s="924">
        <f t="shared" si="76"/>
        <v>55656.92</v>
      </c>
      <c r="K250" s="924">
        <f t="shared" si="77"/>
        <v>-21557.949999999997</v>
      </c>
      <c r="L250" s="925">
        <f t="shared" si="78"/>
        <v>34098.97</v>
      </c>
      <c r="M250" s="924">
        <f t="shared" si="79"/>
        <v>34098.97</v>
      </c>
      <c r="N250" s="924">
        <f t="shared" si="80"/>
        <v>34098.97</v>
      </c>
      <c r="O250" s="924">
        <f t="shared" si="81"/>
        <v>34098.97</v>
      </c>
      <c r="P250" s="924">
        <f t="shared" si="82"/>
        <v>34098.97</v>
      </c>
      <c r="R250" s="448" t="s">
        <v>2103</v>
      </c>
      <c r="S250" s="449">
        <v>55656.92</v>
      </c>
      <c r="T250" s="449">
        <v>105340.99</v>
      </c>
      <c r="U250" s="449">
        <v>-126898.94</v>
      </c>
      <c r="V250" s="449">
        <v>34098.97</v>
      </c>
      <c r="W250" s="449">
        <v>0</v>
      </c>
      <c r="X250" s="449">
        <v>34098.97</v>
      </c>
      <c r="Y250" s="449">
        <v>34098.97</v>
      </c>
      <c r="Z250" s="449">
        <v>100</v>
      </c>
      <c r="AA250" s="449">
        <v>0</v>
      </c>
      <c r="AB250" s="449">
        <v>0</v>
      </c>
      <c r="AC250" s="449">
        <v>34098.97</v>
      </c>
      <c r="AD250" s="449">
        <v>100</v>
      </c>
      <c r="AE250" s="449">
        <v>0</v>
      </c>
      <c r="AF250" s="449">
        <v>0</v>
      </c>
    </row>
    <row r="251" spans="1:32" ht="15">
      <c r="A251" s="140" t="str">
        <f t="shared" si="43"/>
        <v>E058</v>
      </c>
      <c r="B251" s="140" t="str">
        <f t="shared" si="42"/>
        <v>1.2.2</v>
      </c>
      <c r="C251" s="140" t="str">
        <f t="shared" si="74"/>
        <v>E058-P2039</v>
      </c>
      <c r="D251" s="140">
        <v>36</v>
      </c>
      <c r="E251" s="140" t="str">
        <f t="shared" si="52"/>
        <v>21115-0107</v>
      </c>
      <c r="F251" s="140" t="str">
        <f t="shared" si="53"/>
        <v>1</v>
      </c>
      <c r="G251" s="140" t="str">
        <f t="shared" si="54"/>
        <v>1611</v>
      </c>
      <c r="H251" s="140" t="str">
        <f t="shared" si="75"/>
        <v>1.2.2/E058-P2039/36/21115-0107/1/1611  Prev de carat labora</v>
      </c>
      <c r="I251" s="448" t="s">
        <v>2104</v>
      </c>
      <c r="J251" s="924">
        <f t="shared" si="76"/>
        <v>246834.14</v>
      </c>
      <c r="K251" s="924">
        <f t="shared" si="77"/>
        <v>-246834.14</v>
      </c>
      <c r="L251" s="925">
        <f t="shared" si="78"/>
        <v>0</v>
      </c>
      <c r="M251" s="924">
        <f t="shared" si="79"/>
        <v>0</v>
      </c>
      <c r="N251" s="924">
        <f t="shared" si="80"/>
        <v>0</v>
      </c>
      <c r="O251" s="924">
        <f t="shared" si="81"/>
        <v>0</v>
      </c>
      <c r="P251" s="924">
        <f t="shared" si="82"/>
        <v>0</v>
      </c>
      <c r="R251" s="448" t="s">
        <v>2104</v>
      </c>
      <c r="S251" s="449">
        <v>246834.14</v>
      </c>
      <c r="T251" s="449">
        <v>100000</v>
      </c>
      <c r="U251" s="449">
        <v>-346834.14</v>
      </c>
      <c r="V251" s="449">
        <v>0</v>
      </c>
      <c r="W251" s="450">
        <v>0</v>
      </c>
      <c r="X251" s="450">
        <v>0</v>
      </c>
      <c r="Y251" s="449">
        <v>0</v>
      </c>
      <c r="Z251" s="449">
        <v>0</v>
      </c>
      <c r="AA251" s="450">
        <v>0</v>
      </c>
      <c r="AB251" s="449">
        <v>0</v>
      </c>
      <c r="AC251" s="449">
        <v>0</v>
      </c>
      <c r="AD251" s="449">
        <v>0</v>
      </c>
      <c r="AE251" s="449">
        <v>0</v>
      </c>
      <c r="AF251" s="449">
        <v>0</v>
      </c>
    </row>
    <row r="252" spans="1:32" ht="15">
      <c r="A252" s="140" t="str">
        <f t="shared" si="43"/>
        <v>E058</v>
      </c>
      <c r="B252" s="140" t="str">
        <f t="shared" ref="B252:B261" si="83">IF((LEFT($I252,5))="**** ",MID($I252,7,5),+B251)</f>
        <v>1.2.2</v>
      </c>
      <c r="C252" s="140" t="str">
        <f t="shared" si="74"/>
        <v>E058-P2039</v>
      </c>
      <c r="D252" s="140">
        <v>37</v>
      </c>
      <c r="E252" s="140" t="str">
        <f t="shared" si="52"/>
        <v>21115-0107</v>
      </c>
      <c r="F252" s="140" t="str">
        <f t="shared" si="53"/>
        <v>1</v>
      </c>
      <c r="G252" s="140" t="str">
        <f t="shared" si="54"/>
        <v>1711</v>
      </c>
      <c r="H252" s="140" t="str">
        <f t="shared" si="75"/>
        <v>1.2.2/E058-P2039/37/21115-0107/1/1711  Estím Productividad</v>
      </c>
      <c r="I252" s="448" t="s">
        <v>2105</v>
      </c>
      <c r="J252" s="924">
        <f t="shared" si="76"/>
        <v>168774.31</v>
      </c>
      <c r="K252" s="924">
        <f t="shared" si="77"/>
        <v>-6789.3299999999581</v>
      </c>
      <c r="L252" s="925">
        <f t="shared" si="78"/>
        <v>161984.98000000001</v>
      </c>
      <c r="M252" s="924">
        <f t="shared" si="79"/>
        <v>161984.98000000001</v>
      </c>
      <c r="N252" s="924">
        <f t="shared" si="80"/>
        <v>161984.98000000001</v>
      </c>
      <c r="O252" s="924">
        <f t="shared" si="81"/>
        <v>161984.98000000001</v>
      </c>
      <c r="P252" s="924">
        <f t="shared" si="82"/>
        <v>161984.98000000001</v>
      </c>
      <c r="R252" s="448" t="s">
        <v>2105</v>
      </c>
      <c r="S252" s="449">
        <v>168774.31</v>
      </c>
      <c r="T252" s="449">
        <v>329181.28000000003</v>
      </c>
      <c r="U252" s="449">
        <v>-335970.61</v>
      </c>
      <c r="V252" s="449">
        <v>161984.98000000001</v>
      </c>
      <c r="W252" s="449">
        <v>0</v>
      </c>
      <c r="X252" s="449">
        <v>161984.98000000001</v>
      </c>
      <c r="Y252" s="449">
        <v>161984.98000000001</v>
      </c>
      <c r="Z252" s="449">
        <v>100</v>
      </c>
      <c r="AA252" s="449">
        <v>0</v>
      </c>
      <c r="AB252" s="449">
        <v>0</v>
      </c>
      <c r="AC252" s="449">
        <v>161984.98000000001</v>
      </c>
      <c r="AD252" s="449">
        <v>100</v>
      </c>
      <c r="AE252" s="449">
        <v>0</v>
      </c>
      <c r="AF252" s="449">
        <v>0</v>
      </c>
    </row>
    <row r="253" spans="1:32" ht="15">
      <c r="A253" s="140" t="str">
        <f t="shared" si="43"/>
        <v>E058</v>
      </c>
      <c r="B253" s="140" t="str">
        <f t="shared" si="83"/>
        <v>1.2.2</v>
      </c>
      <c r="C253" s="140" t="str">
        <f t="shared" ref="C253:C261" si="84">IF((LEFT($I253,4))="*** ",A253&amp;"-"&amp;MID($I253,7,5),+C252)</f>
        <v>E058-P2039</v>
      </c>
      <c r="D253" s="140">
        <v>38</v>
      </c>
      <c r="E253" s="140" t="str">
        <f t="shared" si="52"/>
        <v>21115-0107</v>
      </c>
      <c r="F253" s="140" t="str">
        <f t="shared" si="53"/>
        <v>1</v>
      </c>
      <c r="G253" s="140" t="str">
        <f t="shared" si="54"/>
        <v>1712</v>
      </c>
      <c r="H253" s="140" t="str">
        <f t="shared" ref="H253:H261" si="85">IF((LEFT($I253,1))=" ",B253&amp;"/"&amp;C253&amp;"/"&amp;D253&amp;"/"&amp;E253&amp;"/"&amp;F253&amp;"/"&amp;MID($I253,7,50),"")</f>
        <v>1.2.2/E058-P2039/38/21115-0107/1/1712  Estím Personal Oper</v>
      </c>
      <c r="I253" s="448" t="s">
        <v>2106</v>
      </c>
      <c r="J253" s="924">
        <f t="shared" ref="J253:J261" si="86">+S253</f>
        <v>4077.3</v>
      </c>
      <c r="K253" s="924">
        <f t="shared" ref="K253:K261" si="87">+T253+U253</f>
        <v>36.180000000000007</v>
      </c>
      <c r="L253" s="925">
        <f t="shared" ref="L253:L261" si="88">+V253</f>
        <v>4113.4799999999996</v>
      </c>
      <c r="M253" s="924">
        <f t="shared" ref="M253:M261" si="89">+AA253+N253</f>
        <v>4113.4799999999996</v>
      </c>
      <c r="N253" s="924">
        <f t="shared" ref="N253:N261" si="90">+W253+P253</f>
        <v>4113.4799999999996</v>
      </c>
      <c r="O253" s="924">
        <f t="shared" ref="O253:O261" si="91">+W253+P253</f>
        <v>4113.4799999999996</v>
      </c>
      <c r="P253" s="924">
        <f t="shared" ref="P253:P261" si="92">+X253</f>
        <v>4113.4799999999996</v>
      </c>
      <c r="R253" s="448" t="s">
        <v>2106</v>
      </c>
      <c r="S253" s="449">
        <v>4077.3</v>
      </c>
      <c r="T253" s="449">
        <v>106</v>
      </c>
      <c r="U253" s="449">
        <v>-69.819999999999993</v>
      </c>
      <c r="V253" s="449">
        <v>4113.4799999999996</v>
      </c>
      <c r="W253" s="449">
        <v>0</v>
      </c>
      <c r="X253" s="449">
        <v>4113.4799999999996</v>
      </c>
      <c r="Y253" s="449">
        <v>4113.4799999999996</v>
      </c>
      <c r="Z253" s="449">
        <v>100</v>
      </c>
      <c r="AA253" s="449">
        <v>0</v>
      </c>
      <c r="AB253" s="449">
        <v>0</v>
      </c>
      <c r="AC253" s="449">
        <v>4113.4799999999996</v>
      </c>
      <c r="AD253" s="449">
        <v>100</v>
      </c>
      <c r="AE253" s="449">
        <v>0</v>
      </c>
      <c r="AF253" s="449">
        <v>0</v>
      </c>
    </row>
    <row r="254" spans="1:32" ht="15">
      <c r="A254" s="140" t="str">
        <f t="shared" si="43"/>
        <v>E058</v>
      </c>
      <c r="B254" s="140" t="str">
        <f t="shared" si="83"/>
        <v>1.2.2</v>
      </c>
      <c r="C254" s="140" t="str">
        <f t="shared" si="84"/>
        <v>E058-P2039</v>
      </c>
      <c r="D254" s="140">
        <v>39</v>
      </c>
      <c r="E254" s="140" t="str">
        <f t="shared" si="52"/>
        <v>21115-0107</v>
      </c>
      <c r="F254" s="140" t="str">
        <f t="shared" si="53"/>
        <v>1</v>
      </c>
      <c r="G254" s="140" t="str">
        <f t="shared" si="54"/>
        <v>2611</v>
      </c>
      <c r="H254" s="140" t="str">
        <f t="shared" si="85"/>
        <v>1.2.2/E058-P2039/39/21115-0107/1/2611  Combus p Seg pub</v>
      </c>
      <c r="I254" s="448" t="s">
        <v>2982</v>
      </c>
      <c r="J254" s="924">
        <f t="shared" si="86"/>
        <v>0</v>
      </c>
      <c r="K254" s="924">
        <f t="shared" si="87"/>
        <v>0</v>
      </c>
      <c r="L254" s="925">
        <f t="shared" si="88"/>
        <v>0</v>
      </c>
      <c r="M254" s="924">
        <f t="shared" si="89"/>
        <v>0</v>
      </c>
      <c r="N254" s="924">
        <f t="shared" si="90"/>
        <v>0</v>
      </c>
      <c r="O254" s="924">
        <f t="shared" si="91"/>
        <v>0</v>
      </c>
      <c r="P254" s="924">
        <f t="shared" si="92"/>
        <v>0</v>
      </c>
      <c r="R254" s="448" t="s">
        <v>2982</v>
      </c>
      <c r="S254" s="449">
        <v>0</v>
      </c>
      <c r="T254" s="449">
        <v>168970.37</v>
      </c>
      <c r="U254" s="449">
        <v>-168970.37</v>
      </c>
      <c r="V254" s="449">
        <v>0</v>
      </c>
      <c r="W254" s="450">
        <v>0</v>
      </c>
      <c r="X254" s="450">
        <v>0</v>
      </c>
      <c r="Y254" s="449">
        <v>0</v>
      </c>
      <c r="Z254" s="449">
        <v>0</v>
      </c>
      <c r="AA254" s="450">
        <v>0</v>
      </c>
      <c r="AB254" s="449">
        <v>0</v>
      </c>
      <c r="AC254" s="449">
        <v>0</v>
      </c>
      <c r="AD254" s="449">
        <v>0</v>
      </c>
      <c r="AE254" s="449">
        <v>0</v>
      </c>
      <c r="AF254" s="449">
        <v>0</v>
      </c>
    </row>
    <row r="255" spans="1:32" ht="15">
      <c r="A255" s="140" t="str">
        <f t="shared" si="43"/>
        <v>E058</v>
      </c>
      <c r="B255" s="140" t="str">
        <f t="shared" si="83"/>
        <v>1.2.2</v>
      </c>
      <c r="C255" s="140" t="str">
        <f t="shared" si="84"/>
        <v>E058-P2039</v>
      </c>
      <c r="D255" s="140">
        <v>40</v>
      </c>
      <c r="E255" s="140" t="str">
        <f t="shared" si="52"/>
        <v>21115-0107</v>
      </c>
      <c r="F255" s="140" t="str">
        <f t="shared" si="53"/>
        <v>1</v>
      </c>
      <c r="G255" s="140" t="str">
        <f t="shared" si="54"/>
        <v>2612</v>
      </c>
      <c r="H255" s="140" t="str">
        <f t="shared" si="85"/>
        <v>1.2.2/E058-P2039/40/21115-0107/1/2612  Combus p Serv pub</v>
      </c>
      <c r="I255" s="448" t="s">
        <v>2118</v>
      </c>
      <c r="J255" s="924">
        <f t="shared" si="86"/>
        <v>184331.32</v>
      </c>
      <c r="K255" s="924">
        <f t="shared" si="87"/>
        <v>-19019.75999999998</v>
      </c>
      <c r="L255" s="925">
        <f t="shared" si="88"/>
        <v>165311.56</v>
      </c>
      <c r="M255" s="924">
        <f t="shared" si="89"/>
        <v>165311.56</v>
      </c>
      <c r="N255" s="924">
        <f t="shared" si="90"/>
        <v>165311.56</v>
      </c>
      <c r="O255" s="924">
        <f t="shared" si="91"/>
        <v>165311.56</v>
      </c>
      <c r="P255" s="924">
        <f t="shared" si="92"/>
        <v>165311.56</v>
      </c>
      <c r="R255" s="448" t="s">
        <v>2118</v>
      </c>
      <c r="S255" s="449">
        <v>184331.32</v>
      </c>
      <c r="T255" s="449">
        <v>184331.32</v>
      </c>
      <c r="U255" s="449">
        <v>-203351.08</v>
      </c>
      <c r="V255" s="449">
        <v>165311.56</v>
      </c>
      <c r="W255" s="449">
        <v>0</v>
      </c>
      <c r="X255" s="449">
        <v>165311.56</v>
      </c>
      <c r="Y255" s="449">
        <v>165311.56</v>
      </c>
      <c r="Z255" s="449">
        <v>100</v>
      </c>
      <c r="AA255" s="449">
        <v>0</v>
      </c>
      <c r="AB255" s="449">
        <v>0</v>
      </c>
      <c r="AC255" s="449">
        <v>165311.56</v>
      </c>
      <c r="AD255" s="449">
        <v>100</v>
      </c>
      <c r="AE255" s="449">
        <v>0</v>
      </c>
      <c r="AF255" s="449">
        <v>0</v>
      </c>
    </row>
    <row r="256" spans="1:32" ht="15">
      <c r="A256" s="140" t="str">
        <f t="shared" si="43"/>
        <v>E058</v>
      </c>
      <c r="B256" s="140" t="str">
        <f t="shared" si="83"/>
        <v>1.2.2</v>
      </c>
      <c r="C256" s="140" t="str">
        <f t="shared" si="84"/>
        <v>E058-P2039</v>
      </c>
      <c r="D256" s="140">
        <v>41</v>
      </c>
      <c r="E256" s="140" t="str">
        <f t="shared" si="52"/>
        <v>21115-0107</v>
      </c>
      <c r="F256" s="140" t="str">
        <f t="shared" si="53"/>
        <v>1</v>
      </c>
      <c r="G256" s="140" t="str">
        <f t="shared" si="54"/>
        <v>3111</v>
      </c>
      <c r="H256" s="140" t="str">
        <f t="shared" si="85"/>
        <v>1.2.2/E058-P2039/41/21115-0107/1/3111  Servicio de energía eléctrica</v>
      </c>
      <c r="I256" s="448" t="s">
        <v>2124</v>
      </c>
      <c r="J256" s="924">
        <f t="shared" si="86"/>
        <v>32774.89</v>
      </c>
      <c r="K256" s="924">
        <f t="shared" si="87"/>
        <v>-23535.89</v>
      </c>
      <c r="L256" s="925">
        <f t="shared" si="88"/>
        <v>9239</v>
      </c>
      <c r="M256" s="924">
        <f t="shared" si="89"/>
        <v>9239</v>
      </c>
      <c r="N256" s="924">
        <f t="shared" si="90"/>
        <v>9239</v>
      </c>
      <c r="O256" s="924">
        <f t="shared" si="91"/>
        <v>9239</v>
      </c>
      <c r="P256" s="924">
        <f t="shared" si="92"/>
        <v>9239</v>
      </c>
      <c r="R256" s="448" t="s">
        <v>2124</v>
      </c>
      <c r="S256" s="449">
        <v>32774.89</v>
      </c>
      <c r="T256" s="449">
        <v>50094.28</v>
      </c>
      <c r="U256" s="449">
        <v>-73630.17</v>
      </c>
      <c r="V256" s="449">
        <v>9239</v>
      </c>
      <c r="W256" s="449">
        <v>0</v>
      </c>
      <c r="X256" s="449">
        <v>9239</v>
      </c>
      <c r="Y256" s="449">
        <v>9239</v>
      </c>
      <c r="Z256" s="449">
        <v>100</v>
      </c>
      <c r="AA256" s="450">
        <v>0</v>
      </c>
      <c r="AB256" s="449">
        <v>0</v>
      </c>
      <c r="AC256" s="449">
        <v>9239</v>
      </c>
      <c r="AD256" s="449">
        <v>100</v>
      </c>
      <c r="AE256" s="449">
        <v>0</v>
      </c>
      <c r="AF256" s="449">
        <v>0</v>
      </c>
    </row>
    <row r="257" spans="1:32" ht="15">
      <c r="A257" s="140" t="str">
        <f t="shared" si="43"/>
        <v>E058</v>
      </c>
      <c r="B257" s="140" t="str">
        <f t="shared" si="83"/>
        <v>1.2.2</v>
      </c>
      <c r="C257" s="140" t="str">
        <f t="shared" si="84"/>
        <v>E058-P2039</v>
      </c>
      <c r="D257" s="140">
        <v>42</v>
      </c>
      <c r="E257" s="140" t="str">
        <f t="shared" si="52"/>
        <v>21115-0107</v>
      </c>
      <c r="F257" s="140" t="str">
        <f t="shared" si="53"/>
        <v>1</v>
      </c>
      <c r="G257" s="140" t="str">
        <f t="shared" si="54"/>
        <v>3221</v>
      </c>
      <c r="H257" s="140" t="str">
        <f t="shared" si="85"/>
        <v>1.2.2/E058-P2039/42/21115-0107/1/3221  Arrendam Edificios</v>
      </c>
      <c r="I257" s="448" t="s">
        <v>2130</v>
      </c>
      <c r="J257" s="924">
        <f t="shared" si="86"/>
        <v>725011.48</v>
      </c>
      <c r="K257" s="924">
        <f t="shared" si="87"/>
        <v>-48130.780000000028</v>
      </c>
      <c r="L257" s="925">
        <f t="shared" si="88"/>
        <v>676880.7</v>
      </c>
      <c r="M257" s="924">
        <f t="shared" si="89"/>
        <v>676880.7</v>
      </c>
      <c r="N257" s="924">
        <f t="shared" si="90"/>
        <v>676880.7</v>
      </c>
      <c r="O257" s="924">
        <f t="shared" si="91"/>
        <v>676880.7</v>
      </c>
      <c r="P257" s="924">
        <f t="shared" si="92"/>
        <v>676880.7</v>
      </c>
      <c r="R257" s="448" t="s">
        <v>2130</v>
      </c>
      <c r="S257" s="449">
        <v>725011.48</v>
      </c>
      <c r="T257" s="449">
        <v>1262759.31</v>
      </c>
      <c r="U257" s="449">
        <v>-1310890.0900000001</v>
      </c>
      <c r="V257" s="449">
        <v>676880.7</v>
      </c>
      <c r="W257" s="449">
        <v>0</v>
      </c>
      <c r="X257" s="449">
        <v>676880.7</v>
      </c>
      <c r="Y257" s="449">
        <v>676880.7</v>
      </c>
      <c r="Z257" s="449">
        <v>100</v>
      </c>
      <c r="AA257" s="449">
        <v>0</v>
      </c>
      <c r="AB257" s="449">
        <v>0</v>
      </c>
      <c r="AC257" s="449">
        <v>676880.7</v>
      </c>
      <c r="AD257" s="449">
        <v>100</v>
      </c>
      <c r="AE257" s="449">
        <v>0</v>
      </c>
      <c r="AF257" s="449">
        <v>0</v>
      </c>
    </row>
    <row r="258" spans="1:32" ht="15">
      <c r="A258" s="140" t="str">
        <f t="shared" si="43"/>
        <v>E058</v>
      </c>
      <c r="B258" s="140" t="str">
        <f t="shared" si="83"/>
        <v>1.2.2</v>
      </c>
      <c r="C258" s="140" t="str">
        <f t="shared" si="84"/>
        <v>E058-P2039</v>
      </c>
      <c r="D258" s="140">
        <v>43</v>
      </c>
      <c r="E258" s="140" t="str">
        <f t="shared" si="52"/>
        <v>21115-0107</v>
      </c>
      <c r="F258" s="140" t="str">
        <f t="shared" si="53"/>
        <v>1</v>
      </c>
      <c r="G258" s="140" t="str">
        <f t="shared" si="54"/>
        <v>3551</v>
      </c>
      <c r="H258" s="140" t="str">
        <f t="shared" si="85"/>
        <v>1.2.2/E058-P2039/43/21115-0107/1/3551  Mantto Vehíc</v>
      </c>
      <c r="I258" s="448" t="s">
        <v>2147</v>
      </c>
      <c r="J258" s="924">
        <f t="shared" si="86"/>
        <v>68244.600000000006</v>
      </c>
      <c r="K258" s="924">
        <f t="shared" si="87"/>
        <v>39830.720000000001</v>
      </c>
      <c r="L258" s="925">
        <f t="shared" si="88"/>
        <v>108075.32</v>
      </c>
      <c r="M258" s="924">
        <f t="shared" si="89"/>
        <v>108075.32</v>
      </c>
      <c r="N258" s="924">
        <f t="shared" si="90"/>
        <v>108075.32</v>
      </c>
      <c r="O258" s="924">
        <f t="shared" si="91"/>
        <v>108075.32</v>
      </c>
      <c r="P258" s="924">
        <f t="shared" si="92"/>
        <v>108075.32</v>
      </c>
      <c r="R258" s="448" t="s">
        <v>2147</v>
      </c>
      <c r="S258" s="449">
        <v>68244.600000000006</v>
      </c>
      <c r="T258" s="449">
        <v>91232.72</v>
      </c>
      <c r="U258" s="449">
        <v>-51402</v>
      </c>
      <c r="V258" s="449">
        <v>108075.32</v>
      </c>
      <c r="W258" s="449">
        <v>0</v>
      </c>
      <c r="X258" s="449">
        <v>108075.32</v>
      </c>
      <c r="Y258" s="449">
        <v>108075.32</v>
      </c>
      <c r="Z258" s="449">
        <v>100</v>
      </c>
      <c r="AA258" s="450">
        <v>0</v>
      </c>
      <c r="AB258" s="449">
        <v>0</v>
      </c>
      <c r="AC258" s="449">
        <v>108075.32</v>
      </c>
      <c r="AD258" s="449">
        <v>100</v>
      </c>
      <c r="AE258" s="449">
        <v>0</v>
      </c>
      <c r="AF258" s="449">
        <v>0</v>
      </c>
    </row>
    <row r="259" spans="1:32" ht="15">
      <c r="A259" s="140" t="str">
        <f t="shared" ref="A259:A261" si="93">IF((LEFT($I259,6))="***** ","E001",+A258)</f>
        <v>E058</v>
      </c>
      <c r="B259" s="140" t="str">
        <f t="shared" si="83"/>
        <v>1.2.2</v>
      </c>
      <c r="C259" s="140" t="str">
        <f t="shared" si="84"/>
        <v>E058-P2039</v>
      </c>
      <c r="D259" s="140">
        <v>44</v>
      </c>
      <c r="E259" s="140" t="str">
        <f t="shared" si="52"/>
        <v>21115-0107</v>
      </c>
      <c r="F259" s="140" t="str">
        <f t="shared" si="53"/>
        <v>1</v>
      </c>
      <c r="G259" s="140" t="str">
        <f t="shared" si="54"/>
        <v>3721</v>
      </c>
      <c r="H259" s="140" t="str">
        <f t="shared" si="85"/>
        <v>1.2.2/E058-P2039/44/21115-0107/1/3721  Pasajes terr Nac</v>
      </c>
      <c r="I259" s="448" t="s">
        <v>2156</v>
      </c>
      <c r="J259" s="924">
        <f t="shared" si="86"/>
        <v>9756.68</v>
      </c>
      <c r="K259" s="924">
        <f t="shared" si="87"/>
        <v>3851.59</v>
      </c>
      <c r="L259" s="925">
        <f t="shared" si="88"/>
        <v>13608.27</v>
      </c>
      <c r="M259" s="924">
        <f t="shared" si="89"/>
        <v>13608.27</v>
      </c>
      <c r="N259" s="924">
        <f t="shared" si="90"/>
        <v>13608.27</v>
      </c>
      <c r="O259" s="924">
        <f t="shared" si="91"/>
        <v>13608.27</v>
      </c>
      <c r="P259" s="924">
        <f t="shared" si="92"/>
        <v>13608.27</v>
      </c>
      <c r="R259" s="448" t="s">
        <v>2156</v>
      </c>
      <c r="S259" s="449">
        <v>9756.68</v>
      </c>
      <c r="T259" s="449">
        <v>22246.44</v>
      </c>
      <c r="U259" s="449">
        <v>-18394.849999999999</v>
      </c>
      <c r="V259" s="449">
        <v>13608.27</v>
      </c>
      <c r="W259" s="449">
        <v>0</v>
      </c>
      <c r="X259" s="449">
        <v>13608.27</v>
      </c>
      <c r="Y259" s="449">
        <v>13608.27</v>
      </c>
      <c r="Z259" s="449">
        <v>100</v>
      </c>
      <c r="AA259" s="450">
        <v>0</v>
      </c>
      <c r="AB259" s="449">
        <v>0</v>
      </c>
      <c r="AC259" s="449">
        <v>13608.27</v>
      </c>
      <c r="AD259" s="449">
        <v>100</v>
      </c>
      <c r="AE259" s="449">
        <v>0</v>
      </c>
      <c r="AF259" s="449">
        <v>0</v>
      </c>
    </row>
    <row r="260" spans="1:32" ht="15">
      <c r="A260" s="140" t="str">
        <f t="shared" si="93"/>
        <v>E058</v>
      </c>
      <c r="B260" s="140" t="str">
        <f t="shared" si="83"/>
        <v>1.2.2</v>
      </c>
      <c r="C260" s="140" t="str">
        <f t="shared" si="84"/>
        <v>E058-P2039</v>
      </c>
      <c r="D260" s="140">
        <v>45</v>
      </c>
      <c r="E260" s="140" t="str">
        <f t="shared" ref="E260:E261" si="94">IF((LEFT($I260,2))="* ",MID($I260,7,10),+E259)</f>
        <v>21115-0107</v>
      </c>
      <c r="F260" s="140" t="str">
        <f t="shared" ref="F260:F261" si="95">IF((LEFT($G260,1))="5","2","1")</f>
        <v>1</v>
      </c>
      <c r="G260" s="140" t="str">
        <f t="shared" ref="G260:G261" si="96">IF((LEFT($I260,1))=" ",MID($I260,7,4),"")</f>
        <v>3751</v>
      </c>
      <c r="H260" s="140" t="str">
        <f t="shared" si="85"/>
        <v>1.2.2/E058-P2039/45/21115-0107/1/3751  Viáticos nacionales</v>
      </c>
      <c r="I260" s="448" t="s">
        <v>2157</v>
      </c>
      <c r="J260" s="924">
        <f t="shared" si="86"/>
        <v>16952.54</v>
      </c>
      <c r="K260" s="924">
        <f t="shared" si="87"/>
        <v>-16952.54</v>
      </c>
      <c r="L260" s="925">
        <f t="shared" si="88"/>
        <v>0</v>
      </c>
      <c r="M260" s="924">
        <f t="shared" si="89"/>
        <v>0</v>
      </c>
      <c r="N260" s="924">
        <f t="shared" si="90"/>
        <v>0</v>
      </c>
      <c r="O260" s="924">
        <f t="shared" si="91"/>
        <v>0</v>
      </c>
      <c r="P260" s="924">
        <f t="shared" si="92"/>
        <v>0</v>
      </c>
      <c r="R260" s="448" t="s">
        <v>2157</v>
      </c>
      <c r="S260" s="449">
        <v>16952.54</v>
      </c>
      <c r="T260" s="449">
        <v>16952.54</v>
      </c>
      <c r="U260" s="449">
        <v>-33905.08</v>
      </c>
      <c r="V260" s="449">
        <v>0</v>
      </c>
      <c r="W260" s="450">
        <v>0</v>
      </c>
      <c r="X260" s="450">
        <v>0</v>
      </c>
      <c r="Y260" s="449">
        <v>0</v>
      </c>
      <c r="Z260" s="449">
        <v>0</v>
      </c>
      <c r="AA260" s="450">
        <v>0</v>
      </c>
      <c r="AB260" s="449">
        <v>0</v>
      </c>
      <c r="AC260" s="449">
        <v>0</v>
      </c>
      <c r="AD260" s="449">
        <v>0</v>
      </c>
      <c r="AE260" s="449">
        <v>0</v>
      </c>
      <c r="AF260" s="449">
        <v>0</v>
      </c>
    </row>
    <row r="261" spans="1:32" ht="15">
      <c r="A261" s="140" t="str">
        <f t="shared" si="93"/>
        <v>E058</v>
      </c>
      <c r="B261" s="140" t="str">
        <f t="shared" si="83"/>
        <v>1.2.2</v>
      </c>
      <c r="C261" s="140" t="str">
        <f t="shared" si="84"/>
        <v>E058-P2039</v>
      </c>
      <c r="D261" s="140">
        <v>46</v>
      </c>
      <c r="E261" s="140" t="str">
        <f t="shared" si="94"/>
        <v>21115-0107</v>
      </c>
      <c r="F261" s="140" t="str">
        <f t="shared" si="95"/>
        <v>1</v>
      </c>
      <c r="G261" s="140" t="str">
        <f t="shared" si="96"/>
        <v>3981</v>
      </c>
      <c r="H261" s="140" t="str">
        <f t="shared" si="85"/>
        <v>1.2.2/E058-P2039/46/21115-0107/1/3981  Impuesto sobre nóminas</v>
      </c>
      <c r="I261" s="448" t="s">
        <v>2162</v>
      </c>
      <c r="J261" s="924">
        <f t="shared" si="86"/>
        <v>119200.71</v>
      </c>
      <c r="K261" s="924">
        <f t="shared" si="87"/>
        <v>649.02000000000407</v>
      </c>
      <c r="L261" s="925">
        <f t="shared" si="88"/>
        <v>119849.73</v>
      </c>
      <c r="M261" s="924">
        <f t="shared" si="89"/>
        <v>119849.73</v>
      </c>
      <c r="N261" s="924">
        <f t="shared" si="90"/>
        <v>119849.73</v>
      </c>
      <c r="O261" s="924">
        <f t="shared" si="91"/>
        <v>119849.73</v>
      </c>
      <c r="P261" s="924">
        <f t="shared" si="92"/>
        <v>119849.73</v>
      </c>
      <c r="R261" s="448" t="s">
        <v>2162</v>
      </c>
      <c r="S261" s="449">
        <v>119200.71</v>
      </c>
      <c r="T261" s="449">
        <v>59075.29</v>
      </c>
      <c r="U261" s="449">
        <v>-58426.27</v>
      </c>
      <c r="V261" s="449">
        <v>119849.73</v>
      </c>
      <c r="W261" s="449">
        <v>0</v>
      </c>
      <c r="X261" s="449">
        <v>119849.73</v>
      </c>
      <c r="Y261" s="449">
        <v>119849.73</v>
      </c>
      <c r="Z261" s="449">
        <v>100</v>
      </c>
      <c r="AA261" s="449">
        <v>0</v>
      </c>
      <c r="AB261" s="449">
        <v>0</v>
      </c>
      <c r="AC261" s="449">
        <v>119849.73</v>
      </c>
      <c r="AD261" s="449">
        <v>100</v>
      </c>
      <c r="AE261" s="449">
        <v>0</v>
      </c>
      <c r="AF261" s="449">
        <v>0</v>
      </c>
    </row>
  </sheetData>
  <autoFilter ref="A1:P261">
    <filterColumn colId="8">
      <colorFilter dxfId="0"/>
    </filterColumn>
  </autoFilter>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5"/>
  <sheetViews>
    <sheetView showGridLines="0" workbookViewId="0">
      <pane ySplit="2" topLeftCell="A3" activePane="bottomLeft" state="frozen"/>
      <selection pane="bottomLeft" activeCell="A24" sqref="A24"/>
    </sheetView>
  </sheetViews>
  <sheetFormatPr baseColWidth="10" defaultColWidth="9.28515625" defaultRowHeight="11.25"/>
  <cols>
    <col min="1" max="1" width="5.42578125" style="391" bestFit="1" customWidth="1"/>
    <col min="2" max="2" width="8.7109375" style="391" bestFit="1" customWidth="1"/>
    <col min="3" max="3" width="3.5703125" style="391" bestFit="1" customWidth="1"/>
    <col min="4" max="4" width="8.42578125" style="391" customWidth="1"/>
    <col min="5" max="5" width="3.7109375" style="391" bestFit="1" customWidth="1"/>
    <col min="6" max="6" width="4" style="391" bestFit="1" customWidth="1"/>
    <col min="7" max="7" width="56.7109375" style="4" customWidth="1"/>
    <col min="8" max="8" width="14.28515625" style="225" customWidth="1"/>
    <col min="9" max="9" width="13" style="225" customWidth="1"/>
    <col min="10" max="15" width="14.28515625" style="225" customWidth="1"/>
    <col min="16" max="256" width="9.28515625" style="4"/>
    <col min="257" max="259" width="3.7109375" style="4" customWidth="1"/>
    <col min="260" max="261" width="7.140625" style="4" customWidth="1"/>
    <col min="262" max="262" width="6.28515625" style="4" bestFit="1" customWidth="1"/>
    <col min="263" max="263" width="56.7109375" style="4" customWidth="1"/>
    <col min="264" max="264" width="14.28515625" style="4" customWidth="1"/>
    <col min="265" max="265" width="13" style="4" customWidth="1"/>
    <col min="266" max="271" width="14.28515625" style="4" customWidth="1"/>
    <col min="272" max="512" width="9.28515625" style="4"/>
    <col min="513" max="515" width="3.7109375" style="4" customWidth="1"/>
    <col min="516" max="517" width="7.140625" style="4" customWidth="1"/>
    <col min="518" max="518" width="6.28515625" style="4" bestFit="1" customWidth="1"/>
    <col min="519" max="519" width="56.7109375" style="4" customWidth="1"/>
    <col min="520" max="520" width="14.28515625" style="4" customWidth="1"/>
    <col min="521" max="521" width="13" style="4" customWidth="1"/>
    <col min="522" max="527" width="14.28515625" style="4" customWidth="1"/>
    <col min="528" max="768" width="9.28515625" style="4"/>
    <col min="769" max="771" width="3.7109375" style="4" customWidth="1"/>
    <col min="772" max="773" width="7.140625" style="4" customWidth="1"/>
    <col min="774" max="774" width="6.28515625" style="4" bestFit="1" customWidth="1"/>
    <col min="775" max="775" width="56.7109375" style="4" customWidth="1"/>
    <col min="776" max="776" width="14.28515625" style="4" customWidth="1"/>
    <col min="777" max="777" width="13" style="4" customWidth="1"/>
    <col min="778" max="783" width="14.28515625" style="4" customWidth="1"/>
    <col min="784" max="1024" width="9.28515625" style="4"/>
    <col min="1025" max="1027" width="3.7109375" style="4" customWidth="1"/>
    <col min="1028" max="1029" width="7.140625" style="4" customWidth="1"/>
    <col min="1030" max="1030" width="6.28515625" style="4" bestFit="1" customWidth="1"/>
    <col min="1031" max="1031" width="56.7109375" style="4" customWidth="1"/>
    <col min="1032" max="1032" width="14.28515625" style="4" customWidth="1"/>
    <col min="1033" max="1033" width="13" style="4" customWidth="1"/>
    <col min="1034" max="1039" width="14.28515625" style="4" customWidth="1"/>
    <col min="1040" max="1280" width="9.28515625" style="4"/>
    <col min="1281" max="1283" width="3.7109375" style="4" customWidth="1"/>
    <col min="1284" max="1285" width="7.140625" style="4" customWidth="1"/>
    <col min="1286" max="1286" width="6.28515625" style="4" bestFit="1" customWidth="1"/>
    <col min="1287" max="1287" width="56.7109375" style="4" customWidth="1"/>
    <col min="1288" max="1288" width="14.28515625" style="4" customWidth="1"/>
    <col min="1289" max="1289" width="13" style="4" customWidth="1"/>
    <col min="1290" max="1295" width="14.28515625" style="4" customWidth="1"/>
    <col min="1296" max="1536" width="9.28515625" style="4"/>
    <col min="1537" max="1539" width="3.7109375" style="4" customWidth="1"/>
    <col min="1540" max="1541" width="7.140625" style="4" customWidth="1"/>
    <col min="1542" max="1542" width="6.28515625" style="4" bestFit="1" customWidth="1"/>
    <col min="1543" max="1543" width="56.7109375" style="4" customWidth="1"/>
    <col min="1544" max="1544" width="14.28515625" style="4" customWidth="1"/>
    <col min="1545" max="1545" width="13" style="4" customWidth="1"/>
    <col min="1546" max="1551" width="14.28515625" style="4" customWidth="1"/>
    <col min="1552" max="1792" width="9.28515625" style="4"/>
    <col min="1793" max="1795" width="3.7109375" style="4" customWidth="1"/>
    <col min="1796" max="1797" width="7.140625" style="4" customWidth="1"/>
    <col min="1798" max="1798" width="6.28515625" style="4" bestFit="1" customWidth="1"/>
    <col min="1799" max="1799" width="56.7109375" style="4" customWidth="1"/>
    <col min="1800" max="1800" width="14.28515625" style="4" customWidth="1"/>
    <col min="1801" max="1801" width="13" style="4" customWidth="1"/>
    <col min="1802" max="1807" width="14.28515625" style="4" customWidth="1"/>
    <col min="1808" max="2048" width="9.28515625" style="4"/>
    <col min="2049" max="2051" width="3.7109375" style="4" customWidth="1"/>
    <col min="2052" max="2053" width="7.140625" style="4" customWidth="1"/>
    <col min="2054" max="2054" width="6.28515625" style="4" bestFit="1" customWidth="1"/>
    <col min="2055" max="2055" width="56.7109375" style="4" customWidth="1"/>
    <col min="2056" max="2056" width="14.28515625" style="4" customWidth="1"/>
    <col min="2057" max="2057" width="13" style="4" customWidth="1"/>
    <col min="2058" max="2063" width="14.28515625" style="4" customWidth="1"/>
    <col min="2064" max="2304" width="9.28515625" style="4"/>
    <col min="2305" max="2307" width="3.7109375" style="4" customWidth="1"/>
    <col min="2308" max="2309" width="7.140625" style="4" customWidth="1"/>
    <col min="2310" max="2310" width="6.28515625" style="4" bestFit="1" customWidth="1"/>
    <col min="2311" max="2311" width="56.7109375" style="4" customWidth="1"/>
    <col min="2312" max="2312" width="14.28515625" style="4" customWidth="1"/>
    <col min="2313" max="2313" width="13" style="4" customWidth="1"/>
    <col min="2314" max="2319" width="14.28515625" style="4" customWidth="1"/>
    <col min="2320" max="2560" width="9.28515625" style="4"/>
    <col min="2561" max="2563" width="3.7109375" style="4" customWidth="1"/>
    <col min="2564" max="2565" width="7.140625" style="4" customWidth="1"/>
    <col min="2566" max="2566" width="6.28515625" style="4" bestFit="1" customWidth="1"/>
    <col min="2567" max="2567" width="56.7109375" style="4" customWidth="1"/>
    <col min="2568" max="2568" width="14.28515625" style="4" customWidth="1"/>
    <col min="2569" max="2569" width="13" style="4" customWidth="1"/>
    <col min="2570" max="2575" width="14.28515625" style="4" customWidth="1"/>
    <col min="2576" max="2816" width="9.28515625" style="4"/>
    <col min="2817" max="2819" width="3.7109375" style="4" customWidth="1"/>
    <col min="2820" max="2821" width="7.140625" style="4" customWidth="1"/>
    <col min="2822" max="2822" width="6.28515625" style="4" bestFit="1" customWidth="1"/>
    <col min="2823" max="2823" width="56.7109375" style="4" customWidth="1"/>
    <col min="2824" max="2824" width="14.28515625" style="4" customWidth="1"/>
    <col min="2825" max="2825" width="13" style="4" customWidth="1"/>
    <col min="2826" max="2831" width="14.28515625" style="4" customWidth="1"/>
    <col min="2832" max="3072" width="9.28515625" style="4"/>
    <col min="3073" max="3075" width="3.7109375" style="4" customWidth="1"/>
    <col min="3076" max="3077" width="7.140625" style="4" customWidth="1"/>
    <col min="3078" max="3078" width="6.28515625" style="4" bestFit="1" customWidth="1"/>
    <col min="3079" max="3079" width="56.7109375" style="4" customWidth="1"/>
    <col min="3080" max="3080" width="14.28515625" style="4" customWidth="1"/>
    <col min="3081" max="3081" width="13" style="4" customWidth="1"/>
    <col min="3082" max="3087" width="14.28515625" style="4" customWidth="1"/>
    <col min="3088" max="3328" width="9.28515625" style="4"/>
    <col min="3329" max="3331" width="3.7109375" style="4" customWidth="1"/>
    <col min="3332" max="3333" width="7.140625" style="4" customWidth="1"/>
    <col min="3334" max="3334" width="6.28515625" style="4" bestFit="1" customWidth="1"/>
    <col min="3335" max="3335" width="56.7109375" style="4" customWidth="1"/>
    <col min="3336" max="3336" width="14.28515625" style="4" customWidth="1"/>
    <col min="3337" max="3337" width="13" style="4" customWidth="1"/>
    <col min="3338" max="3343" width="14.28515625" style="4" customWidth="1"/>
    <col min="3344" max="3584" width="9.28515625" style="4"/>
    <col min="3585" max="3587" width="3.7109375" style="4" customWidth="1"/>
    <col min="3588" max="3589" width="7.140625" style="4" customWidth="1"/>
    <col min="3590" max="3590" width="6.28515625" style="4" bestFit="1" customWidth="1"/>
    <col min="3591" max="3591" width="56.7109375" style="4" customWidth="1"/>
    <col min="3592" max="3592" width="14.28515625" style="4" customWidth="1"/>
    <col min="3593" max="3593" width="13" style="4" customWidth="1"/>
    <col min="3594" max="3599" width="14.28515625" style="4" customWidth="1"/>
    <col min="3600" max="3840" width="9.28515625" style="4"/>
    <col min="3841" max="3843" width="3.7109375" style="4" customWidth="1"/>
    <col min="3844" max="3845" width="7.140625" style="4" customWidth="1"/>
    <col min="3846" max="3846" width="6.28515625" style="4" bestFit="1" customWidth="1"/>
    <col min="3847" max="3847" width="56.7109375" style="4" customWidth="1"/>
    <col min="3848" max="3848" width="14.28515625" style="4" customWidth="1"/>
    <col min="3849" max="3849" width="13" style="4" customWidth="1"/>
    <col min="3850" max="3855" width="14.28515625" style="4" customWidth="1"/>
    <col min="3856" max="4096" width="9.28515625" style="4"/>
    <col min="4097" max="4099" width="3.7109375" style="4" customWidth="1"/>
    <col min="4100" max="4101" width="7.140625" style="4" customWidth="1"/>
    <col min="4102" max="4102" width="6.28515625" style="4" bestFit="1" customWidth="1"/>
    <col min="4103" max="4103" width="56.7109375" style="4" customWidth="1"/>
    <col min="4104" max="4104" width="14.28515625" style="4" customWidth="1"/>
    <col min="4105" max="4105" width="13" style="4" customWidth="1"/>
    <col min="4106" max="4111" width="14.28515625" style="4" customWidth="1"/>
    <col min="4112" max="4352" width="9.28515625" style="4"/>
    <col min="4353" max="4355" width="3.7109375" style="4" customWidth="1"/>
    <col min="4356" max="4357" width="7.140625" style="4" customWidth="1"/>
    <col min="4358" max="4358" width="6.28515625" style="4" bestFit="1" customWidth="1"/>
    <col min="4359" max="4359" width="56.7109375" style="4" customWidth="1"/>
    <col min="4360" max="4360" width="14.28515625" style="4" customWidth="1"/>
    <col min="4361" max="4361" width="13" style="4" customWidth="1"/>
    <col min="4362" max="4367" width="14.28515625" style="4" customWidth="1"/>
    <col min="4368" max="4608" width="9.28515625" style="4"/>
    <col min="4609" max="4611" width="3.7109375" style="4" customWidth="1"/>
    <col min="4612" max="4613" width="7.140625" style="4" customWidth="1"/>
    <col min="4614" max="4614" width="6.28515625" style="4" bestFit="1" customWidth="1"/>
    <col min="4615" max="4615" width="56.7109375" style="4" customWidth="1"/>
    <col min="4616" max="4616" width="14.28515625" style="4" customWidth="1"/>
    <col min="4617" max="4617" width="13" style="4" customWidth="1"/>
    <col min="4618" max="4623" width="14.28515625" style="4" customWidth="1"/>
    <col min="4624" max="4864" width="9.28515625" style="4"/>
    <col min="4865" max="4867" width="3.7109375" style="4" customWidth="1"/>
    <col min="4868" max="4869" width="7.140625" style="4" customWidth="1"/>
    <col min="4870" max="4870" width="6.28515625" style="4" bestFit="1" customWidth="1"/>
    <col min="4871" max="4871" width="56.7109375" style="4" customWidth="1"/>
    <col min="4872" max="4872" width="14.28515625" style="4" customWidth="1"/>
    <col min="4873" max="4873" width="13" style="4" customWidth="1"/>
    <col min="4874" max="4879" width="14.28515625" style="4" customWidth="1"/>
    <col min="4880" max="5120" width="9.28515625" style="4"/>
    <col min="5121" max="5123" width="3.7109375" style="4" customWidth="1"/>
    <col min="5124" max="5125" width="7.140625" style="4" customWidth="1"/>
    <col min="5126" max="5126" width="6.28515625" style="4" bestFit="1" customWidth="1"/>
    <col min="5127" max="5127" width="56.7109375" style="4" customWidth="1"/>
    <col min="5128" max="5128" width="14.28515625" style="4" customWidth="1"/>
    <col min="5129" max="5129" width="13" style="4" customWidth="1"/>
    <col min="5130" max="5135" width="14.28515625" style="4" customWidth="1"/>
    <col min="5136" max="5376" width="9.28515625" style="4"/>
    <col min="5377" max="5379" width="3.7109375" style="4" customWidth="1"/>
    <col min="5380" max="5381" width="7.140625" style="4" customWidth="1"/>
    <col min="5382" max="5382" width="6.28515625" style="4" bestFit="1" customWidth="1"/>
    <col min="5383" max="5383" width="56.7109375" style="4" customWidth="1"/>
    <col min="5384" max="5384" width="14.28515625" style="4" customWidth="1"/>
    <col min="5385" max="5385" width="13" style="4" customWidth="1"/>
    <col min="5386" max="5391" width="14.28515625" style="4" customWidth="1"/>
    <col min="5392" max="5632" width="9.28515625" style="4"/>
    <col min="5633" max="5635" width="3.7109375" style="4" customWidth="1"/>
    <col min="5636" max="5637" width="7.140625" style="4" customWidth="1"/>
    <col min="5638" max="5638" width="6.28515625" style="4" bestFit="1" customWidth="1"/>
    <col min="5639" max="5639" width="56.7109375" style="4" customWidth="1"/>
    <col min="5640" max="5640" width="14.28515625" style="4" customWidth="1"/>
    <col min="5641" max="5641" width="13" style="4" customWidth="1"/>
    <col min="5642" max="5647" width="14.28515625" style="4" customWidth="1"/>
    <col min="5648" max="5888" width="9.28515625" style="4"/>
    <col min="5889" max="5891" width="3.7109375" style="4" customWidth="1"/>
    <col min="5892" max="5893" width="7.140625" style="4" customWidth="1"/>
    <col min="5894" max="5894" width="6.28515625" style="4" bestFit="1" customWidth="1"/>
    <col min="5895" max="5895" width="56.7109375" style="4" customWidth="1"/>
    <col min="5896" max="5896" width="14.28515625" style="4" customWidth="1"/>
    <col min="5897" max="5897" width="13" style="4" customWidth="1"/>
    <col min="5898" max="5903" width="14.28515625" style="4" customWidth="1"/>
    <col min="5904" max="6144" width="9.28515625" style="4"/>
    <col min="6145" max="6147" width="3.7109375" style="4" customWidth="1"/>
    <col min="6148" max="6149" width="7.140625" style="4" customWidth="1"/>
    <col min="6150" max="6150" width="6.28515625" style="4" bestFit="1" customWidth="1"/>
    <col min="6151" max="6151" width="56.7109375" style="4" customWidth="1"/>
    <col min="6152" max="6152" width="14.28515625" style="4" customWidth="1"/>
    <col min="6153" max="6153" width="13" style="4" customWidth="1"/>
    <col min="6154" max="6159" width="14.28515625" style="4" customWidth="1"/>
    <col min="6160" max="6400" width="9.28515625" style="4"/>
    <col min="6401" max="6403" width="3.7109375" style="4" customWidth="1"/>
    <col min="6404" max="6405" width="7.140625" style="4" customWidth="1"/>
    <col min="6406" max="6406" width="6.28515625" style="4" bestFit="1" customWidth="1"/>
    <col min="6407" max="6407" width="56.7109375" style="4" customWidth="1"/>
    <col min="6408" max="6408" width="14.28515625" style="4" customWidth="1"/>
    <col min="6409" max="6409" width="13" style="4" customWidth="1"/>
    <col min="6410" max="6415" width="14.28515625" style="4" customWidth="1"/>
    <col min="6416" max="6656" width="9.28515625" style="4"/>
    <col min="6657" max="6659" width="3.7109375" style="4" customWidth="1"/>
    <col min="6660" max="6661" width="7.140625" style="4" customWidth="1"/>
    <col min="6662" max="6662" width="6.28515625" style="4" bestFit="1" customWidth="1"/>
    <col min="6663" max="6663" width="56.7109375" style="4" customWidth="1"/>
    <col min="6664" max="6664" width="14.28515625" style="4" customWidth="1"/>
    <col min="6665" max="6665" width="13" style="4" customWidth="1"/>
    <col min="6666" max="6671" width="14.28515625" style="4" customWidth="1"/>
    <col min="6672" max="6912" width="9.28515625" style="4"/>
    <col min="6913" max="6915" width="3.7109375" style="4" customWidth="1"/>
    <col min="6916" max="6917" width="7.140625" style="4" customWidth="1"/>
    <col min="6918" max="6918" width="6.28515625" style="4" bestFit="1" customWidth="1"/>
    <col min="6919" max="6919" width="56.7109375" style="4" customWidth="1"/>
    <col min="6920" max="6920" width="14.28515625" style="4" customWidth="1"/>
    <col min="6921" max="6921" width="13" style="4" customWidth="1"/>
    <col min="6922" max="6927" width="14.28515625" style="4" customWidth="1"/>
    <col min="6928" max="7168" width="9.28515625" style="4"/>
    <col min="7169" max="7171" width="3.7109375" style="4" customWidth="1"/>
    <col min="7172" max="7173" width="7.140625" style="4" customWidth="1"/>
    <col min="7174" max="7174" width="6.28515625" style="4" bestFit="1" customWidth="1"/>
    <col min="7175" max="7175" width="56.7109375" style="4" customWidth="1"/>
    <col min="7176" max="7176" width="14.28515625" style="4" customWidth="1"/>
    <col min="7177" max="7177" width="13" style="4" customWidth="1"/>
    <col min="7178" max="7183" width="14.28515625" style="4" customWidth="1"/>
    <col min="7184" max="7424" width="9.28515625" style="4"/>
    <col min="7425" max="7427" width="3.7109375" style="4" customWidth="1"/>
    <col min="7428" max="7429" width="7.140625" style="4" customWidth="1"/>
    <col min="7430" max="7430" width="6.28515625" style="4" bestFit="1" customWidth="1"/>
    <col min="7431" max="7431" width="56.7109375" style="4" customWidth="1"/>
    <col min="7432" max="7432" width="14.28515625" style="4" customWidth="1"/>
    <col min="7433" max="7433" width="13" style="4" customWidth="1"/>
    <col min="7434" max="7439" width="14.28515625" style="4" customWidth="1"/>
    <col min="7440" max="7680" width="9.28515625" style="4"/>
    <col min="7681" max="7683" width="3.7109375" style="4" customWidth="1"/>
    <col min="7684" max="7685" width="7.140625" style="4" customWidth="1"/>
    <col min="7686" max="7686" width="6.28515625" style="4" bestFit="1" customWidth="1"/>
    <col min="7687" max="7687" width="56.7109375" style="4" customWidth="1"/>
    <col min="7688" max="7688" width="14.28515625" style="4" customWidth="1"/>
    <col min="7689" max="7689" width="13" style="4" customWidth="1"/>
    <col min="7690" max="7695" width="14.28515625" style="4" customWidth="1"/>
    <col min="7696" max="7936" width="9.28515625" style="4"/>
    <col min="7937" max="7939" width="3.7109375" style="4" customWidth="1"/>
    <col min="7940" max="7941" width="7.140625" style="4" customWidth="1"/>
    <col min="7942" max="7942" width="6.28515625" style="4" bestFit="1" customWidth="1"/>
    <col min="7943" max="7943" width="56.7109375" style="4" customWidth="1"/>
    <col min="7944" max="7944" width="14.28515625" style="4" customWidth="1"/>
    <col min="7945" max="7945" width="13" style="4" customWidth="1"/>
    <col min="7946" max="7951" width="14.28515625" style="4" customWidth="1"/>
    <col min="7952" max="8192" width="9.28515625" style="4"/>
    <col min="8193" max="8195" width="3.7109375" style="4" customWidth="1"/>
    <col min="8196" max="8197" width="7.140625" style="4" customWidth="1"/>
    <col min="8198" max="8198" width="6.28515625" style="4" bestFit="1" customWidth="1"/>
    <col min="8199" max="8199" width="56.7109375" style="4" customWidth="1"/>
    <col min="8200" max="8200" width="14.28515625" style="4" customWidth="1"/>
    <col min="8201" max="8201" width="13" style="4" customWidth="1"/>
    <col min="8202" max="8207" width="14.28515625" style="4" customWidth="1"/>
    <col min="8208" max="8448" width="9.28515625" style="4"/>
    <col min="8449" max="8451" width="3.7109375" style="4" customWidth="1"/>
    <col min="8452" max="8453" width="7.140625" style="4" customWidth="1"/>
    <col min="8454" max="8454" width="6.28515625" style="4" bestFit="1" customWidth="1"/>
    <col min="8455" max="8455" width="56.7109375" style="4" customWidth="1"/>
    <col min="8456" max="8456" width="14.28515625" style="4" customWidth="1"/>
    <col min="8457" max="8457" width="13" style="4" customWidth="1"/>
    <col min="8458" max="8463" width="14.28515625" style="4" customWidth="1"/>
    <col min="8464" max="8704" width="9.28515625" style="4"/>
    <col min="8705" max="8707" width="3.7109375" style="4" customWidth="1"/>
    <col min="8708" max="8709" width="7.140625" style="4" customWidth="1"/>
    <col min="8710" max="8710" width="6.28515625" style="4" bestFit="1" customWidth="1"/>
    <col min="8711" max="8711" width="56.7109375" style="4" customWidth="1"/>
    <col min="8712" max="8712" width="14.28515625" style="4" customWidth="1"/>
    <col min="8713" max="8713" width="13" style="4" customWidth="1"/>
    <col min="8714" max="8719" width="14.28515625" style="4" customWidth="1"/>
    <col min="8720" max="8960" width="9.28515625" style="4"/>
    <col min="8961" max="8963" width="3.7109375" style="4" customWidth="1"/>
    <col min="8964" max="8965" width="7.140625" style="4" customWidth="1"/>
    <col min="8966" max="8966" width="6.28515625" style="4" bestFit="1" customWidth="1"/>
    <col min="8967" max="8967" width="56.7109375" style="4" customWidth="1"/>
    <col min="8968" max="8968" width="14.28515625" style="4" customWidth="1"/>
    <col min="8969" max="8969" width="13" style="4" customWidth="1"/>
    <col min="8970" max="8975" width="14.28515625" style="4" customWidth="1"/>
    <col min="8976" max="9216" width="9.28515625" style="4"/>
    <col min="9217" max="9219" width="3.7109375" style="4" customWidth="1"/>
    <col min="9220" max="9221" width="7.140625" style="4" customWidth="1"/>
    <col min="9222" max="9222" width="6.28515625" style="4" bestFit="1" customWidth="1"/>
    <col min="9223" max="9223" width="56.7109375" style="4" customWidth="1"/>
    <col min="9224" max="9224" width="14.28515625" style="4" customWidth="1"/>
    <col min="9225" max="9225" width="13" style="4" customWidth="1"/>
    <col min="9226" max="9231" width="14.28515625" style="4" customWidth="1"/>
    <col min="9232" max="9472" width="9.28515625" style="4"/>
    <col min="9473" max="9475" width="3.7109375" style="4" customWidth="1"/>
    <col min="9476" max="9477" width="7.140625" style="4" customWidth="1"/>
    <col min="9478" max="9478" width="6.28515625" style="4" bestFit="1" customWidth="1"/>
    <col min="9479" max="9479" width="56.7109375" style="4" customWidth="1"/>
    <col min="9480" max="9480" width="14.28515625" style="4" customWidth="1"/>
    <col min="9481" max="9481" width="13" style="4" customWidth="1"/>
    <col min="9482" max="9487" width="14.28515625" style="4" customWidth="1"/>
    <col min="9488" max="9728" width="9.28515625" style="4"/>
    <col min="9729" max="9731" width="3.7109375" style="4" customWidth="1"/>
    <col min="9732" max="9733" width="7.140625" style="4" customWidth="1"/>
    <col min="9734" max="9734" width="6.28515625" style="4" bestFit="1" customWidth="1"/>
    <col min="9735" max="9735" width="56.7109375" style="4" customWidth="1"/>
    <col min="9736" max="9736" width="14.28515625" style="4" customWidth="1"/>
    <col min="9737" max="9737" width="13" style="4" customWidth="1"/>
    <col min="9738" max="9743" width="14.28515625" style="4" customWidth="1"/>
    <col min="9744" max="9984" width="9.28515625" style="4"/>
    <col min="9985" max="9987" width="3.7109375" style="4" customWidth="1"/>
    <col min="9988" max="9989" width="7.140625" style="4" customWidth="1"/>
    <col min="9990" max="9990" width="6.28515625" style="4" bestFit="1" customWidth="1"/>
    <col min="9991" max="9991" width="56.7109375" style="4" customWidth="1"/>
    <col min="9992" max="9992" width="14.28515625" style="4" customWidth="1"/>
    <col min="9993" max="9993" width="13" style="4" customWidth="1"/>
    <col min="9994" max="9999" width="14.28515625" style="4" customWidth="1"/>
    <col min="10000" max="10240" width="9.28515625" style="4"/>
    <col min="10241" max="10243" width="3.7109375" style="4" customWidth="1"/>
    <col min="10244" max="10245" width="7.140625" style="4" customWidth="1"/>
    <col min="10246" max="10246" width="6.28515625" style="4" bestFit="1" customWidth="1"/>
    <col min="10247" max="10247" width="56.7109375" style="4" customWidth="1"/>
    <col min="10248" max="10248" width="14.28515625" style="4" customWidth="1"/>
    <col min="10249" max="10249" width="13" style="4" customWidth="1"/>
    <col min="10250" max="10255" width="14.28515625" style="4" customWidth="1"/>
    <col min="10256" max="10496" width="9.28515625" style="4"/>
    <col min="10497" max="10499" width="3.7109375" style="4" customWidth="1"/>
    <col min="10500" max="10501" width="7.140625" style="4" customWidth="1"/>
    <col min="10502" max="10502" width="6.28515625" style="4" bestFit="1" customWidth="1"/>
    <col min="10503" max="10503" width="56.7109375" style="4" customWidth="1"/>
    <col min="10504" max="10504" width="14.28515625" style="4" customWidth="1"/>
    <col min="10505" max="10505" width="13" style="4" customWidth="1"/>
    <col min="10506" max="10511" width="14.28515625" style="4" customWidth="1"/>
    <col min="10512" max="10752" width="9.28515625" style="4"/>
    <col min="10753" max="10755" width="3.7109375" style="4" customWidth="1"/>
    <col min="10756" max="10757" width="7.140625" style="4" customWidth="1"/>
    <col min="10758" max="10758" width="6.28515625" style="4" bestFit="1" customWidth="1"/>
    <col min="10759" max="10759" width="56.7109375" style="4" customWidth="1"/>
    <col min="10760" max="10760" width="14.28515625" style="4" customWidth="1"/>
    <col min="10761" max="10761" width="13" style="4" customWidth="1"/>
    <col min="10762" max="10767" width="14.28515625" style="4" customWidth="1"/>
    <col min="10768" max="11008" width="9.28515625" style="4"/>
    <col min="11009" max="11011" width="3.7109375" style="4" customWidth="1"/>
    <col min="11012" max="11013" width="7.140625" style="4" customWidth="1"/>
    <col min="11014" max="11014" width="6.28515625" style="4" bestFit="1" customWidth="1"/>
    <col min="11015" max="11015" width="56.7109375" style="4" customWidth="1"/>
    <col min="11016" max="11016" width="14.28515625" style="4" customWidth="1"/>
    <col min="11017" max="11017" width="13" style="4" customWidth="1"/>
    <col min="11018" max="11023" width="14.28515625" style="4" customWidth="1"/>
    <col min="11024" max="11264" width="9.28515625" style="4"/>
    <col min="11265" max="11267" width="3.7109375" style="4" customWidth="1"/>
    <col min="11268" max="11269" width="7.140625" style="4" customWidth="1"/>
    <col min="11270" max="11270" width="6.28515625" style="4" bestFit="1" customWidth="1"/>
    <col min="11271" max="11271" width="56.7109375" style="4" customWidth="1"/>
    <col min="11272" max="11272" width="14.28515625" style="4" customWidth="1"/>
    <col min="11273" max="11273" width="13" style="4" customWidth="1"/>
    <col min="11274" max="11279" width="14.28515625" style="4" customWidth="1"/>
    <col min="11280" max="11520" width="9.28515625" style="4"/>
    <col min="11521" max="11523" width="3.7109375" style="4" customWidth="1"/>
    <col min="11524" max="11525" width="7.140625" style="4" customWidth="1"/>
    <col min="11526" max="11526" width="6.28515625" style="4" bestFit="1" customWidth="1"/>
    <col min="11527" max="11527" width="56.7109375" style="4" customWidth="1"/>
    <col min="11528" max="11528" width="14.28515625" style="4" customWidth="1"/>
    <col min="11529" max="11529" width="13" style="4" customWidth="1"/>
    <col min="11530" max="11535" width="14.28515625" style="4" customWidth="1"/>
    <col min="11536" max="11776" width="9.28515625" style="4"/>
    <col min="11777" max="11779" width="3.7109375" style="4" customWidth="1"/>
    <col min="11780" max="11781" width="7.140625" style="4" customWidth="1"/>
    <col min="11782" max="11782" width="6.28515625" style="4" bestFit="1" customWidth="1"/>
    <col min="11783" max="11783" width="56.7109375" style="4" customWidth="1"/>
    <col min="11784" max="11784" width="14.28515625" style="4" customWidth="1"/>
    <col min="11785" max="11785" width="13" style="4" customWidth="1"/>
    <col min="11786" max="11791" width="14.28515625" style="4" customWidth="1"/>
    <col min="11792" max="12032" width="9.28515625" style="4"/>
    <col min="12033" max="12035" width="3.7109375" style="4" customWidth="1"/>
    <col min="12036" max="12037" width="7.140625" style="4" customWidth="1"/>
    <col min="12038" max="12038" width="6.28515625" style="4" bestFit="1" customWidth="1"/>
    <col min="12039" max="12039" width="56.7109375" style="4" customWidth="1"/>
    <col min="12040" max="12040" width="14.28515625" style="4" customWidth="1"/>
    <col min="12041" max="12041" width="13" style="4" customWidth="1"/>
    <col min="12042" max="12047" width="14.28515625" style="4" customWidth="1"/>
    <col min="12048" max="12288" width="9.28515625" style="4"/>
    <col min="12289" max="12291" width="3.7109375" style="4" customWidth="1"/>
    <col min="12292" max="12293" width="7.140625" style="4" customWidth="1"/>
    <col min="12294" max="12294" width="6.28515625" style="4" bestFit="1" customWidth="1"/>
    <col min="12295" max="12295" width="56.7109375" style="4" customWidth="1"/>
    <col min="12296" max="12296" width="14.28515625" style="4" customWidth="1"/>
    <col min="12297" max="12297" width="13" style="4" customWidth="1"/>
    <col min="12298" max="12303" width="14.28515625" style="4" customWidth="1"/>
    <col min="12304" max="12544" width="9.28515625" style="4"/>
    <col min="12545" max="12547" width="3.7109375" style="4" customWidth="1"/>
    <col min="12548" max="12549" width="7.140625" style="4" customWidth="1"/>
    <col min="12550" max="12550" width="6.28515625" style="4" bestFit="1" customWidth="1"/>
    <col min="12551" max="12551" width="56.7109375" style="4" customWidth="1"/>
    <col min="12552" max="12552" width="14.28515625" style="4" customWidth="1"/>
    <col min="12553" max="12553" width="13" style="4" customWidth="1"/>
    <col min="12554" max="12559" width="14.28515625" style="4" customWidth="1"/>
    <col min="12560" max="12800" width="9.28515625" style="4"/>
    <col min="12801" max="12803" width="3.7109375" style="4" customWidth="1"/>
    <col min="12804" max="12805" width="7.140625" style="4" customWidth="1"/>
    <col min="12806" max="12806" width="6.28515625" style="4" bestFit="1" customWidth="1"/>
    <col min="12807" max="12807" width="56.7109375" style="4" customWidth="1"/>
    <col min="12808" max="12808" width="14.28515625" style="4" customWidth="1"/>
    <col min="12809" max="12809" width="13" style="4" customWidth="1"/>
    <col min="12810" max="12815" width="14.28515625" style="4" customWidth="1"/>
    <col min="12816" max="13056" width="9.28515625" style="4"/>
    <col min="13057" max="13059" width="3.7109375" style="4" customWidth="1"/>
    <col min="13060" max="13061" width="7.140625" style="4" customWidth="1"/>
    <col min="13062" max="13062" width="6.28515625" style="4" bestFit="1" customWidth="1"/>
    <col min="13063" max="13063" width="56.7109375" style="4" customWidth="1"/>
    <col min="13064" max="13064" width="14.28515625" style="4" customWidth="1"/>
    <col min="13065" max="13065" width="13" style="4" customWidth="1"/>
    <col min="13066" max="13071" width="14.28515625" style="4" customWidth="1"/>
    <col min="13072" max="13312" width="9.28515625" style="4"/>
    <col min="13313" max="13315" width="3.7109375" style="4" customWidth="1"/>
    <col min="13316" max="13317" width="7.140625" style="4" customWidth="1"/>
    <col min="13318" max="13318" width="6.28515625" style="4" bestFit="1" customWidth="1"/>
    <col min="13319" max="13319" width="56.7109375" style="4" customWidth="1"/>
    <col min="13320" max="13320" width="14.28515625" style="4" customWidth="1"/>
    <col min="13321" max="13321" width="13" style="4" customWidth="1"/>
    <col min="13322" max="13327" width="14.28515625" style="4" customWidth="1"/>
    <col min="13328" max="13568" width="9.28515625" style="4"/>
    <col min="13569" max="13571" width="3.7109375" style="4" customWidth="1"/>
    <col min="13572" max="13573" width="7.140625" style="4" customWidth="1"/>
    <col min="13574" max="13574" width="6.28515625" style="4" bestFit="1" customWidth="1"/>
    <col min="13575" max="13575" width="56.7109375" style="4" customWidth="1"/>
    <col min="13576" max="13576" width="14.28515625" style="4" customWidth="1"/>
    <col min="13577" max="13577" width="13" style="4" customWidth="1"/>
    <col min="13578" max="13583" width="14.28515625" style="4" customWidth="1"/>
    <col min="13584" max="13824" width="9.28515625" style="4"/>
    <col min="13825" max="13827" width="3.7109375" style="4" customWidth="1"/>
    <col min="13828" max="13829" width="7.140625" style="4" customWidth="1"/>
    <col min="13830" max="13830" width="6.28515625" style="4" bestFit="1" customWidth="1"/>
    <col min="13831" max="13831" width="56.7109375" style="4" customWidth="1"/>
    <col min="13832" max="13832" width="14.28515625" style="4" customWidth="1"/>
    <col min="13833" max="13833" width="13" style="4" customWidth="1"/>
    <col min="13834" max="13839" width="14.28515625" style="4" customWidth="1"/>
    <col min="13840" max="14080" width="9.28515625" style="4"/>
    <col min="14081" max="14083" width="3.7109375" style="4" customWidth="1"/>
    <col min="14084" max="14085" width="7.140625" style="4" customWidth="1"/>
    <col min="14086" max="14086" width="6.28515625" style="4" bestFit="1" customWidth="1"/>
    <col min="14087" max="14087" width="56.7109375" style="4" customWidth="1"/>
    <col min="14088" max="14088" width="14.28515625" style="4" customWidth="1"/>
    <col min="14089" max="14089" width="13" style="4" customWidth="1"/>
    <col min="14090" max="14095" width="14.28515625" style="4" customWidth="1"/>
    <col min="14096" max="14336" width="9.28515625" style="4"/>
    <col min="14337" max="14339" width="3.7109375" style="4" customWidth="1"/>
    <col min="14340" max="14341" width="7.140625" style="4" customWidth="1"/>
    <col min="14342" max="14342" width="6.28515625" style="4" bestFit="1" customWidth="1"/>
    <col min="14343" max="14343" width="56.7109375" style="4" customWidth="1"/>
    <col min="14344" max="14344" width="14.28515625" style="4" customWidth="1"/>
    <col min="14345" max="14345" width="13" style="4" customWidth="1"/>
    <col min="14346" max="14351" width="14.28515625" style="4" customWidth="1"/>
    <col min="14352" max="14592" width="9.28515625" style="4"/>
    <col min="14593" max="14595" width="3.7109375" style="4" customWidth="1"/>
    <col min="14596" max="14597" width="7.140625" style="4" customWidth="1"/>
    <col min="14598" max="14598" width="6.28515625" style="4" bestFit="1" customWidth="1"/>
    <col min="14599" max="14599" width="56.7109375" style="4" customWidth="1"/>
    <col min="14600" max="14600" width="14.28515625" style="4" customWidth="1"/>
    <col min="14601" max="14601" width="13" style="4" customWidth="1"/>
    <col min="14602" max="14607" width="14.28515625" style="4" customWidth="1"/>
    <col min="14608" max="14848" width="9.28515625" style="4"/>
    <col min="14849" max="14851" width="3.7109375" style="4" customWidth="1"/>
    <col min="14852" max="14853" width="7.140625" style="4" customWidth="1"/>
    <col min="14854" max="14854" width="6.28515625" style="4" bestFit="1" customWidth="1"/>
    <col min="14855" max="14855" width="56.7109375" style="4" customWidth="1"/>
    <col min="14856" max="14856" width="14.28515625" style="4" customWidth="1"/>
    <col min="14857" max="14857" width="13" style="4" customWidth="1"/>
    <col min="14858" max="14863" width="14.28515625" style="4" customWidth="1"/>
    <col min="14864" max="15104" width="9.28515625" style="4"/>
    <col min="15105" max="15107" width="3.7109375" style="4" customWidth="1"/>
    <col min="15108" max="15109" width="7.140625" style="4" customWidth="1"/>
    <col min="15110" max="15110" width="6.28515625" style="4" bestFit="1" customWidth="1"/>
    <col min="15111" max="15111" width="56.7109375" style="4" customWidth="1"/>
    <col min="15112" max="15112" width="14.28515625" style="4" customWidth="1"/>
    <col min="15113" max="15113" width="13" style="4" customWidth="1"/>
    <col min="15114" max="15119" width="14.28515625" style="4" customWidth="1"/>
    <col min="15120" max="15360" width="9.28515625" style="4"/>
    <col min="15361" max="15363" width="3.7109375" style="4" customWidth="1"/>
    <col min="15364" max="15365" width="7.140625" style="4" customWidth="1"/>
    <col min="15366" max="15366" width="6.28515625" style="4" bestFit="1" customWidth="1"/>
    <col min="15367" max="15367" width="56.7109375" style="4" customWidth="1"/>
    <col min="15368" max="15368" width="14.28515625" style="4" customWidth="1"/>
    <col min="15369" max="15369" width="13" style="4" customWidth="1"/>
    <col min="15370" max="15375" width="14.28515625" style="4" customWidth="1"/>
    <col min="15376" max="15616" width="9.28515625" style="4"/>
    <col min="15617" max="15619" width="3.7109375" style="4" customWidth="1"/>
    <col min="15620" max="15621" width="7.140625" style="4" customWidth="1"/>
    <col min="15622" max="15622" width="6.28515625" style="4" bestFit="1" customWidth="1"/>
    <col min="15623" max="15623" width="56.7109375" style="4" customWidth="1"/>
    <col min="15624" max="15624" width="14.28515625" style="4" customWidth="1"/>
    <col min="15625" max="15625" width="13" style="4" customWidth="1"/>
    <col min="15626" max="15631" width="14.28515625" style="4" customWidth="1"/>
    <col min="15632" max="15872" width="9.28515625" style="4"/>
    <col min="15873" max="15875" width="3.7109375" style="4" customWidth="1"/>
    <col min="15876" max="15877" width="7.140625" style="4" customWidth="1"/>
    <col min="15878" max="15878" width="6.28515625" style="4" bestFit="1" customWidth="1"/>
    <col min="15879" max="15879" width="56.7109375" style="4" customWidth="1"/>
    <col min="15880" max="15880" width="14.28515625" style="4" customWidth="1"/>
    <col min="15881" max="15881" width="13" style="4" customWidth="1"/>
    <col min="15882" max="15887" width="14.28515625" style="4" customWidth="1"/>
    <col min="15888" max="16128" width="9.28515625" style="4"/>
    <col min="16129" max="16131" width="3.7109375" style="4" customWidth="1"/>
    <col min="16132" max="16133" width="7.140625" style="4" customWidth="1"/>
    <col min="16134" max="16134" width="6.28515625" style="4" bestFit="1" customWidth="1"/>
    <col min="16135" max="16135" width="56.7109375" style="4" customWidth="1"/>
    <col min="16136" max="16136" width="14.28515625" style="4" customWidth="1"/>
    <col min="16137" max="16137" width="13" style="4" customWidth="1"/>
    <col min="16138" max="16143" width="14.28515625" style="4" customWidth="1"/>
    <col min="16144" max="16384" width="9.28515625" style="4"/>
  </cols>
  <sheetData>
    <row r="1" spans="1:15" ht="35.1" customHeight="1">
      <c r="A1" s="998" t="str">
        <f>+Títulos!$B$2&amp;"
ESTADO ANALÍTICO DEL EJERCICIO DEL PRESUPUESTO DE EGRESOS
DEL 01 DE ENERO AL "&amp;Títulos!$B$3</f>
        <v>TRIBUNAL DE JUSTICIA ADMINISTRATIVA
ESTADO ANALÍTICO DEL EJERCICIO DEL PRESUPUESTO DE EGRESOS
DEL 01 DE ENERO AL 31 DE DICIEMBRE DE 2017</v>
      </c>
      <c r="B1" s="999"/>
      <c r="C1" s="999"/>
      <c r="D1" s="999"/>
      <c r="E1" s="999"/>
      <c r="F1" s="999"/>
      <c r="G1" s="999"/>
      <c r="H1" s="999"/>
      <c r="I1" s="999"/>
      <c r="J1" s="999"/>
      <c r="K1" s="999"/>
      <c r="L1" s="999"/>
      <c r="M1" s="999"/>
      <c r="N1" s="999"/>
      <c r="O1" s="1000"/>
    </row>
    <row r="2" spans="1:15" ht="24.95" customHeight="1">
      <c r="A2" s="336" t="s">
        <v>249</v>
      </c>
      <c r="B2" s="354" t="s">
        <v>250</v>
      </c>
      <c r="C2" s="336" t="s">
        <v>225</v>
      </c>
      <c r="D2" s="354" t="s">
        <v>655</v>
      </c>
      <c r="E2" s="336" t="s">
        <v>251</v>
      </c>
      <c r="F2" s="336" t="s">
        <v>252</v>
      </c>
      <c r="G2" s="5" t="s">
        <v>71</v>
      </c>
      <c r="H2" s="7" t="s">
        <v>253</v>
      </c>
      <c r="I2" s="7" t="s">
        <v>254</v>
      </c>
      <c r="J2" s="7" t="s">
        <v>230</v>
      </c>
      <c r="K2" s="7" t="s">
        <v>656</v>
      </c>
      <c r="L2" s="7" t="s">
        <v>231</v>
      </c>
      <c r="M2" s="7" t="s">
        <v>657</v>
      </c>
      <c r="N2" s="7" t="s">
        <v>255</v>
      </c>
      <c r="O2" s="7" t="s">
        <v>256</v>
      </c>
    </row>
    <row r="3" spans="1:15">
      <c r="A3" s="385">
        <v>900001</v>
      </c>
      <c r="B3" s="386"/>
      <c r="C3" s="422"/>
      <c r="D3" s="422"/>
      <c r="E3" s="422"/>
      <c r="F3" s="422"/>
      <c r="G3" s="392" t="s">
        <v>257</v>
      </c>
      <c r="H3" s="393">
        <f>SUM(H4:H300)</f>
        <v>80405840.509999976</v>
      </c>
      <c r="I3" s="393">
        <f t="shared" ref="I3:O3" si="0">SUM(I4:I300)</f>
        <v>8457903.8100000042</v>
      </c>
      <c r="J3" s="393">
        <f t="shared" si="0"/>
        <v>88863744.320000023</v>
      </c>
      <c r="K3" s="393">
        <f t="shared" si="0"/>
        <v>86193205.110000029</v>
      </c>
      <c r="L3" s="393">
        <f t="shared" si="0"/>
        <v>86193205.110000029</v>
      </c>
      <c r="M3" s="393">
        <f t="shared" si="0"/>
        <v>86193205.110000029</v>
      </c>
      <c r="N3" s="393">
        <f t="shared" si="0"/>
        <v>84872096.260000035</v>
      </c>
      <c r="O3" s="393">
        <f t="shared" si="0"/>
        <v>2670539.21</v>
      </c>
    </row>
    <row r="4" spans="1:15">
      <c r="A4" s="394" t="str">
        <f>+'003'!B3</f>
        <v>1.2.1</v>
      </c>
      <c r="B4" s="394" t="str">
        <f>+'003'!C3</f>
        <v>E058-G0101</v>
      </c>
      <c r="C4" s="394">
        <f>+'003'!D3</f>
        <v>1</v>
      </c>
      <c r="D4" s="394" t="str">
        <f>+'003'!E3</f>
        <v>21115-0105</v>
      </c>
      <c r="E4" s="394" t="str">
        <f>+'003'!F3</f>
        <v>1</v>
      </c>
      <c r="F4" s="394" t="str">
        <f>+'003'!G3</f>
        <v>7991</v>
      </c>
      <c r="G4" s="464" t="str">
        <f>+'003'!H3</f>
        <v>1.2.1/E058-G0101/1/21115-0105/1/7991  Erogaciones complementarias</v>
      </c>
      <c r="H4" s="396">
        <f>+'003'!J3</f>
        <v>1312000</v>
      </c>
      <c r="I4" s="396">
        <f>+'003'!K3</f>
        <v>1358534.31</v>
      </c>
      <c r="J4" s="396">
        <f>+'003'!L3</f>
        <v>2670534.31</v>
      </c>
      <c r="K4" s="396">
        <f>+'003'!M3</f>
        <v>0</v>
      </c>
      <c r="L4" s="396">
        <f>+'003'!N3</f>
        <v>0</v>
      </c>
      <c r="M4" s="396">
        <f>+'003'!O3</f>
        <v>0</v>
      </c>
      <c r="N4" s="396">
        <f>+'003'!P3</f>
        <v>0</v>
      </c>
      <c r="O4" s="396">
        <f>+J4-L4</f>
        <v>2670534.31</v>
      </c>
    </row>
    <row r="5" spans="1:15">
      <c r="A5" s="394" t="str">
        <f>+'003'!B4</f>
        <v>1.2.1</v>
      </c>
      <c r="B5" s="394" t="str">
        <f>+'003'!C4</f>
        <v>E058-G1053</v>
      </c>
      <c r="C5" s="394">
        <f>+'003'!D4</f>
        <v>1</v>
      </c>
      <c r="D5" s="394" t="str">
        <f>+'003'!E4</f>
        <v>21115-0100</v>
      </c>
      <c r="E5" s="394" t="str">
        <f>+'003'!F4</f>
        <v>2</v>
      </c>
      <c r="F5" s="394" t="str">
        <f>+'003'!G4</f>
        <v>5111</v>
      </c>
      <c r="G5" s="464" t="str">
        <f>+'003'!H4</f>
        <v>1.2.1/E058-G1053/1/21115-0100/2/5111  Muebles de oficina</v>
      </c>
      <c r="H5" s="396">
        <f>+'003'!J4</f>
        <v>0</v>
      </c>
      <c r="I5" s="396">
        <f>+'003'!K4</f>
        <v>0</v>
      </c>
      <c r="J5" s="396">
        <f>+'003'!L4</f>
        <v>0</v>
      </c>
      <c r="K5" s="396">
        <f>+'003'!M4</f>
        <v>0</v>
      </c>
      <c r="L5" s="396">
        <f>+'003'!N4</f>
        <v>0</v>
      </c>
      <c r="M5" s="396">
        <f>+'003'!O4</f>
        <v>0</v>
      </c>
      <c r="N5" s="396">
        <f>+'003'!P4</f>
        <v>0</v>
      </c>
      <c r="O5" s="396">
        <f t="shared" ref="O5:O68" si="1">+J5-L5</f>
        <v>0</v>
      </c>
    </row>
    <row r="6" spans="1:15">
      <c r="A6" s="394" t="str">
        <f>+'003'!B5</f>
        <v>1.2.1</v>
      </c>
      <c r="B6" s="394" t="str">
        <f>+'003'!C5</f>
        <v>E058-G1053</v>
      </c>
      <c r="C6" s="394">
        <f>+'003'!D5</f>
        <v>1</v>
      </c>
      <c r="D6" s="394" t="str">
        <f>+'003'!E5</f>
        <v>21115-0105</v>
      </c>
      <c r="E6" s="394" t="str">
        <f>+'003'!F5</f>
        <v>1</v>
      </c>
      <c r="F6" s="394" t="str">
        <f>+'003'!G5</f>
        <v>1131</v>
      </c>
      <c r="G6" s="464" t="str">
        <f>+'003'!H5</f>
        <v>1.2.1/E058-G1053/1/21115-0105/1/1131  Sueldos Base</v>
      </c>
      <c r="H6" s="396">
        <f>+'003'!J5</f>
        <v>2185633.86</v>
      </c>
      <c r="I6" s="396">
        <f>+'003'!K5</f>
        <v>49522.010000000009</v>
      </c>
      <c r="J6" s="396">
        <f>+'003'!L5</f>
        <v>2235155.87</v>
      </c>
      <c r="K6" s="396">
        <f>+'003'!M5</f>
        <v>2235150.9700000002</v>
      </c>
      <c r="L6" s="396">
        <f>+'003'!N5</f>
        <v>2235150.9700000002</v>
      </c>
      <c r="M6" s="396">
        <f>+'003'!O5</f>
        <v>2235150.9700000002</v>
      </c>
      <c r="N6" s="396">
        <f>+'003'!P5</f>
        <v>2235150.9700000002</v>
      </c>
      <c r="O6" s="396">
        <f t="shared" si="1"/>
        <v>4.8999999999068677</v>
      </c>
    </row>
    <row r="7" spans="1:15">
      <c r="A7" s="394" t="str">
        <f>+'003'!B6</f>
        <v>1.2.1</v>
      </c>
      <c r="B7" s="394" t="str">
        <f>+'003'!C6</f>
        <v>E058-G1053</v>
      </c>
      <c r="C7" s="394">
        <f>+'003'!D6</f>
        <v>1</v>
      </c>
      <c r="D7" s="394" t="str">
        <f>+'003'!E6</f>
        <v>21115-0105</v>
      </c>
      <c r="E7" s="394" t="str">
        <f>+'003'!F6</f>
        <v>1</v>
      </c>
      <c r="F7" s="394" t="str">
        <f>+'003'!G6</f>
        <v>1212</v>
      </c>
      <c r="G7" s="464" t="str">
        <f>+'003'!H6</f>
        <v>1.2.1/E058-G1053/1/21115-0105/1/1212  Honorarios asimilados</v>
      </c>
      <c r="H7" s="396">
        <f>+'003'!J6</f>
        <v>278260.69</v>
      </c>
      <c r="I7" s="396">
        <f>+'003'!K6</f>
        <v>5281.429999999993</v>
      </c>
      <c r="J7" s="396">
        <f>+'003'!L6</f>
        <v>283542.12</v>
      </c>
      <c r="K7" s="396">
        <f>+'003'!M6</f>
        <v>283542.12</v>
      </c>
      <c r="L7" s="396">
        <f>+'003'!N6</f>
        <v>283542.12</v>
      </c>
      <c r="M7" s="396">
        <f>+'003'!O6</f>
        <v>283542.12</v>
      </c>
      <c r="N7" s="396">
        <f>+'003'!P6</f>
        <v>283542.12</v>
      </c>
      <c r="O7" s="396">
        <f t="shared" si="1"/>
        <v>0</v>
      </c>
    </row>
    <row r="8" spans="1:15">
      <c r="A8" s="394" t="str">
        <f>+'003'!B7</f>
        <v>1.2.1</v>
      </c>
      <c r="B8" s="394" t="str">
        <f>+'003'!C7</f>
        <v>E058-G1053</v>
      </c>
      <c r="C8" s="394">
        <f>+'003'!D7</f>
        <v>1</v>
      </c>
      <c r="D8" s="394" t="str">
        <f>+'003'!E7</f>
        <v>21115-0105</v>
      </c>
      <c r="E8" s="394" t="str">
        <f>+'003'!F7</f>
        <v>1</v>
      </c>
      <c r="F8" s="394" t="str">
        <f>+'003'!G7</f>
        <v>1311</v>
      </c>
      <c r="G8" s="464" t="str">
        <f>+'003'!H7</f>
        <v>1.2.1/E058-G1053/1/21115-0105/1/1311  Prima quinquenal</v>
      </c>
      <c r="H8" s="396">
        <f>+'003'!J7</f>
        <v>12101</v>
      </c>
      <c r="I8" s="396">
        <f>+'003'!K7</f>
        <v>-965.6700000000003</v>
      </c>
      <c r="J8" s="396">
        <f>+'003'!L7</f>
        <v>11135.33</v>
      </c>
      <c r="K8" s="396">
        <f>+'003'!M7</f>
        <v>11135.33</v>
      </c>
      <c r="L8" s="396">
        <f>+'003'!N7</f>
        <v>11135.33</v>
      </c>
      <c r="M8" s="396">
        <f>+'003'!O7</f>
        <v>11135.33</v>
      </c>
      <c r="N8" s="396">
        <f>+'003'!P7</f>
        <v>11135.33</v>
      </c>
      <c r="O8" s="396">
        <f t="shared" si="1"/>
        <v>0</v>
      </c>
    </row>
    <row r="9" spans="1:15">
      <c r="A9" s="394" t="str">
        <f>+'003'!B8</f>
        <v>1.2.1</v>
      </c>
      <c r="B9" s="394" t="str">
        <f>+'003'!C8</f>
        <v>E058-G1053</v>
      </c>
      <c r="C9" s="394">
        <f>+'003'!D8</f>
        <v>1</v>
      </c>
      <c r="D9" s="394" t="str">
        <f>+'003'!E8</f>
        <v>21115-0105</v>
      </c>
      <c r="E9" s="394" t="str">
        <f>+'003'!F8</f>
        <v>1</v>
      </c>
      <c r="F9" s="394" t="str">
        <f>+'003'!G8</f>
        <v>1321</v>
      </c>
      <c r="G9" s="464" t="str">
        <f>+'003'!H8</f>
        <v>1.2.1/E058-G1053/1/21115-0105/1/1321  Prima Vacacional</v>
      </c>
      <c r="H9" s="396">
        <f>+'003'!J8</f>
        <v>170745.85</v>
      </c>
      <c r="I9" s="396">
        <f>+'003'!K8</f>
        <v>18716.47</v>
      </c>
      <c r="J9" s="396">
        <f>+'003'!L8</f>
        <v>189462.32</v>
      </c>
      <c r="K9" s="396">
        <f>+'003'!M8</f>
        <v>189462.32</v>
      </c>
      <c r="L9" s="396">
        <f>+'003'!N8</f>
        <v>189462.32</v>
      </c>
      <c r="M9" s="396">
        <f>+'003'!O8</f>
        <v>189462.32</v>
      </c>
      <c r="N9" s="396">
        <f>+'003'!P8</f>
        <v>189462.32</v>
      </c>
      <c r="O9" s="396">
        <f t="shared" si="1"/>
        <v>0</v>
      </c>
    </row>
    <row r="10" spans="1:15">
      <c r="A10" s="394" t="str">
        <f>+'003'!B9</f>
        <v>1.2.1</v>
      </c>
      <c r="B10" s="394" t="str">
        <f>+'003'!C9</f>
        <v>E058-G1053</v>
      </c>
      <c r="C10" s="394">
        <f>+'003'!D9</f>
        <v>1</v>
      </c>
      <c r="D10" s="394" t="str">
        <f>+'003'!E9</f>
        <v>21115-0105</v>
      </c>
      <c r="E10" s="394" t="str">
        <f>+'003'!F9</f>
        <v>1</v>
      </c>
      <c r="F10" s="394" t="str">
        <f>+'003'!G9</f>
        <v>1323</v>
      </c>
      <c r="G10" s="464" t="str">
        <f>+'003'!H9</f>
        <v>1.2.1/E058-G1053/1/21115-0105/1/1323  Gratificación de fin de año</v>
      </c>
      <c r="H10" s="396">
        <f>+'003'!J9</f>
        <v>768370.45</v>
      </c>
      <c r="I10" s="396">
        <f>+'003'!K9</f>
        <v>41592.619999999995</v>
      </c>
      <c r="J10" s="396">
        <f>+'003'!L9</f>
        <v>809963.07</v>
      </c>
      <c r="K10" s="396">
        <f>+'003'!M9</f>
        <v>809963.07</v>
      </c>
      <c r="L10" s="396">
        <f>+'003'!N9</f>
        <v>809963.07</v>
      </c>
      <c r="M10" s="396">
        <f>+'003'!O9</f>
        <v>809963.07</v>
      </c>
      <c r="N10" s="396">
        <f>+'003'!P9</f>
        <v>809963.07</v>
      </c>
      <c r="O10" s="396">
        <f t="shared" si="1"/>
        <v>0</v>
      </c>
    </row>
    <row r="11" spans="1:15">
      <c r="A11" s="394" t="str">
        <f>+'003'!B10</f>
        <v>1.2.1</v>
      </c>
      <c r="B11" s="394" t="str">
        <f>+'003'!C10</f>
        <v>E058-G1053</v>
      </c>
      <c r="C11" s="394">
        <f>+'003'!D10</f>
        <v>1</v>
      </c>
      <c r="D11" s="394" t="str">
        <f>+'003'!E10</f>
        <v>21115-0105</v>
      </c>
      <c r="E11" s="394" t="str">
        <f>+'003'!F10</f>
        <v>1</v>
      </c>
      <c r="F11" s="394" t="str">
        <f>+'003'!G10</f>
        <v>1411</v>
      </c>
      <c r="G11" s="464" t="str">
        <f>+'003'!H10</f>
        <v>1.2.1/E058-G1053/1/21115-0105/1/1411  Aportaciones al ISSEG</v>
      </c>
      <c r="H11" s="396">
        <f>+'003'!J10</f>
        <v>502696.74</v>
      </c>
      <c r="I11" s="396">
        <f>+'003'!K10</f>
        <v>60577.869999999995</v>
      </c>
      <c r="J11" s="396">
        <f>+'003'!L10</f>
        <v>563274.61</v>
      </c>
      <c r="K11" s="396">
        <f>+'003'!M10</f>
        <v>563274.61</v>
      </c>
      <c r="L11" s="396">
        <f>+'003'!N10</f>
        <v>563274.61</v>
      </c>
      <c r="M11" s="396">
        <f>+'003'!O10</f>
        <v>563274.61</v>
      </c>
      <c r="N11" s="396">
        <f>+'003'!P10</f>
        <v>563274.61</v>
      </c>
      <c r="O11" s="396">
        <f t="shared" si="1"/>
        <v>0</v>
      </c>
    </row>
    <row r="12" spans="1:15">
      <c r="A12" s="394" t="str">
        <f>+'003'!B11</f>
        <v>1.2.1</v>
      </c>
      <c r="B12" s="394" t="str">
        <f>+'003'!C11</f>
        <v>E058-G1053</v>
      </c>
      <c r="C12" s="394">
        <f>+'003'!D11</f>
        <v>1</v>
      </c>
      <c r="D12" s="394" t="str">
        <f>+'003'!E11</f>
        <v>21115-0105</v>
      </c>
      <c r="E12" s="394" t="str">
        <f>+'003'!F11</f>
        <v>1</v>
      </c>
      <c r="F12" s="394" t="str">
        <f>+'003'!G11</f>
        <v>1412</v>
      </c>
      <c r="G12" s="464" t="str">
        <f>+'003'!H11</f>
        <v>1.2.1/E058-G1053/1/21115-0105/1/1412  Cuotas al ISSSTE</v>
      </c>
      <c r="H12" s="396">
        <f>+'003'!J11</f>
        <v>230472</v>
      </c>
      <c r="I12" s="396">
        <f>+'003'!K11</f>
        <v>-69905.94</v>
      </c>
      <c r="J12" s="396">
        <f>+'003'!L11</f>
        <v>160566.06</v>
      </c>
      <c r="K12" s="396">
        <f>+'003'!M11</f>
        <v>160566.06</v>
      </c>
      <c r="L12" s="396">
        <f>+'003'!N11</f>
        <v>160566.06</v>
      </c>
      <c r="M12" s="396">
        <f>+'003'!O11</f>
        <v>160566.06</v>
      </c>
      <c r="N12" s="396">
        <f>+'003'!P11</f>
        <v>160566.06</v>
      </c>
      <c r="O12" s="396">
        <f t="shared" si="1"/>
        <v>0</v>
      </c>
    </row>
    <row r="13" spans="1:15">
      <c r="A13" s="394" t="str">
        <f>+'003'!B12</f>
        <v>1.2.1</v>
      </c>
      <c r="B13" s="394" t="str">
        <f>+'003'!C12</f>
        <v>E058-G1053</v>
      </c>
      <c r="C13" s="394">
        <f>+'003'!D12</f>
        <v>1</v>
      </c>
      <c r="D13" s="394" t="str">
        <f>+'003'!E12</f>
        <v>21115-0105</v>
      </c>
      <c r="E13" s="394" t="str">
        <f>+'003'!F12</f>
        <v>1</v>
      </c>
      <c r="F13" s="394" t="str">
        <f>+'003'!G12</f>
        <v>1441</v>
      </c>
      <c r="G13" s="464" t="str">
        <f>+'003'!H12</f>
        <v>1.2.1/E058-G1053/1/21115-0105/1/1441  Seguros</v>
      </c>
      <c r="H13" s="396">
        <f>+'003'!J12</f>
        <v>250488.93</v>
      </c>
      <c r="I13" s="396">
        <f>+'003'!K12</f>
        <v>-60687.440000000061</v>
      </c>
      <c r="J13" s="396">
        <f>+'003'!L12</f>
        <v>189801.49</v>
      </c>
      <c r="K13" s="396">
        <f>+'003'!M12</f>
        <v>189801.49</v>
      </c>
      <c r="L13" s="396">
        <f>+'003'!N12</f>
        <v>189801.49</v>
      </c>
      <c r="M13" s="396">
        <f>+'003'!O12</f>
        <v>189801.49</v>
      </c>
      <c r="N13" s="396">
        <f>+'003'!P12</f>
        <v>189801.49</v>
      </c>
      <c r="O13" s="396">
        <f t="shared" si="1"/>
        <v>0</v>
      </c>
    </row>
    <row r="14" spans="1:15">
      <c r="A14" s="394" t="str">
        <f>+'003'!B13</f>
        <v>1.2.1</v>
      </c>
      <c r="B14" s="394" t="str">
        <f>+'003'!C13</f>
        <v>E058-G1053</v>
      </c>
      <c r="C14" s="394">
        <f>+'003'!D13</f>
        <v>1</v>
      </c>
      <c r="D14" s="394" t="str">
        <f>+'003'!E13</f>
        <v>21115-0105</v>
      </c>
      <c r="E14" s="394" t="str">
        <f>+'003'!F13</f>
        <v>1</v>
      </c>
      <c r="F14" s="394" t="str">
        <f>+'003'!G13</f>
        <v>1531</v>
      </c>
      <c r="G14" s="464" t="str">
        <f>+'003'!H13</f>
        <v>1.2.1/E058-G1053/1/21115-0105/1/1531  Prestaciones de retiro</v>
      </c>
      <c r="H14" s="396">
        <f>+'003'!J13</f>
        <v>0</v>
      </c>
      <c r="I14" s="396">
        <f>+'003'!K13</f>
        <v>1612956.5999999999</v>
      </c>
      <c r="J14" s="396">
        <f>+'003'!L13</f>
        <v>1612956.6</v>
      </c>
      <c r="K14" s="396">
        <f>+'003'!M13</f>
        <v>1612956.6</v>
      </c>
      <c r="L14" s="396">
        <f>+'003'!N13</f>
        <v>1612956.6</v>
      </c>
      <c r="M14" s="396">
        <f>+'003'!O13</f>
        <v>1612956.6</v>
      </c>
      <c r="N14" s="396">
        <f>+'003'!P13</f>
        <v>426856.75</v>
      </c>
      <c r="O14" s="396">
        <f t="shared" si="1"/>
        <v>0</v>
      </c>
    </row>
    <row r="15" spans="1:15">
      <c r="A15" s="394" t="str">
        <f>+'003'!B14</f>
        <v>1.2.1</v>
      </c>
      <c r="B15" s="394" t="str">
        <f>+'003'!C14</f>
        <v>E058-G1053</v>
      </c>
      <c r="C15" s="394">
        <f>+'003'!D14</f>
        <v>1</v>
      </c>
      <c r="D15" s="394" t="str">
        <f>+'003'!E14</f>
        <v>21115-0105</v>
      </c>
      <c r="E15" s="394" t="str">
        <f>+'003'!F14</f>
        <v>1</v>
      </c>
      <c r="F15" s="394" t="str">
        <f>+'003'!G14</f>
        <v>1541</v>
      </c>
      <c r="G15" s="464" t="str">
        <f>+'003'!H14</f>
        <v>1.2.1/E058-G1053/1/21115-0105/1/1541  Prestaciones CGT</v>
      </c>
      <c r="H15" s="396">
        <f>+'003'!J14</f>
        <v>2301773.7599999998</v>
      </c>
      <c r="I15" s="396">
        <f>+'003'!K14</f>
        <v>214964.45</v>
      </c>
      <c r="J15" s="396">
        <f>+'003'!L14</f>
        <v>2516738.21</v>
      </c>
      <c r="K15" s="396">
        <f>+'003'!M14</f>
        <v>2516738.21</v>
      </c>
      <c r="L15" s="396">
        <f>+'003'!N14</f>
        <v>2516738.21</v>
      </c>
      <c r="M15" s="396">
        <f>+'003'!O14</f>
        <v>2516738.21</v>
      </c>
      <c r="N15" s="396">
        <f>+'003'!P14</f>
        <v>2516738.21</v>
      </c>
      <c r="O15" s="396">
        <f t="shared" si="1"/>
        <v>0</v>
      </c>
    </row>
    <row r="16" spans="1:15">
      <c r="A16" s="394" t="str">
        <f>+'003'!B15</f>
        <v>1.2.1</v>
      </c>
      <c r="B16" s="394" t="str">
        <f>+'003'!C15</f>
        <v>E058-G1053</v>
      </c>
      <c r="C16" s="394">
        <f>+'003'!D15</f>
        <v>1</v>
      </c>
      <c r="D16" s="394" t="str">
        <f>+'003'!E15</f>
        <v>21115-0105</v>
      </c>
      <c r="E16" s="394" t="str">
        <f>+'003'!F15</f>
        <v>1</v>
      </c>
      <c r="F16" s="394" t="str">
        <f>+'003'!G15</f>
        <v>1591</v>
      </c>
      <c r="G16" s="464" t="str">
        <f>+'003'!H15</f>
        <v>1.2.1/E058-G1053/1/21115-0105/1/1591  Asign Adic sueldo</v>
      </c>
      <c r="H16" s="396">
        <f>+'003'!J15</f>
        <v>1764300.58</v>
      </c>
      <c r="I16" s="396">
        <f>+'003'!K15</f>
        <v>-19735.75</v>
      </c>
      <c r="J16" s="396">
        <f>+'003'!L15</f>
        <v>1744564.83</v>
      </c>
      <c r="K16" s="396">
        <f>+'003'!M15</f>
        <v>1744564.83</v>
      </c>
      <c r="L16" s="396">
        <f>+'003'!N15</f>
        <v>1744564.83</v>
      </c>
      <c r="M16" s="396">
        <f>+'003'!O15</f>
        <v>1744564.83</v>
      </c>
      <c r="N16" s="396">
        <f>+'003'!P15</f>
        <v>1744564.83</v>
      </c>
      <c r="O16" s="396">
        <f t="shared" si="1"/>
        <v>0</v>
      </c>
    </row>
    <row r="17" spans="1:15">
      <c r="A17" s="394" t="str">
        <f>+'003'!B16</f>
        <v>1.2.1</v>
      </c>
      <c r="B17" s="394" t="str">
        <f>+'003'!C16</f>
        <v>E058-G1053</v>
      </c>
      <c r="C17" s="394">
        <f>+'003'!D16</f>
        <v>1</v>
      </c>
      <c r="D17" s="394" t="str">
        <f>+'003'!E16</f>
        <v>21115-0105</v>
      </c>
      <c r="E17" s="394" t="str">
        <f>+'003'!F16</f>
        <v>1</v>
      </c>
      <c r="F17" s="394" t="str">
        <f>+'003'!G16</f>
        <v>1592</v>
      </c>
      <c r="G17" s="464" t="str">
        <f>+'003'!H16</f>
        <v>1.2.1/E058-G1053/1/21115-0105/1/1592  Otras prestaciones</v>
      </c>
      <c r="H17" s="396">
        <f>+'003'!J16</f>
        <v>85316.82</v>
      </c>
      <c r="I17" s="396">
        <f>+'003'!K16</f>
        <v>22970.160000000003</v>
      </c>
      <c r="J17" s="396">
        <f>+'003'!L16</f>
        <v>108286.98</v>
      </c>
      <c r="K17" s="396">
        <f>+'003'!M16</f>
        <v>108286.98</v>
      </c>
      <c r="L17" s="396">
        <f>+'003'!N16</f>
        <v>108286.98</v>
      </c>
      <c r="M17" s="396">
        <f>+'003'!O16</f>
        <v>108286.98</v>
      </c>
      <c r="N17" s="396">
        <f>+'003'!P16</f>
        <v>108286.98</v>
      </c>
      <c r="O17" s="396">
        <f t="shared" si="1"/>
        <v>0</v>
      </c>
    </row>
    <row r="18" spans="1:15">
      <c r="A18" s="394" t="str">
        <f>+'003'!B17</f>
        <v>1.2.1</v>
      </c>
      <c r="B18" s="394" t="str">
        <f>+'003'!C17</f>
        <v>E058-G1053</v>
      </c>
      <c r="C18" s="394">
        <f>+'003'!D17</f>
        <v>1</v>
      </c>
      <c r="D18" s="394" t="str">
        <f>+'003'!E17</f>
        <v>21115-0105</v>
      </c>
      <c r="E18" s="394" t="str">
        <f>+'003'!F17</f>
        <v>1</v>
      </c>
      <c r="F18" s="394" t="str">
        <f>+'003'!G17</f>
        <v>1611</v>
      </c>
      <c r="G18" s="464" t="str">
        <f>+'003'!H17</f>
        <v>1.2.1/E058-G1053/1/21115-0105/1/1611  Prev de carat labora</v>
      </c>
      <c r="H18" s="396">
        <f>+'003'!J17</f>
        <v>297651.51</v>
      </c>
      <c r="I18" s="396">
        <f>+'003'!K17</f>
        <v>-297651.51</v>
      </c>
      <c r="J18" s="396">
        <f>+'003'!L17</f>
        <v>0</v>
      </c>
      <c r="K18" s="396">
        <f>+'003'!M17</f>
        <v>0</v>
      </c>
      <c r="L18" s="396">
        <f>+'003'!N17</f>
        <v>0</v>
      </c>
      <c r="M18" s="396">
        <f>+'003'!O17</f>
        <v>0</v>
      </c>
      <c r="N18" s="396">
        <f>+'003'!P17</f>
        <v>0</v>
      </c>
      <c r="O18" s="396">
        <f t="shared" si="1"/>
        <v>0</v>
      </c>
    </row>
    <row r="19" spans="1:15">
      <c r="A19" s="394" t="str">
        <f>+'003'!B18</f>
        <v>1.2.1</v>
      </c>
      <c r="B19" s="394" t="str">
        <f>+'003'!C18</f>
        <v>E058-G1053</v>
      </c>
      <c r="C19" s="394">
        <f>+'003'!D18</f>
        <v>1</v>
      </c>
      <c r="D19" s="394" t="str">
        <f>+'003'!E18</f>
        <v>21115-0105</v>
      </c>
      <c r="E19" s="394" t="str">
        <f>+'003'!F18</f>
        <v>1</v>
      </c>
      <c r="F19" s="394" t="str">
        <f>+'003'!G18</f>
        <v>1711</v>
      </c>
      <c r="G19" s="464" t="str">
        <f>+'003'!H18</f>
        <v>1.2.1/E058-G1053/1/21115-0105/1/1711  Estím Productividad</v>
      </c>
      <c r="H19" s="396">
        <f>+'003'!J18</f>
        <v>218424.08</v>
      </c>
      <c r="I19" s="396">
        <f>+'003'!K18</f>
        <v>-22336.799999999988</v>
      </c>
      <c r="J19" s="396">
        <f>+'003'!L18</f>
        <v>196087.28</v>
      </c>
      <c r="K19" s="396">
        <f>+'003'!M18</f>
        <v>196087.28</v>
      </c>
      <c r="L19" s="396">
        <f>+'003'!N18</f>
        <v>196087.28</v>
      </c>
      <c r="M19" s="396">
        <f>+'003'!O18</f>
        <v>196087.28</v>
      </c>
      <c r="N19" s="396">
        <f>+'003'!P18</f>
        <v>196087.28</v>
      </c>
      <c r="O19" s="396">
        <f t="shared" si="1"/>
        <v>0</v>
      </c>
    </row>
    <row r="20" spans="1:15">
      <c r="A20" s="394" t="str">
        <f>+'003'!B19</f>
        <v>1.2.1</v>
      </c>
      <c r="B20" s="394" t="str">
        <f>+'003'!C19</f>
        <v>E058-G1053</v>
      </c>
      <c r="C20" s="394">
        <f>+'003'!D19</f>
        <v>1</v>
      </c>
      <c r="D20" s="394" t="str">
        <f>+'003'!E19</f>
        <v>21115-0105</v>
      </c>
      <c r="E20" s="394" t="str">
        <f>+'003'!F19</f>
        <v>1</v>
      </c>
      <c r="F20" s="394" t="str">
        <f>+'003'!G19</f>
        <v>1712</v>
      </c>
      <c r="G20" s="464" t="str">
        <f>+'003'!H19</f>
        <v>1.2.1/E058-G1053/1/21115-0105/1/1712  Estím Personal Oper</v>
      </c>
      <c r="H20" s="396">
        <f>+'003'!J19</f>
        <v>10555.62</v>
      </c>
      <c r="I20" s="396">
        <f>+'003'!K19</f>
        <v>93.599999999999909</v>
      </c>
      <c r="J20" s="396">
        <f>+'003'!L19</f>
        <v>10649.22</v>
      </c>
      <c r="K20" s="396">
        <f>+'003'!M19</f>
        <v>10649.22</v>
      </c>
      <c r="L20" s="396">
        <f>+'003'!N19</f>
        <v>10649.22</v>
      </c>
      <c r="M20" s="396">
        <f>+'003'!O19</f>
        <v>10649.22</v>
      </c>
      <c r="N20" s="396">
        <f>+'003'!P19</f>
        <v>10649.22</v>
      </c>
      <c r="O20" s="396">
        <f t="shared" si="1"/>
        <v>0</v>
      </c>
    </row>
    <row r="21" spans="1:15">
      <c r="A21" s="394" t="str">
        <f>+'003'!B20</f>
        <v>1.2.1</v>
      </c>
      <c r="B21" s="394" t="str">
        <f>+'003'!C20</f>
        <v>E058-G1053</v>
      </c>
      <c r="C21" s="394">
        <f>+'003'!D20</f>
        <v>1</v>
      </c>
      <c r="D21" s="394" t="str">
        <f>+'003'!E20</f>
        <v>21115-0105</v>
      </c>
      <c r="E21" s="394" t="str">
        <f>+'003'!F20</f>
        <v>1</v>
      </c>
      <c r="F21" s="394" t="str">
        <f>+'003'!G20</f>
        <v>2111</v>
      </c>
      <c r="G21" s="464" t="str">
        <f>+'003'!H20</f>
        <v>1.2.1/E058-G1053/1/21115-0105/1/2111  Materiales y útiles de oficina</v>
      </c>
      <c r="H21" s="396">
        <f>+'003'!J20</f>
        <v>275522.78999999998</v>
      </c>
      <c r="I21" s="396">
        <f>+'003'!K20</f>
        <v>-19367.369999999995</v>
      </c>
      <c r="J21" s="396">
        <f>+'003'!L20</f>
        <v>256155.42</v>
      </c>
      <c r="K21" s="396">
        <f>+'003'!M20</f>
        <v>256155.42</v>
      </c>
      <c r="L21" s="396">
        <f>+'003'!N20</f>
        <v>256155.42</v>
      </c>
      <c r="M21" s="396">
        <f>+'003'!O20</f>
        <v>256155.42</v>
      </c>
      <c r="N21" s="396">
        <f>+'003'!P20</f>
        <v>256155.42</v>
      </c>
      <c r="O21" s="396">
        <f t="shared" si="1"/>
        <v>0</v>
      </c>
    </row>
    <row r="22" spans="1:15">
      <c r="A22" s="394" t="str">
        <f>+'003'!B21</f>
        <v>1.2.1</v>
      </c>
      <c r="B22" s="394" t="str">
        <f>+'003'!C21</f>
        <v>E058-G1053</v>
      </c>
      <c r="C22" s="394">
        <f>+'003'!D21</f>
        <v>1</v>
      </c>
      <c r="D22" s="394" t="str">
        <f>+'003'!E21</f>
        <v>21115-0105</v>
      </c>
      <c r="E22" s="394" t="str">
        <f>+'003'!F21</f>
        <v>1</v>
      </c>
      <c r="F22" s="394" t="str">
        <f>+'003'!G21</f>
        <v>2112</v>
      </c>
      <c r="G22" s="464" t="str">
        <f>+'003'!H21</f>
        <v>1.2.1/E058-G1053/1/21115-0105/1/2112  Equipos menores de oficina</v>
      </c>
      <c r="H22" s="396">
        <f>+'003'!J21</f>
        <v>34699.870000000003</v>
      </c>
      <c r="I22" s="396">
        <f>+'003'!K21</f>
        <v>-12778.269999999997</v>
      </c>
      <c r="J22" s="396">
        <f>+'003'!L21</f>
        <v>21921.599999999999</v>
      </c>
      <c r="K22" s="396">
        <f>+'003'!M21</f>
        <v>21921.599999999999</v>
      </c>
      <c r="L22" s="396">
        <f>+'003'!N21</f>
        <v>21921.599999999999</v>
      </c>
      <c r="M22" s="396">
        <f>+'003'!O21</f>
        <v>21921.599999999999</v>
      </c>
      <c r="N22" s="396">
        <f>+'003'!P21</f>
        <v>21921.599999999999</v>
      </c>
      <c r="O22" s="396">
        <f t="shared" si="1"/>
        <v>0</v>
      </c>
    </row>
    <row r="23" spans="1:15">
      <c r="A23" s="394" t="str">
        <f>+'003'!B22</f>
        <v>1.2.1</v>
      </c>
      <c r="B23" s="394" t="str">
        <f>+'003'!C22</f>
        <v>E058-G1053</v>
      </c>
      <c r="C23" s="394">
        <f>+'003'!D22</f>
        <v>1</v>
      </c>
      <c r="D23" s="394" t="str">
        <f>+'003'!E22</f>
        <v>21115-0105</v>
      </c>
      <c r="E23" s="394" t="str">
        <f>+'003'!F22</f>
        <v>1</v>
      </c>
      <c r="F23" s="394" t="str">
        <f>+'003'!G22</f>
        <v>2121</v>
      </c>
      <c r="G23" s="464" t="str">
        <f>+'003'!H22</f>
        <v>1.2.1/E058-G1053/1/21115-0105/1/2121  Maty útiles impresi</v>
      </c>
      <c r="H23" s="396">
        <f>+'003'!J22</f>
        <v>51500</v>
      </c>
      <c r="I23" s="396">
        <f>+'003'!K22</f>
        <v>-51500</v>
      </c>
      <c r="J23" s="396">
        <f>+'003'!L22</f>
        <v>0</v>
      </c>
      <c r="K23" s="396">
        <f>+'003'!M22</f>
        <v>0</v>
      </c>
      <c r="L23" s="396">
        <f>+'003'!N22</f>
        <v>0</v>
      </c>
      <c r="M23" s="396">
        <f>+'003'!O22</f>
        <v>0</v>
      </c>
      <c r="N23" s="396">
        <f>+'003'!P22</f>
        <v>0</v>
      </c>
      <c r="O23" s="396">
        <f t="shared" si="1"/>
        <v>0</v>
      </c>
    </row>
    <row r="24" spans="1:15">
      <c r="A24" s="394" t="str">
        <f>+'003'!B23</f>
        <v>1.2.1</v>
      </c>
      <c r="B24" s="394" t="str">
        <f>+'003'!C23</f>
        <v>E058-G1053</v>
      </c>
      <c r="C24" s="394">
        <f>+'003'!D23</f>
        <v>1</v>
      </c>
      <c r="D24" s="394" t="str">
        <f>+'003'!E23</f>
        <v>21115-0105</v>
      </c>
      <c r="E24" s="394" t="str">
        <f>+'003'!F23</f>
        <v>1</v>
      </c>
      <c r="F24" s="394" t="str">
        <f>+'003'!G23</f>
        <v>2141</v>
      </c>
      <c r="G24" s="464" t="str">
        <f>+'003'!H23</f>
        <v>1.2.1/E058-G1053/1/21115-0105/1/2141  Mat y útiles Tec In</v>
      </c>
      <c r="H24" s="396">
        <f>+'003'!J23</f>
        <v>488250.33</v>
      </c>
      <c r="I24" s="396">
        <f>+'003'!K23</f>
        <v>-105120.29999999999</v>
      </c>
      <c r="J24" s="396">
        <f>+'003'!L23</f>
        <v>383130.03</v>
      </c>
      <c r="K24" s="396">
        <f>+'003'!M23</f>
        <v>383130.03</v>
      </c>
      <c r="L24" s="396">
        <f>+'003'!N23</f>
        <v>383130.03</v>
      </c>
      <c r="M24" s="396">
        <f>+'003'!O23</f>
        <v>383130.03</v>
      </c>
      <c r="N24" s="396">
        <f>+'003'!P23</f>
        <v>383130.03</v>
      </c>
      <c r="O24" s="396">
        <f t="shared" si="1"/>
        <v>0</v>
      </c>
    </row>
    <row r="25" spans="1:15">
      <c r="A25" s="394" t="str">
        <f>+'003'!B24</f>
        <v>1.2.1</v>
      </c>
      <c r="B25" s="394" t="str">
        <f>+'003'!C24</f>
        <v>E058-G1053</v>
      </c>
      <c r="C25" s="394">
        <f>+'003'!D24</f>
        <v>1</v>
      </c>
      <c r="D25" s="394" t="str">
        <f>+'003'!E24</f>
        <v>21115-0105</v>
      </c>
      <c r="E25" s="394" t="str">
        <f>+'003'!F24</f>
        <v>1</v>
      </c>
      <c r="F25" s="394" t="str">
        <f>+'003'!G24</f>
        <v>2151</v>
      </c>
      <c r="G25" s="464" t="str">
        <f>+'003'!H24</f>
        <v>1.2.1/E058-G1053/1/21115-0105/1/2151  Mat impreso  e info</v>
      </c>
      <c r="H25" s="396">
        <f>+'003'!J24</f>
        <v>126996.61</v>
      </c>
      <c r="I25" s="396">
        <f>+'003'!K24</f>
        <v>-51093.609999999986</v>
      </c>
      <c r="J25" s="396">
        <f>+'003'!L24</f>
        <v>75903</v>
      </c>
      <c r="K25" s="396">
        <f>+'003'!M24</f>
        <v>75903</v>
      </c>
      <c r="L25" s="396">
        <f>+'003'!N24</f>
        <v>75903</v>
      </c>
      <c r="M25" s="396">
        <f>+'003'!O24</f>
        <v>75903</v>
      </c>
      <c r="N25" s="396">
        <f>+'003'!P24</f>
        <v>75903</v>
      </c>
      <c r="O25" s="396">
        <f t="shared" si="1"/>
        <v>0</v>
      </c>
    </row>
    <row r="26" spans="1:15">
      <c r="A26" s="394" t="str">
        <f>+'003'!B25</f>
        <v>1.2.1</v>
      </c>
      <c r="B26" s="394" t="str">
        <f>+'003'!C25</f>
        <v>E058-G1053</v>
      </c>
      <c r="C26" s="394">
        <f>+'003'!D25</f>
        <v>1</v>
      </c>
      <c r="D26" s="394" t="str">
        <f>+'003'!E25</f>
        <v>21115-0105</v>
      </c>
      <c r="E26" s="394" t="str">
        <f>+'003'!F25</f>
        <v>1</v>
      </c>
      <c r="F26" s="394" t="str">
        <f>+'003'!G25</f>
        <v>2161</v>
      </c>
      <c r="G26" s="464" t="str">
        <f>+'003'!H25</f>
        <v>1.2.1/E058-G1053/1/21115-0105/1/2161  Material de limpieza</v>
      </c>
      <c r="H26" s="396">
        <f>+'003'!J25</f>
        <v>97190.96</v>
      </c>
      <c r="I26" s="396">
        <f>+'003'!K25</f>
        <v>60997.03</v>
      </c>
      <c r="J26" s="396">
        <f>+'003'!L25</f>
        <v>158187.99</v>
      </c>
      <c r="K26" s="396">
        <f>+'003'!M25</f>
        <v>158187.99</v>
      </c>
      <c r="L26" s="396">
        <f>+'003'!N25</f>
        <v>158187.99</v>
      </c>
      <c r="M26" s="396">
        <f>+'003'!O25</f>
        <v>158187.99</v>
      </c>
      <c r="N26" s="396">
        <f>+'003'!P25</f>
        <v>158187.99</v>
      </c>
      <c r="O26" s="396">
        <f t="shared" si="1"/>
        <v>0</v>
      </c>
    </row>
    <row r="27" spans="1:15">
      <c r="A27" s="394" t="str">
        <f>+'003'!B26</f>
        <v>1.2.1</v>
      </c>
      <c r="B27" s="394" t="str">
        <f>+'003'!C26</f>
        <v>E058-G1053</v>
      </c>
      <c r="C27" s="394">
        <f>+'003'!D26</f>
        <v>1</v>
      </c>
      <c r="D27" s="394" t="str">
        <f>+'003'!E26</f>
        <v>21115-0105</v>
      </c>
      <c r="E27" s="394" t="str">
        <f>+'003'!F26</f>
        <v>1</v>
      </c>
      <c r="F27" s="394" t="str">
        <f>+'003'!G26</f>
        <v>2212</v>
      </c>
      <c r="G27" s="464" t="str">
        <f>+'003'!H26</f>
        <v>1.2.1/E058-G1053/1/21115-0105/1/2212  Prod Alimen instal</v>
      </c>
      <c r="H27" s="396">
        <f>+'003'!J26</f>
        <v>22618.71</v>
      </c>
      <c r="I27" s="396">
        <f>+'003'!K26</f>
        <v>-10822.849999999999</v>
      </c>
      <c r="J27" s="396">
        <f>+'003'!L26</f>
        <v>11795.86</v>
      </c>
      <c r="K27" s="396">
        <f>+'003'!M26</f>
        <v>11795.86</v>
      </c>
      <c r="L27" s="396">
        <f>+'003'!N26</f>
        <v>11795.86</v>
      </c>
      <c r="M27" s="396">
        <f>+'003'!O26</f>
        <v>11795.86</v>
      </c>
      <c r="N27" s="396">
        <f>+'003'!P26</f>
        <v>11795.86</v>
      </c>
      <c r="O27" s="396">
        <f t="shared" si="1"/>
        <v>0</v>
      </c>
    </row>
    <row r="28" spans="1:15">
      <c r="A28" s="394" t="str">
        <f>+'003'!B27</f>
        <v>1.2.1</v>
      </c>
      <c r="B28" s="394" t="str">
        <f>+'003'!C27</f>
        <v>E058-G1053</v>
      </c>
      <c r="C28" s="394">
        <f>+'003'!D27</f>
        <v>1</v>
      </c>
      <c r="D28" s="394" t="str">
        <f>+'003'!E27</f>
        <v>21115-0105</v>
      </c>
      <c r="E28" s="394" t="str">
        <f>+'003'!F27</f>
        <v>1</v>
      </c>
      <c r="F28" s="394" t="str">
        <f>+'003'!G27</f>
        <v>2461</v>
      </c>
      <c r="G28" s="464" t="str">
        <f>+'003'!H27</f>
        <v>1.2.1/E058-G1053/1/21115-0105/1/2461  Mat Eléctrico</v>
      </c>
      <c r="H28" s="396">
        <f>+'003'!J27</f>
        <v>23650.05</v>
      </c>
      <c r="I28" s="396">
        <f>+'003'!K27</f>
        <v>-22724.449999999997</v>
      </c>
      <c r="J28" s="396">
        <f>+'003'!L27</f>
        <v>925.6</v>
      </c>
      <c r="K28" s="396">
        <f>+'003'!M27</f>
        <v>925.6</v>
      </c>
      <c r="L28" s="396">
        <f>+'003'!N27</f>
        <v>925.6</v>
      </c>
      <c r="M28" s="396">
        <f>+'003'!O27</f>
        <v>925.6</v>
      </c>
      <c r="N28" s="396">
        <f>+'003'!P27</f>
        <v>925.6</v>
      </c>
      <c r="O28" s="396">
        <f t="shared" si="1"/>
        <v>0</v>
      </c>
    </row>
    <row r="29" spans="1:15">
      <c r="A29" s="394" t="str">
        <f>+'003'!B28</f>
        <v>1.2.1</v>
      </c>
      <c r="B29" s="394" t="str">
        <f>+'003'!C28</f>
        <v>E058-G1053</v>
      </c>
      <c r="C29" s="394">
        <f>+'003'!D28</f>
        <v>1</v>
      </c>
      <c r="D29" s="394" t="str">
        <f>+'003'!E28</f>
        <v>21115-0105</v>
      </c>
      <c r="E29" s="394" t="str">
        <f>+'003'!F28</f>
        <v>1</v>
      </c>
      <c r="F29" s="394" t="str">
        <f>+'003'!G28</f>
        <v>2481</v>
      </c>
      <c r="G29" s="464" t="str">
        <f>+'003'!H28</f>
        <v>1.2.1/E058-G1053/1/21115-0105/1/2481  Materiales complementarios</v>
      </c>
      <c r="H29" s="396">
        <f>+'003'!J28</f>
        <v>27911.54</v>
      </c>
      <c r="I29" s="396">
        <f>+'003'!K28</f>
        <v>-12175.369999999999</v>
      </c>
      <c r="J29" s="396">
        <f>+'003'!L28</f>
        <v>15736.17</v>
      </c>
      <c r="K29" s="396">
        <f>+'003'!M28</f>
        <v>15736.17</v>
      </c>
      <c r="L29" s="396">
        <f>+'003'!N28</f>
        <v>15736.17</v>
      </c>
      <c r="M29" s="396">
        <f>+'003'!O28</f>
        <v>15736.17</v>
      </c>
      <c r="N29" s="396">
        <f>+'003'!P28</f>
        <v>15736.17</v>
      </c>
      <c r="O29" s="396">
        <f t="shared" si="1"/>
        <v>0</v>
      </c>
    </row>
    <row r="30" spans="1:15">
      <c r="A30" s="394" t="str">
        <f>+'003'!B29</f>
        <v>1.2.1</v>
      </c>
      <c r="B30" s="394" t="str">
        <f>+'003'!C29</f>
        <v>E058-G1053</v>
      </c>
      <c r="C30" s="394">
        <f>+'003'!D29</f>
        <v>1</v>
      </c>
      <c r="D30" s="394" t="str">
        <f>+'003'!E29</f>
        <v>21115-0105</v>
      </c>
      <c r="E30" s="394" t="str">
        <f>+'003'!F29</f>
        <v>1</v>
      </c>
      <c r="F30" s="394" t="str">
        <f>+'003'!G29</f>
        <v>2491</v>
      </c>
      <c r="G30" s="464" t="str">
        <f>+'003'!H29</f>
        <v>1.2.1/E058-G1053/1/21115-0105/1/2491  Materiales diversos</v>
      </c>
      <c r="H30" s="396">
        <f>+'003'!J29</f>
        <v>25910.07</v>
      </c>
      <c r="I30" s="396">
        <f>+'003'!K29</f>
        <v>-11151.669999999998</v>
      </c>
      <c r="J30" s="396">
        <f>+'003'!L29</f>
        <v>14758.4</v>
      </c>
      <c r="K30" s="396">
        <f>+'003'!M29</f>
        <v>14758.4</v>
      </c>
      <c r="L30" s="396">
        <f>+'003'!N29</f>
        <v>14758.4</v>
      </c>
      <c r="M30" s="396">
        <f>+'003'!O29</f>
        <v>14758.4</v>
      </c>
      <c r="N30" s="396">
        <f>+'003'!P29</f>
        <v>14758.4</v>
      </c>
      <c r="O30" s="396">
        <f t="shared" si="1"/>
        <v>0</v>
      </c>
    </row>
    <row r="31" spans="1:15">
      <c r="A31" s="394" t="str">
        <f>+'003'!B30</f>
        <v>1.2.1</v>
      </c>
      <c r="B31" s="394" t="str">
        <f>+'003'!C30</f>
        <v>E058-G1053</v>
      </c>
      <c r="C31" s="394">
        <f>+'003'!D30</f>
        <v>1</v>
      </c>
      <c r="D31" s="394" t="str">
        <f>+'003'!E30</f>
        <v>21115-0105</v>
      </c>
      <c r="E31" s="394" t="str">
        <f>+'003'!F30</f>
        <v>1</v>
      </c>
      <c r="F31" s="394" t="str">
        <f>+'003'!G30</f>
        <v>2531</v>
      </c>
      <c r="G31" s="464" t="str">
        <f>+'003'!H30</f>
        <v>1.2.1/E058-G1053/1/21115-0105/1/2531  Medicinas y prod far</v>
      </c>
      <c r="H31" s="396">
        <f>+'003'!J30</f>
        <v>2980.42</v>
      </c>
      <c r="I31" s="396">
        <f>+'003'!K30</f>
        <v>-1415.92</v>
      </c>
      <c r="J31" s="396">
        <f>+'003'!L30</f>
        <v>1564.5</v>
      </c>
      <c r="K31" s="396">
        <f>+'003'!M30</f>
        <v>1564.5</v>
      </c>
      <c r="L31" s="396">
        <f>+'003'!N30</f>
        <v>1564.5</v>
      </c>
      <c r="M31" s="396">
        <f>+'003'!O30</f>
        <v>1564.5</v>
      </c>
      <c r="N31" s="396">
        <f>+'003'!P30</f>
        <v>1564.5</v>
      </c>
      <c r="O31" s="396">
        <f t="shared" si="1"/>
        <v>0</v>
      </c>
    </row>
    <row r="32" spans="1:15">
      <c r="A32" s="394" t="str">
        <f>+'003'!B31</f>
        <v>1.2.1</v>
      </c>
      <c r="B32" s="394" t="str">
        <f>+'003'!C31</f>
        <v>E058-G1053</v>
      </c>
      <c r="C32" s="394">
        <f>+'003'!D31</f>
        <v>1</v>
      </c>
      <c r="D32" s="394" t="str">
        <f>+'003'!E31</f>
        <v>21115-0105</v>
      </c>
      <c r="E32" s="394" t="str">
        <f>+'003'!F31</f>
        <v>1</v>
      </c>
      <c r="F32" s="394" t="str">
        <f>+'003'!G31</f>
        <v>2611</v>
      </c>
      <c r="G32" s="464" t="str">
        <f>+'003'!H31</f>
        <v>1.2.1/E058-G1053/1/21115-0105/1/2611  Combus p Seg pub</v>
      </c>
      <c r="H32" s="396">
        <f>+'003'!J31</f>
        <v>0</v>
      </c>
      <c r="I32" s="396">
        <f>+'003'!K31</f>
        <v>0</v>
      </c>
      <c r="J32" s="396">
        <f>+'003'!L31</f>
        <v>0</v>
      </c>
      <c r="K32" s="396">
        <f>+'003'!M31</f>
        <v>0</v>
      </c>
      <c r="L32" s="396">
        <f>+'003'!N31</f>
        <v>0</v>
      </c>
      <c r="M32" s="396">
        <f>+'003'!O31</f>
        <v>0</v>
      </c>
      <c r="N32" s="396">
        <f>+'003'!P31</f>
        <v>0</v>
      </c>
      <c r="O32" s="396">
        <f t="shared" si="1"/>
        <v>0</v>
      </c>
    </row>
    <row r="33" spans="1:15">
      <c r="A33" s="394" t="str">
        <f>+'003'!B32</f>
        <v>1.2.1</v>
      </c>
      <c r="B33" s="394" t="str">
        <f>+'003'!C32</f>
        <v>E058-G1053</v>
      </c>
      <c r="C33" s="394">
        <f>+'003'!D32</f>
        <v>1</v>
      </c>
      <c r="D33" s="394" t="str">
        <f>+'003'!E32</f>
        <v>21115-0105</v>
      </c>
      <c r="E33" s="394" t="str">
        <f>+'003'!F32</f>
        <v>1</v>
      </c>
      <c r="F33" s="394" t="str">
        <f>+'003'!G32</f>
        <v>2612</v>
      </c>
      <c r="G33" s="464" t="str">
        <f>+'003'!H32</f>
        <v>1.2.1/E058-G1053/1/21115-0105/1/2612  Combus p Serv pub</v>
      </c>
      <c r="H33" s="396">
        <f>+'003'!J32</f>
        <v>51113.760000000002</v>
      </c>
      <c r="I33" s="396">
        <f>+'003'!K32</f>
        <v>-9043.8299999999945</v>
      </c>
      <c r="J33" s="396">
        <f>+'003'!L32</f>
        <v>42069.93</v>
      </c>
      <c r="K33" s="396">
        <f>+'003'!M32</f>
        <v>42069.93</v>
      </c>
      <c r="L33" s="396">
        <f>+'003'!N32</f>
        <v>42069.93</v>
      </c>
      <c r="M33" s="396">
        <f>+'003'!O32</f>
        <v>42069.93</v>
      </c>
      <c r="N33" s="396">
        <f>+'003'!P32</f>
        <v>42069.93</v>
      </c>
      <c r="O33" s="396">
        <f t="shared" si="1"/>
        <v>0</v>
      </c>
    </row>
    <row r="34" spans="1:15">
      <c r="A34" s="394" t="str">
        <f>+'003'!B33</f>
        <v>1.2.1</v>
      </c>
      <c r="B34" s="394" t="str">
        <f>+'003'!C33</f>
        <v>E058-G1053</v>
      </c>
      <c r="C34" s="394">
        <f>+'003'!D33</f>
        <v>1</v>
      </c>
      <c r="D34" s="394" t="str">
        <f>+'003'!E33</f>
        <v>21115-0105</v>
      </c>
      <c r="E34" s="394" t="str">
        <f>+'003'!F33</f>
        <v>1</v>
      </c>
      <c r="F34" s="394" t="str">
        <f>+'003'!G33</f>
        <v>2711</v>
      </c>
      <c r="G34" s="464" t="str">
        <f>+'003'!H33</f>
        <v>1.2.1/E058-G1053/1/21115-0105/1/2711  Vestuario y uniformes</v>
      </c>
      <c r="H34" s="396">
        <f>+'003'!J33</f>
        <v>80518.42</v>
      </c>
      <c r="I34" s="396">
        <f>+'003'!K33</f>
        <v>1515.4300000000221</v>
      </c>
      <c r="J34" s="396">
        <f>+'003'!L33</f>
        <v>82033.850000000006</v>
      </c>
      <c r="K34" s="396">
        <f>+'003'!M33</f>
        <v>82033.850000000006</v>
      </c>
      <c r="L34" s="396">
        <f>+'003'!N33</f>
        <v>82033.850000000006</v>
      </c>
      <c r="M34" s="396">
        <f>+'003'!O33</f>
        <v>82033.850000000006</v>
      </c>
      <c r="N34" s="396">
        <f>+'003'!P33</f>
        <v>82033.850000000006</v>
      </c>
      <c r="O34" s="396">
        <f t="shared" si="1"/>
        <v>0</v>
      </c>
    </row>
    <row r="35" spans="1:15">
      <c r="A35" s="394" t="str">
        <f>+'003'!B34</f>
        <v>1.2.1</v>
      </c>
      <c r="B35" s="394" t="str">
        <f>+'003'!C34</f>
        <v>E058-G1053</v>
      </c>
      <c r="C35" s="394">
        <f>+'003'!D34</f>
        <v>1</v>
      </c>
      <c r="D35" s="394" t="str">
        <f>+'003'!E34</f>
        <v>21115-0105</v>
      </c>
      <c r="E35" s="394" t="str">
        <f>+'003'!F34</f>
        <v>1</v>
      </c>
      <c r="F35" s="394" t="str">
        <f>+'003'!G34</f>
        <v>2731</v>
      </c>
      <c r="G35" s="464" t="str">
        <f>+'003'!H34</f>
        <v>1.2.1/E058-G1053/1/21115-0105/1/2731  Artículos deportivos</v>
      </c>
      <c r="H35" s="396">
        <f>+'003'!J34</f>
        <v>1732.46</v>
      </c>
      <c r="I35" s="396">
        <f>+'003'!K34</f>
        <v>-1732.46</v>
      </c>
      <c r="J35" s="396">
        <f>+'003'!L34</f>
        <v>0</v>
      </c>
      <c r="K35" s="396">
        <f>+'003'!M34</f>
        <v>0</v>
      </c>
      <c r="L35" s="396">
        <f>+'003'!N34</f>
        <v>0</v>
      </c>
      <c r="M35" s="396">
        <f>+'003'!O34</f>
        <v>0</v>
      </c>
      <c r="N35" s="396">
        <f>+'003'!P34</f>
        <v>0</v>
      </c>
      <c r="O35" s="396">
        <f t="shared" si="1"/>
        <v>0</v>
      </c>
    </row>
    <row r="36" spans="1:15">
      <c r="A36" s="394" t="str">
        <f>+'003'!B35</f>
        <v>1.2.1</v>
      </c>
      <c r="B36" s="394" t="str">
        <f>+'003'!C35</f>
        <v>E058-G1053</v>
      </c>
      <c r="C36" s="394">
        <f>+'003'!D35</f>
        <v>1</v>
      </c>
      <c r="D36" s="394" t="str">
        <f>+'003'!E35</f>
        <v>21115-0105</v>
      </c>
      <c r="E36" s="394" t="str">
        <f>+'003'!F35</f>
        <v>1</v>
      </c>
      <c r="F36" s="394" t="str">
        <f>+'003'!G35</f>
        <v>2911</v>
      </c>
      <c r="G36" s="464" t="str">
        <f>+'003'!H35</f>
        <v>1.2.1/E058-G1053/1/21115-0105/1/2911  Herramientas menores</v>
      </c>
      <c r="H36" s="396">
        <f>+'003'!J35</f>
        <v>1736.46</v>
      </c>
      <c r="I36" s="396">
        <f>+'003'!K35</f>
        <v>6012.8899999999994</v>
      </c>
      <c r="J36" s="396">
        <f>+'003'!L35</f>
        <v>7749.35</v>
      </c>
      <c r="K36" s="396">
        <f>+'003'!M35</f>
        <v>7749.35</v>
      </c>
      <c r="L36" s="396">
        <f>+'003'!N35</f>
        <v>7749.35</v>
      </c>
      <c r="M36" s="396">
        <f>+'003'!O35</f>
        <v>7749.35</v>
      </c>
      <c r="N36" s="396">
        <f>+'003'!P35</f>
        <v>7749.35</v>
      </c>
      <c r="O36" s="396">
        <f t="shared" si="1"/>
        <v>0</v>
      </c>
    </row>
    <row r="37" spans="1:15">
      <c r="A37" s="394" t="str">
        <f>+'003'!B36</f>
        <v>1.2.1</v>
      </c>
      <c r="B37" s="394" t="str">
        <f>+'003'!C36</f>
        <v>E058-G1053</v>
      </c>
      <c r="C37" s="394">
        <f>+'003'!D36</f>
        <v>1</v>
      </c>
      <c r="D37" s="394" t="str">
        <f>+'003'!E36</f>
        <v>21115-0105</v>
      </c>
      <c r="E37" s="394" t="str">
        <f>+'003'!F36</f>
        <v>1</v>
      </c>
      <c r="F37" s="394" t="str">
        <f>+'003'!G36</f>
        <v>2921</v>
      </c>
      <c r="G37" s="464" t="str">
        <f>+'003'!H36</f>
        <v>1.2.1/E058-G1053/1/21115-0105/1/2921  Ref Edificios</v>
      </c>
      <c r="H37" s="396">
        <f>+'003'!J36</f>
        <v>0</v>
      </c>
      <c r="I37" s="396">
        <f>+'003'!K36</f>
        <v>1801.0100000000002</v>
      </c>
      <c r="J37" s="396">
        <f>+'003'!L36</f>
        <v>1801.01</v>
      </c>
      <c r="K37" s="396">
        <f>+'003'!M36</f>
        <v>1801.01</v>
      </c>
      <c r="L37" s="396">
        <f>+'003'!N36</f>
        <v>1801.01</v>
      </c>
      <c r="M37" s="396">
        <f>+'003'!O36</f>
        <v>1801.01</v>
      </c>
      <c r="N37" s="396">
        <f>+'003'!P36</f>
        <v>1801.01</v>
      </c>
      <c r="O37" s="396">
        <f t="shared" si="1"/>
        <v>0</v>
      </c>
    </row>
    <row r="38" spans="1:15">
      <c r="A38" s="394" t="str">
        <f>+'003'!B37</f>
        <v>1.2.1</v>
      </c>
      <c r="B38" s="394" t="str">
        <f>+'003'!C37</f>
        <v>E058-G1053</v>
      </c>
      <c r="C38" s="394">
        <f>+'003'!D37</f>
        <v>1</v>
      </c>
      <c r="D38" s="394" t="str">
        <f>+'003'!E37</f>
        <v>21115-0105</v>
      </c>
      <c r="E38" s="394" t="str">
        <f>+'003'!F37</f>
        <v>1</v>
      </c>
      <c r="F38" s="394" t="str">
        <f>+'003'!G37</f>
        <v>2931</v>
      </c>
      <c r="G38" s="464" t="str">
        <f>+'003'!H37</f>
        <v>1.2.1/E058-G1053/1/21115-0105/1/2931  Ref Mobiliario</v>
      </c>
      <c r="H38" s="396">
        <f>+'003'!J37</f>
        <v>28460.959999999999</v>
      </c>
      <c r="I38" s="396">
        <f>+'003'!K37</f>
        <v>-28460.959999999999</v>
      </c>
      <c r="J38" s="396">
        <f>+'003'!L37</f>
        <v>0</v>
      </c>
      <c r="K38" s="396">
        <f>+'003'!M37</f>
        <v>0</v>
      </c>
      <c r="L38" s="396">
        <f>+'003'!N37</f>
        <v>0</v>
      </c>
      <c r="M38" s="396">
        <f>+'003'!O37</f>
        <v>0</v>
      </c>
      <c r="N38" s="396">
        <f>+'003'!P37</f>
        <v>0</v>
      </c>
      <c r="O38" s="396">
        <f t="shared" si="1"/>
        <v>0</v>
      </c>
    </row>
    <row r="39" spans="1:15">
      <c r="A39" s="394" t="str">
        <f>+'003'!B38</f>
        <v>1.2.1</v>
      </c>
      <c r="B39" s="394" t="str">
        <f>+'003'!C38</f>
        <v>E058-G1053</v>
      </c>
      <c r="C39" s="394">
        <f>+'003'!D38</f>
        <v>1</v>
      </c>
      <c r="D39" s="394" t="str">
        <f>+'003'!E38</f>
        <v>21115-0105</v>
      </c>
      <c r="E39" s="394" t="str">
        <f>+'003'!F38</f>
        <v>1</v>
      </c>
      <c r="F39" s="394" t="str">
        <f>+'003'!G38</f>
        <v>2941</v>
      </c>
      <c r="G39" s="464" t="str">
        <f>+'003'!H38</f>
        <v>1.2.1/E058-G1053/1/21115-0105/1/2941  Ref Eq Cómputo</v>
      </c>
      <c r="H39" s="396">
        <f>+'003'!J38</f>
        <v>51828.62</v>
      </c>
      <c r="I39" s="396">
        <f>+'003'!K38</f>
        <v>29460.179999999993</v>
      </c>
      <c r="J39" s="396">
        <f>+'003'!L38</f>
        <v>81288.800000000003</v>
      </c>
      <c r="K39" s="396">
        <f>+'003'!M38</f>
        <v>81288.800000000003</v>
      </c>
      <c r="L39" s="396">
        <f>+'003'!N38</f>
        <v>81288.800000000003</v>
      </c>
      <c r="M39" s="396">
        <f>+'003'!O38</f>
        <v>81288.800000000003</v>
      </c>
      <c r="N39" s="396">
        <f>+'003'!P38</f>
        <v>81288.800000000003</v>
      </c>
      <c r="O39" s="396">
        <f t="shared" si="1"/>
        <v>0</v>
      </c>
    </row>
    <row r="40" spans="1:15">
      <c r="A40" s="394" t="str">
        <f>+'003'!B39</f>
        <v>1.2.1</v>
      </c>
      <c r="B40" s="394" t="str">
        <f>+'003'!C39</f>
        <v>E058-G1053</v>
      </c>
      <c r="C40" s="394">
        <f>+'003'!D39</f>
        <v>1</v>
      </c>
      <c r="D40" s="394" t="str">
        <f>+'003'!E39</f>
        <v>21115-0105</v>
      </c>
      <c r="E40" s="394" t="str">
        <f>+'003'!F39</f>
        <v>1</v>
      </c>
      <c r="F40" s="394" t="str">
        <f>+'003'!G39</f>
        <v>3111</v>
      </c>
      <c r="G40" s="464" t="str">
        <f>+'003'!H39</f>
        <v>1.2.1/E058-G1053/1/21115-0105/1/3111  Servicio de energía eléctrica</v>
      </c>
      <c r="H40" s="396">
        <f>+'003'!J39</f>
        <v>187038.45</v>
      </c>
      <c r="I40" s="396">
        <f>+'003'!K39</f>
        <v>117621.54999999999</v>
      </c>
      <c r="J40" s="396">
        <f>+'003'!L39</f>
        <v>304660</v>
      </c>
      <c r="K40" s="396">
        <f>+'003'!M39</f>
        <v>304660</v>
      </c>
      <c r="L40" s="396">
        <f>+'003'!N39</f>
        <v>304660</v>
      </c>
      <c r="M40" s="396">
        <f>+'003'!O39</f>
        <v>304660</v>
      </c>
      <c r="N40" s="396">
        <f>+'003'!P39</f>
        <v>269660</v>
      </c>
      <c r="O40" s="396">
        <f t="shared" si="1"/>
        <v>0</v>
      </c>
    </row>
    <row r="41" spans="1:15">
      <c r="A41" s="394" t="str">
        <f>+'003'!B40</f>
        <v>1.2.1</v>
      </c>
      <c r="B41" s="394" t="str">
        <f>+'003'!C40</f>
        <v>E058-G1053</v>
      </c>
      <c r="C41" s="394">
        <f>+'003'!D40</f>
        <v>1</v>
      </c>
      <c r="D41" s="394" t="str">
        <f>+'003'!E40</f>
        <v>21115-0105</v>
      </c>
      <c r="E41" s="394" t="str">
        <f>+'003'!F40</f>
        <v>1</v>
      </c>
      <c r="F41" s="394" t="str">
        <f>+'003'!G40</f>
        <v>3131</v>
      </c>
      <c r="G41" s="464" t="str">
        <f>+'003'!H40</f>
        <v>1.2.1/E058-G1053/1/21115-0105/1/3131  Servicio de agua</v>
      </c>
      <c r="H41" s="396">
        <f>+'003'!J40</f>
        <v>30693.93</v>
      </c>
      <c r="I41" s="396">
        <f>+'003'!K40</f>
        <v>-21261.93</v>
      </c>
      <c r="J41" s="396">
        <f>+'003'!L40</f>
        <v>9432</v>
      </c>
      <c r="K41" s="396">
        <f>+'003'!M40</f>
        <v>9432</v>
      </c>
      <c r="L41" s="396">
        <f>+'003'!N40</f>
        <v>9432</v>
      </c>
      <c r="M41" s="396">
        <f>+'003'!O40</f>
        <v>9432</v>
      </c>
      <c r="N41" s="396">
        <f>+'003'!P40</f>
        <v>8740</v>
      </c>
      <c r="O41" s="396">
        <f t="shared" si="1"/>
        <v>0</v>
      </c>
    </row>
    <row r="42" spans="1:15">
      <c r="A42" s="394" t="str">
        <f>+'003'!B41</f>
        <v>1.2.1</v>
      </c>
      <c r="B42" s="394" t="str">
        <f>+'003'!C41</f>
        <v>E058-G1053</v>
      </c>
      <c r="C42" s="394">
        <f>+'003'!D41</f>
        <v>1</v>
      </c>
      <c r="D42" s="394" t="str">
        <f>+'003'!E41</f>
        <v>21115-0105</v>
      </c>
      <c r="E42" s="394" t="str">
        <f>+'003'!F41</f>
        <v>1</v>
      </c>
      <c r="F42" s="394" t="str">
        <f>+'003'!G41</f>
        <v>3141</v>
      </c>
      <c r="G42" s="464" t="str">
        <f>+'003'!H41</f>
        <v>1.2.1/E058-G1053/1/21115-0105/1/3141  Servicio telefonía tradicional</v>
      </c>
      <c r="H42" s="396">
        <f>+'003'!J41</f>
        <v>169353.17</v>
      </c>
      <c r="I42" s="396">
        <f>+'003'!K41</f>
        <v>-77920.180000000008</v>
      </c>
      <c r="J42" s="396">
        <f>+'003'!L41</f>
        <v>91432.99</v>
      </c>
      <c r="K42" s="396">
        <f>+'003'!M41</f>
        <v>91432.99</v>
      </c>
      <c r="L42" s="396">
        <f>+'003'!N41</f>
        <v>91432.99</v>
      </c>
      <c r="M42" s="396">
        <f>+'003'!O41</f>
        <v>91432.99</v>
      </c>
      <c r="N42" s="396">
        <f>+'003'!P41</f>
        <v>77993.990000000005</v>
      </c>
      <c r="O42" s="396">
        <f t="shared" si="1"/>
        <v>0</v>
      </c>
    </row>
    <row r="43" spans="1:15">
      <c r="A43" s="394" t="str">
        <f>+'003'!B42</f>
        <v>1.2.1</v>
      </c>
      <c r="B43" s="394" t="str">
        <f>+'003'!C42</f>
        <v>E058-G1053</v>
      </c>
      <c r="C43" s="394">
        <f>+'003'!D42</f>
        <v>1</v>
      </c>
      <c r="D43" s="394" t="str">
        <f>+'003'!E42</f>
        <v>21115-0105</v>
      </c>
      <c r="E43" s="394" t="str">
        <f>+'003'!F42</f>
        <v>1</v>
      </c>
      <c r="F43" s="394" t="str">
        <f>+'003'!G42</f>
        <v>3151</v>
      </c>
      <c r="G43" s="464" t="str">
        <f>+'003'!H42</f>
        <v>1.2.1/E058-G1053/1/21115-0105/1/3151  Servicio telefonía celular</v>
      </c>
      <c r="H43" s="396">
        <f>+'003'!J42</f>
        <v>105743.77</v>
      </c>
      <c r="I43" s="396">
        <f>+'003'!K42</f>
        <v>-33145.770000000004</v>
      </c>
      <c r="J43" s="396">
        <f>+'003'!L42</f>
        <v>72598</v>
      </c>
      <c r="K43" s="396">
        <f>+'003'!M42</f>
        <v>72598</v>
      </c>
      <c r="L43" s="396">
        <f>+'003'!N42</f>
        <v>72598</v>
      </c>
      <c r="M43" s="396">
        <f>+'003'!O42</f>
        <v>72598</v>
      </c>
      <c r="N43" s="396">
        <f>+'003'!P42</f>
        <v>64598</v>
      </c>
      <c r="O43" s="396">
        <f t="shared" si="1"/>
        <v>0</v>
      </c>
    </row>
    <row r="44" spans="1:15">
      <c r="A44" s="394" t="str">
        <f>+'003'!B43</f>
        <v>1.2.1</v>
      </c>
      <c r="B44" s="394" t="str">
        <f>+'003'!C43</f>
        <v>E058-G1053</v>
      </c>
      <c r="C44" s="394">
        <f>+'003'!D43</f>
        <v>1</v>
      </c>
      <c r="D44" s="394" t="str">
        <f>+'003'!E43</f>
        <v>21115-0105</v>
      </c>
      <c r="E44" s="394" t="str">
        <f>+'003'!F43</f>
        <v>1</v>
      </c>
      <c r="F44" s="394" t="str">
        <f>+'003'!G43</f>
        <v>3171</v>
      </c>
      <c r="G44" s="464" t="str">
        <f>+'003'!H43</f>
        <v>1.2.1/E058-G1053/1/21115-0105/1/3171  Serv Internet</v>
      </c>
      <c r="H44" s="396">
        <f>+'003'!J43</f>
        <v>289130.88</v>
      </c>
      <c r="I44" s="396">
        <f>+'003'!K43</f>
        <v>44435.45</v>
      </c>
      <c r="J44" s="396">
        <f>+'003'!L43</f>
        <v>333566.33</v>
      </c>
      <c r="K44" s="396">
        <f>+'003'!M43</f>
        <v>333566.33</v>
      </c>
      <c r="L44" s="396">
        <f>+'003'!N43</f>
        <v>333566.33</v>
      </c>
      <c r="M44" s="396">
        <f>+'003'!O43</f>
        <v>333566.33</v>
      </c>
      <c r="N44" s="396">
        <f>+'003'!P43</f>
        <v>304066.33</v>
      </c>
      <c r="O44" s="396">
        <f t="shared" si="1"/>
        <v>0</v>
      </c>
    </row>
    <row r="45" spans="1:15">
      <c r="A45" s="394" t="str">
        <f>+'003'!B44</f>
        <v>1.2.1</v>
      </c>
      <c r="B45" s="394" t="str">
        <f>+'003'!C44</f>
        <v>E058-G1053</v>
      </c>
      <c r="C45" s="394">
        <f>+'003'!D44</f>
        <v>1</v>
      </c>
      <c r="D45" s="394" t="str">
        <f>+'003'!E44</f>
        <v>21115-0105</v>
      </c>
      <c r="E45" s="394" t="str">
        <f>+'003'!F44</f>
        <v>1</v>
      </c>
      <c r="F45" s="394" t="str">
        <f>+'003'!G44</f>
        <v>3181</v>
      </c>
      <c r="G45" s="464" t="str">
        <f>+'003'!H44</f>
        <v>1.2.1/E058-G1053/1/21115-0105/1/3181  Servicio postal</v>
      </c>
      <c r="H45" s="396">
        <f>+'003'!J44</f>
        <v>11880.59</v>
      </c>
      <c r="I45" s="396">
        <f>+'003'!K44</f>
        <v>-11880.59</v>
      </c>
      <c r="J45" s="396">
        <f>+'003'!L44</f>
        <v>0</v>
      </c>
      <c r="K45" s="396">
        <f>+'003'!M44</f>
        <v>0</v>
      </c>
      <c r="L45" s="396">
        <f>+'003'!N44</f>
        <v>0</v>
      </c>
      <c r="M45" s="396">
        <f>+'003'!O44</f>
        <v>0</v>
      </c>
      <c r="N45" s="396">
        <f>+'003'!P44</f>
        <v>0</v>
      </c>
      <c r="O45" s="396">
        <f t="shared" si="1"/>
        <v>0</v>
      </c>
    </row>
    <row r="46" spans="1:15">
      <c r="A46" s="394" t="str">
        <f>+'003'!B45</f>
        <v>1.2.1</v>
      </c>
      <c r="B46" s="394" t="str">
        <f>+'003'!C45</f>
        <v>E058-G1053</v>
      </c>
      <c r="C46" s="394">
        <f>+'003'!D45</f>
        <v>1</v>
      </c>
      <c r="D46" s="394" t="str">
        <f>+'003'!E45</f>
        <v>21115-0105</v>
      </c>
      <c r="E46" s="394" t="str">
        <f>+'003'!F45</f>
        <v>1</v>
      </c>
      <c r="F46" s="394" t="str">
        <f>+'003'!G45</f>
        <v>3221</v>
      </c>
      <c r="G46" s="464" t="str">
        <f>+'003'!H45</f>
        <v>1.2.1/E058-G1053/1/21115-0105/1/3221  Arrendam Edificios</v>
      </c>
      <c r="H46" s="396">
        <f>+'003'!J45</f>
        <v>260785.11</v>
      </c>
      <c r="I46" s="396">
        <f>+'003'!K45</f>
        <v>159068.87000000005</v>
      </c>
      <c r="J46" s="396">
        <f>+'003'!L45</f>
        <v>419853.98</v>
      </c>
      <c r="K46" s="396">
        <f>+'003'!M45</f>
        <v>419853.98</v>
      </c>
      <c r="L46" s="396">
        <f>+'003'!N45</f>
        <v>419853.98</v>
      </c>
      <c r="M46" s="396">
        <f>+'003'!O45</f>
        <v>419853.98</v>
      </c>
      <c r="N46" s="396">
        <f>+'003'!P45</f>
        <v>419853.98</v>
      </c>
      <c r="O46" s="396">
        <f t="shared" si="1"/>
        <v>0</v>
      </c>
    </row>
    <row r="47" spans="1:15">
      <c r="A47" s="394" t="str">
        <f>+'003'!B46</f>
        <v>1.2.1</v>
      </c>
      <c r="B47" s="394" t="str">
        <f>+'003'!C46</f>
        <v>E058-G1053</v>
      </c>
      <c r="C47" s="394">
        <f>+'003'!D46</f>
        <v>1</v>
      </c>
      <c r="D47" s="394" t="str">
        <f>+'003'!E46</f>
        <v>21115-0105</v>
      </c>
      <c r="E47" s="394" t="str">
        <f>+'003'!F46</f>
        <v>1</v>
      </c>
      <c r="F47" s="394" t="str">
        <f>+'003'!G46</f>
        <v>3231</v>
      </c>
      <c r="G47" s="464" t="str">
        <f>+'003'!H46</f>
        <v>1.2.1/E058-G1053/1/21115-0105/1/3231  Arren Mobiliario</v>
      </c>
      <c r="H47" s="396">
        <f>+'003'!J46</f>
        <v>51615.360000000001</v>
      </c>
      <c r="I47" s="396">
        <f>+'003'!K46</f>
        <v>22392.639999999999</v>
      </c>
      <c r="J47" s="396">
        <f>+'003'!L46</f>
        <v>74008</v>
      </c>
      <c r="K47" s="396">
        <f>+'003'!M46</f>
        <v>74008</v>
      </c>
      <c r="L47" s="396">
        <f>+'003'!N46</f>
        <v>74008</v>
      </c>
      <c r="M47" s="396">
        <f>+'003'!O46</f>
        <v>74008</v>
      </c>
      <c r="N47" s="396">
        <f>+'003'!P46</f>
        <v>74008</v>
      </c>
      <c r="O47" s="396">
        <f t="shared" si="1"/>
        <v>0</v>
      </c>
    </row>
    <row r="48" spans="1:15">
      <c r="A48" s="394" t="str">
        <f>+'003'!B47</f>
        <v>1.2.1</v>
      </c>
      <c r="B48" s="394" t="str">
        <f>+'003'!C47</f>
        <v>E058-G1053</v>
      </c>
      <c r="C48" s="394">
        <f>+'003'!D47</f>
        <v>1</v>
      </c>
      <c r="D48" s="394" t="str">
        <f>+'003'!E47</f>
        <v>21115-0105</v>
      </c>
      <c r="E48" s="394" t="str">
        <f>+'003'!F47</f>
        <v>1</v>
      </c>
      <c r="F48" s="394" t="str">
        <f>+'003'!G47</f>
        <v>3261</v>
      </c>
      <c r="G48" s="464" t="str">
        <f>+'003'!H47</f>
        <v>1.2.1/E058-G1053/1/21115-0105/1/3261  Arren Maq y eq</v>
      </c>
      <c r="H48" s="396">
        <f>+'003'!J47</f>
        <v>0</v>
      </c>
      <c r="I48" s="396">
        <f>+'003'!K47</f>
        <v>6728</v>
      </c>
      <c r="J48" s="396">
        <f>+'003'!L47</f>
        <v>6728</v>
      </c>
      <c r="K48" s="396">
        <f>+'003'!M47</f>
        <v>6728</v>
      </c>
      <c r="L48" s="396">
        <f>+'003'!N47</f>
        <v>6728</v>
      </c>
      <c r="M48" s="396">
        <f>+'003'!O47</f>
        <v>6728</v>
      </c>
      <c r="N48" s="396">
        <f>+'003'!P47</f>
        <v>0</v>
      </c>
      <c r="O48" s="396">
        <f t="shared" si="1"/>
        <v>0</v>
      </c>
    </row>
    <row r="49" spans="1:15">
      <c r="A49" s="394" t="str">
        <f>+'003'!B48</f>
        <v>1.2.1</v>
      </c>
      <c r="B49" s="394" t="str">
        <f>+'003'!C48</f>
        <v>E058-G1053</v>
      </c>
      <c r="C49" s="394">
        <f>+'003'!D48</f>
        <v>1</v>
      </c>
      <c r="D49" s="394" t="str">
        <f>+'003'!E48</f>
        <v>21115-0105</v>
      </c>
      <c r="E49" s="394" t="str">
        <f>+'003'!F48</f>
        <v>1</v>
      </c>
      <c r="F49" s="394" t="str">
        <f>+'003'!G48</f>
        <v>3271</v>
      </c>
      <c r="G49" s="464" t="str">
        <f>+'003'!H48</f>
        <v>1.2.1/E058-G1053/1/21115-0105/1/3271  Arren Act Intangib</v>
      </c>
      <c r="H49" s="396">
        <f>+'003'!J48</f>
        <v>149082.63</v>
      </c>
      <c r="I49" s="396">
        <f>+'003'!K48</f>
        <v>-13839.669999999984</v>
      </c>
      <c r="J49" s="396">
        <f>+'003'!L48</f>
        <v>135242.96</v>
      </c>
      <c r="K49" s="396">
        <f>+'003'!M48</f>
        <v>135242.96</v>
      </c>
      <c r="L49" s="396">
        <f>+'003'!N48</f>
        <v>135242.96</v>
      </c>
      <c r="M49" s="396">
        <f>+'003'!O48</f>
        <v>135242.96</v>
      </c>
      <c r="N49" s="396">
        <f>+'003'!P48</f>
        <v>135242.96</v>
      </c>
      <c r="O49" s="396">
        <f t="shared" si="1"/>
        <v>0</v>
      </c>
    </row>
    <row r="50" spans="1:15">
      <c r="A50" s="394" t="str">
        <f>+'003'!B49</f>
        <v>1.2.1</v>
      </c>
      <c r="B50" s="394" t="str">
        <f>+'003'!C49</f>
        <v>E058-G1053</v>
      </c>
      <c r="C50" s="394">
        <f>+'003'!D49</f>
        <v>1</v>
      </c>
      <c r="D50" s="394" t="str">
        <f>+'003'!E49</f>
        <v>21115-0105</v>
      </c>
      <c r="E50" s="394" t="str">
        <f>+'003'!F49</f>
        <v>1</v>
      </c>
      <c r="F50" s="394" t="str">
        <f>+'003'!G49</f>
        <v>3311</v>
      </c>
      <c r="G50" s="464" t="str">
        <f>+'003'!H49</f>
        <v>1.2.1/E058-G1053/1/21115-0105/1/3311  Servicios legales</v>
      </c>
      <c r="H50" s="396">
        <f>+'003'!J49</f>
        <v>0</v>
      </c>
      <c r="I50" s="396">
        <f>+'003'!K49</f>
        <v>0</v>
      </c>
      <c r="J50" s="396">
        <f>+'003'!L49</f>
        <v>0</v>
      </c>
      <c r="K50" s="396">
        <f>+'003'!M49</f>
        <v>0</v>
      </c>
      <c r="L50" s="396">
        <f>+'003'!N49</f>
        <v>0</v>
      </c>
      <c r="M50" s="396">
        <f>+'003'!O49</f>
        <v>0</v>
      </c>
      <c r="N50" s="396">
        <f>+'003'!P49</f>
        <v>0</v>
      </c>
      <c r="O50" s="396">
        <f t="shared" si="1"/>
        <v>0</v>
      </c>
    </row>
    <row r="51" spans="1:15">
      <c r="A51" s="394" t="str">
        <f>+'003'!B50</f>
        <v>1.2.1</v>
      </c>
      <c r="B51" s="394" t="str">
        <f>+'003'!C50</f>
        <v>E058-G1053</v>
      </c>
      <c r="C51" s="394">
        <f>+'003'!D50</f>
        <v>1</v>
      </c>
      <c r="D51" s="394" t="str">
        <f>+'003'!E50</f>
        <v>21115-0105</v>
      </c>
      <c r="E51" s="394" t="str">
        <f>+'003'!F50</f>
        <v>1</v>
      </c>
      <c r="F51" s="394" t="str">
        <f>+'003'!G50</f>
        <v>3312</v>
      </c>
      <c r="G51" s="464" t="str">
        <f>+'003'!H50</f>
        <v>1.2.1/E058-G1053/1/21115-0105/1/3312  Servicios de contabilidad</v>
      </c>
      <c r="H51" s="396">
        <f>+'003'!J50</f>
        <v>116000</v>
      </c>
      <c r="I51" s="396">
        <f>+'003'!K50</f>
        <v>162400</v>
      </c>
      <c r="J51" s="396">
        <f>+'003'!L50</f>
        <v>278400</v>
      </c>
      <c r="K51" s="396">
        <f>+'003'!M50</f>
        <v>278400</v>
      </c>
      <c r="L51" s="396">
        <f>+'003'!N50</f>
        <v>278400</v>
      </c>
      <c r="M51" s="396">
        <f>+'003'!O50</f>
        <v>278400</v>
      </c>
      <c r="N51" s="396">
        <f>+'003'!P50</f>
        <v>237800</v>
      </c>
      <c r="O51" s="396">
        <f t="shared" si="1"/>
        <v>0</v>
      </c>
    </row>
    <row r="52" spans="1:15">
      <c r="A52" s="394" t="str">
        <f>+'003'!B51</f>
        <v>1.2.1</v>
      </c>
      <c r="B52" s="394" t="str">
        <f>+'003'!C51</f>
        <v>E058-G1053</v>
      </c>
      <c r="C52" s="394">
        <f>+'003'!D51</f>
        <v>1</v>
      </c>
      <c r="D52" s="394" t="str">
        <f>+'003'!E51</f>
        <v>21115-0105</v>
      </c>
      <c r="E52" s="394" t="str">
        <f>+'003'!F51</f>
        <v>1</v>
      </c>
      <c r="F52" s="394" t="str">
        <f>+'003'!G51</f>
        <v>3331</v>
      </c>
      <c r="G52" s="464" t="str">
        <f>+'003'!H51</f>
        <v>1.2.1/E058-G1053/1/21115-0105/1/3331  Serv Consultoría</v>
      </c>
      <c r="H52" s="396">
        <f>+'003'!J51</f>
        <v>32120.55</v>
      </c>
      <c r="I52" s="396">
        <f>+'003'!K51</f>
        <v>-32120.550000000003</v>
      </c>
      <c r="J52" s="396">
        <f>+'003'!L51</f>
        <v>0</v>
      </c>
      <c r="K52" s="396">
        <f>+'003'!M51</f>
        <v>0</v>
      </c>
      <c r="L52" s="396">
        <f>+'003'!N51</f>
        <v>0</v>
      </c>
      <c r="M52" s="396">
        <f>+'003'!O51</f>
        <v>0</v>
      </c>
      <c r="N52" s="396">
        <f>+'003'!P51</f>
        <v>0</v>
      </c>
      <c r="O52" s="396">
        <f t="shared" si="1"/>
        <v>0</v>
      </c>
    </row>
    <row r="53" spans="1:15">
      <c r="A53" s="394" t="str">
        <f>+'003'!B52</f>
        <v>1.2.1</v>
      </c>
      <c r="B53" s="394" t="str">
        <f>+'003'!C52</f>
        <v>E058-G1053</v>
      </c>
      <c r="C53" s="394">
        <f>+'003'!D52</f>
        <v>1</v>
      </c>
      <c r="D53" s="394" t="str">
        <f>+'003'!E52</f>
        <v>21115-0105</v>
      </c>
      <c r="E53" s="394" t="str">
        <f>+'003'!F52</f>
        <v>1</v>
      </c>
      <c r="F53" s="394" t="str">
        <f>+'003'!G52</f>
        <v>3332</v>
      </c>
      <c r="G53" s="464" t="str">
        <f>+'003'!H52</f>
        <v>1.2.1/E058-G1053/1/21115-0105/1/3332  Serv Procesos</v>
      </c>
      <c r="H53" s="396">
        <f>+'003'!J52</f>
        <v>0</v>
      </c>
      <c r="I53" s="396">
        <f>+'003'!K52</f>
        <v>6380</v>
      </c>
      <c r="J53" s="396">
        <f>+'003'!L52</f>
        <v>6380</v>
      </c>
      <c r="K53" s="396">
        <f>+'003'!M52</f>
        <v>6380</v>
      </c>
      <c r="L53" s="396">
        <f>+'003'!N52</f>
        <v>6380</v>
      </c>
      <c r="M53" s="396">
        <f>+'003'!O52</f>
        <v>6380</v>
      </c>
      <c r="N53" s="396">
        <f>+'003'!P52</f>
        <v>6380</v>
      </c>
      <c r="O53" s="396">
        <f t="shared" si="1"/>
        <v>0</v>
      </c>
    </row>
    <row r="54" spans="1:15">
      <c r="A54" s="394" t="str">
        <f>+'003'!B53</f>
        <v>1.2.1</v>
      </c>
      <c r="B54" s="394" t="str">
        <f>+'003'!C53</f>
        <v>E058-G1053</v>
      </c>
      <c r="C54" s="394">
        <f>+'003'!D53</f>
        <v>1</v>
      </c>
      <c r="D54" s="394" t="str">
        <f>+'003'!E53</f>
        <v>21115-0105</v>
      </c>
      <c r="E54" s="394" t="str">
        <f>+'003'!F53</f>
        <v>1</v>
      </c>
      <c r="F54" s="394" t="str">
        <f>+'003'!G53</f>
        <v>3341</v>
      </c>
      <c r="G54" s="464" t="str">
        <f>+'003'!H53</f>
        <v>1.2.1/E058-G1053/1/21115-0105/1/3341  Servicios de capacitación</v>
      </c>
      <c r="H54" s="396">
        <f>+'003'!J53</f>
        <v>415688.67</v>
      </c>
      <c r="I54" s="396">
        <f>+'003'!K53</f>
        <v>-108429.65999999992</v>
      </c>
      <c r="J54" s="396">
        <f>+'003'!L53</f>
        <v>307259.01</v>
      </c>
      <c r="K54" s="396">
        <f>+'003'!M53</f>
        <v>307259.01</v>
      </c>
      <c r="L54" s="396">
        <f>+'003'!N53</f>
        <v>307259.01</v>
      </c>
      <c r="M54" s="396">
        <f>+'003'!O53</f>
        <v>307259.01</v>
      </c>
      <c r="N54" s="396">
        <f>+'003'!P53</f>
        <v>307259.01</v>
      </c>
      <c r="O54" s="396">
        <f t="shared" si="1"/>
        <v>0</v>
      </c>
    </row>
    <row r="55" spans="1:15">
      <c r="A55" s="394" t="str">
        <f>+'003'!B54</f>
        <v>1.2.1</v>
      </c>
      <c r="B55" s="394" t="str">
        <f>+'003'!C54</f>
        <v>E058-G1053</v>
      </c>
      <c r="C55" s="394">
        <f>+'003'!D54</f>
        <v>1</v>
      </c>
      <c r="D55" s="394" t="str">
        <f>+'003'!E54</f>
        <v>21115-0105</v>
      </c>
      <c r="E55" s="394" t="str">
        <f>+'003'!F54</f>
        <v>1</v>
      </c>
      <c r="F55" s="394" t="str">
        <f>+'003'!G54</f>
        <v>3361</v>
      </c>
      <c r="G55" s="464" t="str">
        <f>+'003'!H54</f>
        <v>1.2.1/E058-G1053/1/21115-0105/1/3361  Impresiones docofic</v>
      </c>
      <c r="H55" s="396">
        <f>+'003'!J54</f>
        <v>164558.15</v>
      </c>
      <c r="I55" s="396">
        <f>+'003'!K54</f>
        <v>517415.48999999993</v>
      </c>
      <c r="J55" s="396">
        <f>+'003'!L54</f>
        <v>681973.64</v>
      </c>
      <c r="K55" s="396">
        <f>+'003'!M54</f>
        <v>681973.64</v>
      </c>
      <c r="L55" s="396">
        <f>+'003'!N54</f>
        <v>681973.64</v>
      </c>
      <c r="M55" s="396">
        <f>+'003'!O54</f>
        <v>681973.64</v>
      </c>
      <c r="N55" s="396">
        <f>+'003'!P54</f>
        <v>681973.64</v>
      </c>
      <c r="O55" s="396">
        <f t="shared" si="1"/>
        <v>0</v>
      </c>
    </row>
    <row r="56" spans="1:15">
      <c r="A56" s="394" t="str">
        <f>+'003'!B55</f>
        <v>1.2.1</v>
      </c>
      <c r="B56" s="394" t="str">
        <f>+'003'!C55</f>
        <v>E058-G1053</v>
      </c>
      <c r="C56" s="394">
        <f>+'003'!D55</f>
        <v>1</v>
      </c>
      <c r="D56" s="394" t="str">
        <f>+'003'!E55</f>
        <v>21115-0105</v>
      </c>
      <c r="E56" s="394" t="str">
        <f>+'003'!F55</f>
        <v>1</v>
      </c>
      <c r="F56" s="394" t="str">
        <f>+'003'!G55</f>
        <v>3381</v>
      </c>
      <c r="G56" s="464" t="str">
        <f>+'003'!H55</f>
        <v>1.2.1/E058-G1053/1/21115-0105/1/3381  Servicios de vigilancia</v>
      </c>
      <c r="H56" s="396">
        <f>+'003'!J55</f>
        <v>321478.24</v>
      </c>
      <c r="I56" s="396">
        <f>+'003'!K55</f>
        <v>-8910.7700000000186</v>
      </c>
      <c r="J56" s="396">
        <f>+'003'!L55</f>
        <v>312567.46999999997</v>
      </c>
      <c r="K56" s="396">
        <f>+'003'!M55</f>
        <v>312567.46999999997</v>
      </c>
      <c r="L56" s="396">
        <f>+'003'!N55</f>
        <v>312567.46999999997</v>
      </c>
      <c r="M56" s="396">
        <f>+'003'!O55</f>
        <v>312567.46999999997</v>
      </c>
      <c r="N56" s="396">
        <f>+'003'!P55</f>
        <v>312567.46999999997</v>
      </c>
      <c r="O56" s="396">
        <f t="shared" si="1"/>
        <v>0</v>
      </c>
    </row>
    <row r="57" spans="1:15">
      <c r="A57" s="394" t="str">
        <f>+'003'!B56</f>
        <v>1.2.1</v>
      </c>
      <c r="B57" s="394" t="str">
        <f>+'003'!C56</f>
        <v>E058-G1053</v>
      </c>
      <c r="C57" s="394">
        <f>+'003'!D56</f>
        <v>1</v>
      </c>
      <c r="D57" s="394" t="str">
        <f>+'003'!E56</f>
        <v>21115-0105</v>
      </c>
      <c r="E57" s="394" t="str">
        <f>+'003'!F56</f>
        <v>1</v>
      </c>
      <c r="F57" s="394" t="str">
        <f>+'003'!G56</f>
        <v>3411</v>
      </c>
      <c r="G57" s="464" t="str">
        <f>+'003'!H56</f>
        <v>1.2.1/E058-G1053/1/21115-0105/1/3411  Serv Financieros</v>
      </c>
      <c r="H57" s="396">
        <f>+'003'!J56</f>
        <v>19216.57</v>
      </c>
      <c r="I57" s="396">
        <f>+'003'!K56</f>
        <v>-15925.439999999999</v>
      </c>
      <c r="J57" s="396">
        <f>+'003'!L56</f>
        <v>3291.13</v>
      </c>
      <c r="K57" s="396">
        <f>+'003'!M56</f>
        <v>3291.13</v>
      </c>
      <c r="L57" s="396">
        <f>+'003'!N56</f>
        <v>3291.13</v>
      </c>
      <c r="M57" s="396">
        <f>+'003'!O56</f>
        <v>3291.13</v>
      </c>
      <c r="N57" s="396">
        <f>+'003'!P56</f>
        <v>3291.13</v>
      </c>
      <c r="O57" s="396">
        <f t="shared" si="1"/>
        <v>0</v>
      </c>
    </row>
    <row r="58" spans="1:15">
      <c r="A58" s="394" t="str">
        <f>+'003'!B57</f>
        <v>1.2.1</v>
      </c>
      <c r="B58" s="394" t="str">
        <f>+'003'!C57</f>
        <v>E058-G1053</v>
      </c>
      <c r="C58" s="394">
        <f>+'003'!D57</f>
        <v>1</v>
      </c>
      <c r="D58" s="394" t="str">
        <f>+'003'!E57</f>
        <v>21115-0105</v>
      </c>
      <c r="E58" s="394" t="str">
        <f>+'003'!F57</f>
        <v>1</v>
      </c>
      <c r="F58" s="394" t="str">
        <f>+'003'!G57</f>
        <v>3441</v>
      </c>
      <c r="G58" s="464" t="str">
        <f>+'003'!H57</f>
        <v>1.2.1/E058-G1053/1/21115-0105/1/3441  Seg Resp Patrimon</v>
      </c>
      <c r="H58" s="396">
        <f>+'003'!J57</f>
        <v>8632.7900000000009</v>
      </c>
      <c r="I58" s="396">
        <f>+'003'!K57</f>
        <v>-8632.7899999999972</v>
      </c>
      <c r="J58" s="396">
        <f>+'003'!L57</f>
        <v>0</v>
      </c>
      <c r="K58" s="396">
        <f>+'003'!M57</f>
        <v>0</v>
      </c>
      <c r="L58" s="396">
        <f>+'003'!N57</f>
        <v>0</v>
      </c>
      <c r="M58" s="396">
        <f>+'003'!O57</f>
        <v>0</v>
      </c>
      <c r="N58" s="396">
        <f>+'003'!P57</f>
        <v>0</v>
      </c>
      <c r="O58" s="396">
        <f t="shared" si="1"/>
        <v>0</v>
      </c>
    </row>
    <row r="59" spans="1:15">
      <c r="A59" s="394" t="str">
        <f>+'003'!B58</f>
        <v>1.2.1</v>
      </c>
      <c r="B59" s="394" t="str">
        <f>+'003'!C58</f>
        <v>E058-G1053</v>
      </c>
      <c r="C59" s="394">
        <f>+'003'!D58</f>
        <v>1</v>
      </c>
      <c r="D59" s="394" t="str">
        <f>+'003'!E58</f>
        <v>21115-0105</v>
      </c>
      <c r="E59" s="394" t="str">
        <f>+'003'!F58</f>
        <v>1</v>
      </c>
      <c r="F59" s="394" t="str">
        <f>+'003'!G58</f>
        <v>3451</v>
      </c>
      <c r="G59" s="464" t="str">
        <f>+'003'!H58</f>
        <v>1.2.1/E058-G1053/1/21115-0105/1/3451  Seguro de bienes patrimoniales</v>
      </c>
      <c r="H59" s="396">
        <f>+'003'!J58</f>
        <v>114826.14</v>
      </c>
      <c r="I59" s="396">
        <f>+'003'!K58</f>
        <v>29364.73</v>
      </c>
      <c r="J59" s="396">
        <f>+'003'!L58</f>
        <v>144190.87</v>
      </c>
      <c r="K59" s="396">
        <f>+'003'!M58</f>
        <v>144190.87</v>
      </c>
      <c r="L59" s="396">
        <f>+'003'!N58</f>
        <v>144190.87</v>
      </c>
      <c r="M59" s="396">
        <f>+'003'!O58</f>
        <v>144190.87</v>
      </c>
      <c r="N59" s="396">
        <f>+'003'!P58</f>
        <v>144190.87</v>
      </c>
      <c r="O59" s="396">
        <f t="shared" si="1"/>
        <v>0</v>
      </c>
    </row>
    <row r="60" spans="1:15">
      <c r="A60" s="394" t="str">
        <f>+'003'!B59</f>
        <v>1.2.1</v>
      </c>
      <c r="B60" s="394" t="str">
        <f>+'003'!C59</f>
        <v>E058-G1053</v>
      </c>
      <c r="C60" s="394">
        <f>+'003'!D59</f>
        <v>1</v>
      </c>
      <c r="D60" s="394" t="str">
        <f>+'003'!E59</f>
        <v>21115-0105</v>
      </c>
      <c r="E60" s="394" t="str">
        <f>+'003'!F59</f>
        <v>1</v>
      </c>
      <c r="F60" s="394" t="str">
        <f>+'003'!G59</f>
        <v>3471</v>
      </c>
      <c r="G60" s="464" t="str">
        <f>+'003'!H59</f>
        <v>1.2.1/E058-G1053/1/21115-0105/1/3471  Fletes y maniobras</v>
      </c>
      <c r="H60" s="396">
        <f>+'003'!J59</f>
        <v>26298.46</v>
      </c>
      <c r="I60" s="396">
        <f>+'003'!K59</f>
        <v>16959.650000000001</v>
      </c>
      <c r="J60" s="396">
        <f>+'003'!L59</f>
        <v>43258.11</v>
      </c>
      <c r="K60" s="396">
        <f>+'003'!M59</f>
        <v>43258.11</v>
      </c>
      <c r="L60" s="396">
        <f>+'003'!N59</f>
        <v>43258.11</v>
      </c>
      <c r="M60" s="396">
        <f>+'003'!O59</f>
        <v>43258.11</v>
      </c>
      <c r="N60" s="396">
        <f>+'003'!P59</f>
        <v>43258.11</v>
      </c>
      <c r="O60" s="396">
        <f t="shared" si="1"/>
        <v>0</v>
      </c>
    </row>
    <row r="61" spans="1:15">
      <c r="A61" s="394" t="str">
        <f>+'003'!B60</f>
        <v>1.2.1</v>
      </c>
      <c r="B61" s="394" t="str">
        <f>+'003'!C60</f>
        <v>E058-G1053</v>
      </c>
      <c r="C61" s="394">
        <f>+'003'!D60</f>
        <v>1</v>
      </c>
      <c r="D61" s="394" t="str">
        <f>+'003'!E60</f>
        <v>21115-0105</v>
      </c>
      <c r="E61" s="394" t="str">
        <f>+'003'!F60</f>
        <v>1</v>
      </c>
      <c r="F61" s="394" t="str">
        <f>+'003'!G60</f>
        <v>3511</v>
      </c>
      <c r="G61" s="464" t="str">
        <f>+'003'!H60</f>
        <v>1.2.1/E058-G1053/1/21115-0105/1/3511  Cons y mantto Inm</v>
      </c>
      <c r="H61" s="396">
        <f>+'003'!J60</f>
        <v>137920.46</v>
      </c>
      <c r="I61" s="396">
        <f>+'003'!K60</f>
        <v>-66801.580000000016</v>
      </c>
      <c r="J61" s="396">
        <f>+'003'!L60</f>
        <v>71118.880000000005</v>
      </c>
      <c r="K61" s="396">
        <f>+'003'!M60</f>
        <v>71118.880000000005</v>
      </c>
      <c r="L61" s="396">
        <f>+'003'!N60</f>
        <v>71118.880000000005</v>
      </c>
      <c r="M61" s="396">
        <f>+'003'!O60</f>
        <v>71118.880000000005</v>
      </c>
      <c r="N61" s="396">
        <f>+'003'!P60</f>
        <v>71118.880000000005</v>
      </c>
      <c r="O61" s="396">
        <f t="shared" si="1"/>
        <v>0</v>
      </c>
    </row>
    <row r="62" spans="1:15">
      <c r="A62" s="394" t="str">
        <f>+'003'!B61</f>
        <v>1.2.1</v>
      </c>
      <c r="B62" s="394" t="str">
        <f>+'003'!C61</f>
        <v>E058-G1053</v>
      </c>
      <c r="C62" s="394">
        <f>+'003'!D61</f>
        <v>1</v>
      </c>
      <c r="D62" s="394" t="str">
        <f>+'003'!E61</f>
        <v>21115-0105</v>
      </c>
      <c r="E62" s="394" t="str">
        <f>+'003'!F61</f>
        <v>1</v>
      </c>
      <c r="F62" s="394" t="str">
        <f>+'003'!G61</f>
        <v>3512</v>
      </c>
      <c r="G62" s="464" t="str">
        <f>+'003'!H61</f>
        <v>1.2.1/E058-G1053/1/21115-0105/1/3512  Adaptación de inmuebles</v>
      </c>
      <c r="H62" s="396">
        <f>+'003'!J61</f>
        <v>65116.6</v>
      </c>
      <c r="I62" s="396">
        <f>+'003'!K61</f>
        <v>-56126.600000000006</v>
      </c>
      <c r="J62" s="396">
        <f>+'003'!L61</f>
        <v>8990</v>
      </c>
      <c r="K62" s="396">
        <f>+'003'!M61</f>
        <v>8990</v>
      </c>
      <c r="L62" s="396">
        <f>+'003'!N61</f>
        <v>8990</v>
      </c>
      <c r="M62" s="396">
        <f>+'003'!O61</f>
        <v>8990</v>
      </c>
      <c r="N62" s="396">
        <f>+'003'!P61</f>
        <v>8990</v>
      </c>
      <c r="O62" s="396">
        <f t="shared" si="1"/>
        <v>0</v>
      </c>
    </row>
    <row r="63" spans="1:15">
      <c r="A63" s="394" t="str">
        <f>+'003'!B62</f>
        <v>1.2.1</v>
      </c>
      <c r="B63" s="394" t="str">
        <f>+'003'!C62</f>
        <v>E058-G1053</v>
      </c>
      <c r="C63" s="394">
        <f>+'003'!D62</f>
        <v>1</v>
      </c>
      <c r="D63" s="394" t="str">
        <f>+'003'!E62</f>
        <v>21115-0105</v>
      </c>
      <c r="E63" s="394" t="str">
        <f>+'003'!F62</f>
        <v>1</v>
      </c>
      <c r="F63" s="394" t="str">
        <f>+'003'!G62</f>
        <v>3521</v>
      </c>
      <c r="G63" s="464" t="str">
        <f>+'003'!H62</f>
        <v>1.2.1/E058-G1053/1/21115-0105/1/3521  Instal Mobil Adm</v>
      </c>
      <c r="H63" s="396">
        <f>+'003'!J62</f>
        <v>58350.73</v>
      </c>
      <c r="I63" s="396">
        <f>+'003'!K62</f>
        <v>-26196.61</v>
      </c>
      <c r="J63" s="396">
        <f>+'003'!L62</f>
        <v>32154.12</v>
      </c>
      <c r="K63" s="396">
        <f>+'003'!M62</f>
        <v>32154.12</v>
      </c>
      <c r="L63" s="396">
        <f>+'003'!N62</f>
        <v>32154.12</v>
      </c>
      <c r="M63" s="396">
        <f>+'003'!O62</f>
        <v>32154.12</v>
      </c>
      <c r="N63" s="396">
        <f>+'003'!P62</f>
        <v>32154.12</v>
      </c>
      <c r="O63" s="396">
        <f t="shared" si="1"/>
        <v>0</v>
      </c>
    </row>
    <row r="64" spans="1:15">
      <c r="A64" s="394" t="str">
        <f>+'003'!B63</f>
        <v>1.2.1</v>
      </c>
      <c r="B64" s="394" t="str">
        <f>+'003'!C63</f>
        <v>E058-G1053</v>
      </c>
      <c r="C64" s="394">
        <f>+'003'!D63</f>
        <v>1</v>
      </c>
      <c r="D64" s="394" t="str">
        <f>+'003'!E63</f>
        <v>21115-0105</v>
      </c>
      <c r="E64" s="394" t="str">
        <f>+'003'!F63</f>
        <v>1</v>
      </c>
      <c r="F64" s="394" t="str">
        <f>+'003'!G63</f>
        <v>3531</v>
      </c>
      <c r="G64" s="464" t="str">
        <f>+'003'!H63</f>
        <v>1.2.1/E058-G1053/1/21115-0105/1/3531  Instal BInformat</v>
      </c>
      <c r="H64" s="396">
        <f>+'003'!J63</f>
        <v>95933.22</v>
      </c>
      <c r="I64" s="396">
        <f>+'003'!K63</f>
        <v>-85891.41</v>
      </c>
      <c r="J64" s="396">
        <f>+'003'!L63</f>
        <v>10041.81</v>
      </c>
      <c r="K64" s="396">
        <f>+'003'!M63</f>
        <v>10041.81</v>
      </c>
      <c r="L64" s="396">
        <f>+'003'!N63</f>
        <v>10041.81</v>
      </c>
      <c r="M64" s="396">
        <f>+'003'!O63</f>
        <v>10041.81</v>
      </c>
      <c r="N64" s="396">
        <f>+'003'!P63</f>
        <v>10041.81</v>
      </c>
      <c r="O64" s="396">
        <f t="shared" si="1"/>
        <v>0</v>
      </c>
    </row>
    <row r="65" spans="1:15">
      <c r="A65" s="394" t="str">
        <f>+'003'!B64</f>
        <v>1.2.1</v>
      </c>
      <c r="B65" s="394" t="str">
        <f>+'003'!C64</f>
        <v>E058-G1053</v>
      </c>
      <c r="C65" s="394">
        <f>+'003'!D64</f>
        <v>1</v>
      </c>
      <c r="D65" s="394" t="str">
        <f>+'003'!E64</f>
        <v>21115-0105</v>
      </c>
      <c r="E65" s="394" t="str">
        <f>+'003'!F64</f>
        <v>1</v>
      </c>
      <c r="F65" s="394" t="str">
        <f>+'003'!G64</f>
        <v>3551</v>
      </c>
      <c r="G65" s="464" t="str">
        <f>+'003'!H64</f>
        <v>1.2.1/E058-G1053/1/21115-0105/1/3551  Mantto Vehíc</v>
      </c>
      <c r="H65" s="396">
        <f>+'003'!J64</f>
        <v>51370.41</v>
      </c>
      <c r="I65" s="396">
        <f>+'003'!K64</f>
        <v>-47630.41</v>
      </c>
      <c r="J65" s="396">
        <f>+'003'!L64</f>
        <v>3740</v>
      </c>
      <c r="K65" s="396">
        <f>+'003'!M64</f>
        <v>3740</v>
      </c>
      <c r="L65" s="396">
        <f>+'003'!N64</f>
        <v>3740</v>
      </c>
      <c r="M65" s="396">
        <f>+'003'!O64</f>
        <v>3740</v>
      </c>
      <c r="N65" s="396">
        <f>+'003'!P64</f>
        <v>3740</v>
      </c>
      <c r="O65" s="396">
        <f t="shared" si="1"/>
        <v>0</v>
      </c>
    </row>
    <row r="66" spans="1:15">
      <c r="A66" s="394" t="str">
        <f>+'003'!B65</f>
        <v>1.2.1</v>
      </c>
      <c r="B66" s="394" t="str">
        <f>+'003'!C65</f>
        <v>E058-G1053</v>
      </c>
      <c r="C66" s="394">
        <f>+'003'!D65</f>
        <v>1</v>
      </c>
      <c r="D66" s="394" t="str">
        <f>+'003'!E65</f>
        <v>21115-0105</v>
      </c>
      <c r="E66" s="394" t="str">
        <f>+'003'!F65</f>
        <v>1</v>
      </c>
      <c r="F66" s="394" t="str">
        <f>+'003'!G65</f>
        <v>3571</v>
      </c>
      <c r="G66" s="464" t="str">
        <f>+'003'!H65</f>
        <v>1.2.1/E058-G1053/1/21115-0105/1/3571  Instal Maqy otros</v>
      </c>
      <c r="H66" s="396">
        <f>+'003'!J65</f>
        <v>28897.63</v>
      </c>
      <c r="I66" s="396">
        <f>+'003'!K65</f>
        <v>-16137.630000000005</v>
      </c>
      <c r="J66" s="396">
        <f>+'003'!L65</f>
        <v>12760</v>
      </c>
      <c r="K66" s="396">
        <f>+'003'!M65</f>
        <v>12760</v>
      </c>
      <c r="L66" s="396">
        <f>+'003'!N65</f>
        <v>12760</v>
      </c>
      <c r="M66" s="396">
        <f>+'003'!O65</f>
        <v>12760</v>
      </c>
      <c r="N66" s="396">
        <f>+'003'!P65</f>
        <v>12760</v>
      </c>
      <c r="O66" s="396">
        <f t="shared" si="1"/>
        <v>0</v>
      </c>
    </row>
    <row r="67" spans="1:15">
      <c r="A67" s="394" t="str">
        <f>+'003'!B66</f>
        <v>1.2.1</v>
      </c>
      <c r="B67" s="394" t="str">
        <f>+'003'!C66</f>
        <v>E058-G1053</v>
      </c>
      <c r="C67" s="394">
        <f>+'003'!D66</f>
        <v>1</v>
      </c>
      <c r="D67" s="394" t="str">
        <f>+'003'!E66</f>
        <v>21115-0105</v>
      </c>
      <c r="E67" s="394" t="str">
        <f>+'003'!F66</f>
        <v>1</v>
      </c>
      <c r="F67" s="394" t="str">
        <f>+'003'!G66</f>
        <v>3581</v>
      </c>
      <c r="G67" s="464" t="str">
        <f>+'003'!H66</f>
        <v>1.2.1/E058-G1053/1/21115-0105/1/3581  Serv Limpieza</v>
      </c>
      <c r="H67" s="396">
        <f>+'003'!J66</f>
        <v>56003.97</v>
      </c>
      <c r="I67" s="396">
        <f>+'003'!K66</f>
        <v>-52912.959999999999</v>
      </c>
      <c r="J67" s="396">
        <f>+'003'!L66</f>
        <v>3091.01</v>
      </c>
      <c r="K67" s="396">
        <f>+'003'!M66</f>
        <v>3091.01</v>
      </c>
      <c r="L67" s="396">
        <f>+'003'!N66</f>
        <v>3091.01</v>
      </c>
      <c r="M67" s="396">
        <f>+'003'!O66</f>
        <v>3091.01</v>
      </c>
      <c r="N67" s="396">
        <f>+'003'!P66</f>
        <v>3091.01</v>
      </c>
      <c r="O67" s="396">
        <f t="shared" si="1"/>
        <v>0</v>
      </c>
    </row>
    <row r="68" spans="1:15">
      <c r="A68" s="394" t="str">
        <f>+'003'!B67</f>
        <v>1.2.1</v>
      </c>
      <c r="B68" s="394" t="str">
        <f>+'003'!C67</f>
        <v>E058-G1053</v>
      </c>
      <c r="C68" s="394">
        <f>+'003'!D67</f>
        <v>1</v>
      </c>
      <c r="D68" s="394" t="str">
        <f>+'003'!E67</f>
        <v>21115-0105</v>
      </c>
      <c r="E68" s="394" t="str">
        <f>+'003'!F67</f>
        <v>1</v>
      </c>
      <c r="F68" s="394" t="str">
        <f>+'003'!G67</f>
        <v>3591</v>
      </c>
      <c r="G68" s="464" t="str">
        <f>+'003'!H67</f>
        <v>1.2.1/E058-G1053/1/21115-0105/1/3591  Serv Jardinería</v>
      </c>
      <c r="H68" s="396">
        <f>+'003'!J67</f>
        <v>0</v>
      </c>
      <c r="I68" s="396">
        <f>+'003'!K67</f>
        <v>23592.480000000003</v>
      </c>
      <c r="J68" s="396">
        <f>+'003'!L67</f>
        <v>23592.48</v>
      </c>
      <c r="K68" s="396">
        <f>+'003'!M67</f>
        <v>23592.48</v>
      </c>
      <c r="L68" s="396">
        <f>+'003'!N67</f>
        <v>23592.48</v>
      </c>
      <c r="M68" s="396">
        <f>+'003'!O67</f>
        <v>23592.48</v>
      </c>
      <c r="N68" s="396">
        <f>+'003'!P67</f>
        <v>23592.48</v>
      </c>
      <c r="O68" s="396">
        <f t="shared" si="1"/>
        <v>0</v>
      </c>
    </row>
    <row r="69" spans="1:15">
      <c r="A69" s="394" t="str">
        <f>+'003'!B68</f>
        <v>1.2.1</v>
      </c>
      <c r="B69" s="394" t="str">
        <f>+'003'!C68</f>
        <v>E058-G1053</v>
      </c>
      <c r="C69" s="394">
        <f>+'003'!D68</f>
        <v>1</v>
      </c>
      <c r="D69" s="394" t="str">
        <f>+'003'!E68</f>
        <v>21115-0105</v>
      </c>
      <c r="E69" s="394" t="str">
        <f>+'003'!F68</f>
        <v>1</v>
      </c>
      <c r="F69" s="394" t="str">
        <f>+'003'!G68</f>
        <v>3611</v>
      </c>
      <c r="G69" s="464" t="str">
        <f>+'003'!H68</f>
        <v>1.2.1/E058-G1053/1/21115-0105/1/3611  Difusión Activ Gub</v>
      </c>
      <c r="H69" s="396">
        <f>+'003'!J68</f>
        <v>10300</v>
      </c>
      <c r="I69" s="396">
        <f>+'003'!K68</f>
        <v>307766.64</v>
      </c>
      <c r="J69" s="396">
        <f>+'003'!L68</f>
        <v>318066.64</v>
      </c>
      <c r="K69" s="396">
        <f>+'003'!M68</f>
        <v>318066.64</v>
      </c>
      <c r="L69" s="396">
        <f>+'003'!N68</f>
        <v>318066.64</v>
      </c>
      <c r="M69" s="396">
        <f>+'003'!O68</f>
        <v>318066.64</v>
      </c>
      <c r="N69" s="396">
        <f>+'003'!P68</f>
        <v>318066.64</v>
      </c>
      <c r="O69" s="396">
        <f t="shared" ref="O69:O132" si="2">+J69-L69</f>
        <v>0</v>
      </c>
    </row>
    <row r="70" spans="1:15">
      <c r="A70" s="394" t="str">
        <f>+'003'!B69</f>
        <v>1.2.1</v>
      </c>
      <c r="B70" s="394" t="str">
        <f>+'003'!C69</f>
        <v>E058-G1053</v>
      </c>
      <c r="C70" s="394">
        <f>+'003'!D69</f>
        <v>1</v>
      </c>
      <c r="D70" s="394" t="str">
        <f>+'003'!E69</f>
        <v>21115-0105</v>
      </c>
      <c r="E70" s="394" t="str">
        <f>+'003'!F69</f>
        <v>1</v>
      </c>
      <c r="F70" s="394" t="str">
        <f>+'003'!G69</f>
        <v>3612</v>
      </c>
      <c r="G70" s="464" t="str">
        <f>+'003'!H69</f>
        <v>1.2.1/E058-G1053/1/21115-0105/1/3612  Impresión Pub ofic</v>
      </c>
      <c r="H70" s="396">
        <f>+'003'!J69</f>
        <v>164954.13</v>
      </c>
      <c r="I70" s="396">
        <f>+'003'!K69</f>
        <v>-96367.210000000021</v>
      </c>
      <c r="J70" s="396">
        <f>+'003'!L69</f>
        <v>68586.92</v>
      </c>
      <c r="K70" s="396">
        <f>+'003'!M69</f>
        <v>68586.92</v>
      </c>
      <c r="L70" s="396">
        <f>+'003'!N69</f>
        <v>68586.92</v>
      </c>
      <c r="M70" s="396">
        <f>+'003'!O69</f>
        <v>68586.92</v>
      </c>
      <c r="N70" s="396">
        <f>+'003'!P69</f>
        <v>68586.92</v>
      </c>
      <c r="O70" s="396">
        <f t="shared" si="2"/>
        <v>0</v>
      </c>
    </row>
    <row r="71" spans="1:15">
      <c r="A71" s="394" t="str">
        <f>+'003'!B70</f>
        <v>1.2.1</v>
      </c>
      <c r="B71" s="394" t="str">
        <f>+'003'!C70</f>
        <v>E058-G1053</v>
      </c>
      <c r="C71" s="394">
        <f>+'003'!D70</f>
        <v>1</v>
      </c>
      <c r="D71" s="394" t="str">
        <f>+'003'!E70</f>
        <v>21115-0105</v>
      </c>
      <c r="E71" s="394" t="str">
        <f>+'003'!F70</f>
        <v>1</v>
      </c>
      <c r="F71" s="394" t="str">
        <f>+'003'!G70</f>
        <v>3631</v>
      </c>
      <c r="G71" s="464" t="str">
        <f>+'003'!H70</f>
        <v>1.2.1/E058-G1053/1/21115-0105/1/3631  Serv Creatividad</v>
      </c>
      <c r="H71" s="396">
        <f>+'003'!J70</f>
        <v>10815</v>
      </c>
      <c r="I71" s="396">
        <f>+'003'!K70</f>
        <v>-10815</v>
      </c>
      <c r="J71" s="396">
        <f>+'003'!L70</f>
        <v>0</v>
      </c>
      <c r="K71" s="396">
        <f>+'003'!M70</f>
        <v>0</v>
      </c>
      <c r="L71" s="396">
        <f>+'003'!N70</f>
        <v>0</v>
      </c>
      <c r="M71" s="396">
        <f>+'003'!O70</f>
        <v>0</v>
      </c>
      <c r="N71" s="396">
        <f>+'003'!P70</f>
        <v>0</v>
      </c>
      <c r="O71" s="396">
        <f t="shared" si="2"/>
        <v>0</v>
      </c>
    </row>
    <row r="72" spans="1:15">
      <c r="A72" s="394" t="str">
        <f>+'003'!B71</f>
        <v>1.2.1</v>
      </c>
      <c r="B72" s="394" t="str">
        <f>+'003'!C71</f>
        <v>E058-G1053</v>
      </c>
      <c r="C72" s="394">
        <f>+'003'!D71</f>
        <v>1</v>
      </c>
      <c r="D72" s="394" t="str">
        <f>+'003'!E71</f>
        <v>21115-0105</v>
      </c>
      <c r="E72" s="394" t="str">
        <f>+'003'!F71</f>
        <v>1</v>
      </c>
      <c r="F72" s="394" t="str">
        <f>+'003'!G71</f>
        <v>3641</v>
      </c>
      <c r="G72" s="464" t="str">
        <f>+'003'!H71</f>
        <v>1.2.1/E058-G1053/1/21115-0105/1/3641  Serv Revelado Fotog</v>
      </c>
      <c r="H72" s="396">
        <f>+'003'!J71</f>
        <v>295.25</v>
      </c>
      <c r="I72" s="396">
        <f>+'003'!K71</f>
        <v>-295.25</v>
      </c>
      <c r="J72" s="396">
        <f>+'003'!L71</f>
        <v>0</v>
      </c>
      <c r="K72" s="396">
        <f>+'003'!M71</f>
        <v>0</v>
      </c>
      <c r="L72" s="396">
        <f>+'003'!N71</f>
        <v>0</v>
      </c>
      <c r="M72" s="396">
        <f>+'003'!O71</f>
        <v>0</v>
      </c>
      <c r="N72" s="396">
        <f>+'003'!P71</f>
        <v>0</v>
      </c>
      <c r="O72" s="396">
        <f t="shared" si="2"/>
        <v>0</v>
      </c>
    </row>
    <row r="73" spans="1:15">
      <c r="A73" s="394" t="str">
        <f>+'003'!B72</f>
        <v>1.2.1</v>
      </c>
      <c r="B73" s="394" t="str">
        <f>+'003'!C72</f>
        <v>E058-G1053</v>
      </c>
      <c r="C73" s="394">
        <f>+'003'!D72</f>
        <v>1</v>
      </c>
      <c r="D73" s="394" t="str">
        <f>+'003'!E72</f>
        <v>21115-0105</v>
      </c>
      <c r="E73" s="394" t="str">
        <f>+'003'!F72</f>
        <v>1</v>
      </c>
      <c r="F73" s="394" t="str">
        <f>+'003'!G72</f>
        <v>3661</v>
      </c>
      <c r="G73" s="464" t="str">
        <f>+'003'!H72</f>
        <v>1.2.1/E058-G1053/1/21115-0105/1/3661  Serv Creación</v>
      </c>
      <c r="H73" s="396">
        <f>+'003'!J72</f>
        <v>377160.08</v>
      </c>
      <c r="I73" s="396">
        <f>+'003'!K72</f>
        <v>-377160.08</v>
      </c>
      <c r="J73" s="396">
        <f>+'003'!L72</f>
        <v>0</v>
      </c>
      <c r="K73" s="396">
        <f>+'003'!M72</f>
        <v>0</v>
      </c>
      <c r="L73" s="396">
        <f>+'003'!N72</f>
        <v>0</v>
      </c>
      <c r="M73" s="396">
        <f>+'003'!O72</f>
        <v>0</v>
      </c>
      <c r="N73" s="396">
        <f>+'003'!P72</f>
        <v>0</v>
      </c>
      <c r="O73" s="396">
        <f t="shared" si="2"/>
        <v>0</v>
      </c>
    </row>
    <row r="74" spans="1:15">
      <c r="A74" s="394" t="str">
        <f>+'003'!B73</f>
        <v>1.2.1</v>
      </c>
      <c r="B74" s="394" t="str">
        <f>+'003'!C73</f>
        <v>E058-G1053</v>
      </c>
      <c r="C74" s="394">
        <f>+'003'!D73</f>
        <v>1</v>
      </c>
      <c r="D74" s="394" t="str">
        <f>+'003'!E73</f>
        <v>21115-0105</v>
      </c>
      <c r="E74" s="394" t="str">
        <f>+'003'!F73</f>
        <v>1</v>
      </c>
      <c r="F74" s="394" t="str">
        <f>+'003'!G73</f>
        <v>3711</v>
      </c>
      <c r="G74" s="464" t="str">
        <f>+'003'!H73</f>
        <v>1.2.1/E058-G1053/1/21115-0105/1/3711  Pasajes aéreos Nac</v>
      </c>
      <c r="H74" s="396">
        <f>+'003'!J73</f>
        <v>13284.18</v>
      </c>
      <c r="I74" s="396">
        <f>+'003'!K73</f>
        <v>-13284.18</v>
      </c>
      <c r="J74" s="396">
        <f>+'003'!L73</f>
        <v>0</v>
      </c>
      <c r="K74" s="396">
        <f>+'003'!M73</f>
        <v>0</v>
      </c>
      <c r="L74" s="396">
        <f>+'003'!N73</f>
        <v>0</v>
      </c>
      <c r="M74" s="396">
        <f>+'003'!O73</f>
        <v>0</v>
      </c>
      <c r="N74" s="396">
        <f>+'003'!P73</f>
        <v>0</v>
      </c>
      <c r="O74" s="396">
        <f t="shared" si="2"/>
        <v>0</v>
      </c>
    </row>
    <row r="75" spans="1:15">
      <c r="A75" s="394" t="str">
        <f>+'003'!B74</f>
        <v>1.2.1</v>
      </c>
      <c r="B75" s="394" t="str">
        <f>+'003'!C74</f>
        <v>E058-G1053</v>
      </c>
      <c r="C75" s="394">
        <f>+'003'!D74</f>
        <v>1</v>
      </c>
      <c r="D75" s="394" t="str">
        <f>+'003'!E74</f>
        <v>21115-0105</v>
      </c>
      <c r="E75" s="394" t="str">
        <f>+'003'!F74</f>
        <v>1</v>
      </c>
      <c r="F75" s="394" t="str">
        <f>+'003'!G74</f>
        <v>3721</v>
      </c>
      <c r="G75" s="464" t="str">
        <f>+'003'!H74</f>
        <v>1.2.1/E058-G1053/1/21115-0105/1/3721  Pasajes terr Nac</v>
      </c>
      <c r="H75" s="396">
        <f>+'003'!J74</f>
        <v>7784.29</v>
      </c>
      <c r="I75" s="396">
        <f>+'003'!K74</f>
        <v>-4617.8900000000012</v>
      </c>
      <c r="J75" s="396">
        <f>+'003'!L74</f>
        <v>3166.4</v>
      </c>
      <c r="K75" s="396">
        <f>+'003'!M74</f>
        <v>3166.4</v>
      </c>
      <c r="L75" s="396">
        <f>+'003'!N74</f>
        <v>3166.4</v>
      </c>
      <c r="M75" s="396">
        <f>+'003'!O74</f>
        <v>3166.4</v>
      </c>
      <c r="N75" s="396">
        <f>+'003'!P74</f>
        <v>3166.4</v>
      </c>
      <c r="O75" s="396">
        <f t="shared" si="2"/>
        <v>0</v>
      </c>
    </row>
    <row r="76" spans="1:15">
      <c r="A76" s="394" t="str">
        <f>+'003'!B75</f>
        <v>1.2.1</v>
      </c>
      <c r="B76" s="394" t="str">
        <f>+'003'!C75</f>
        <v>E058-G1053</v>
      </c>
      <c r="C76" s="394">
        <f>+'003'!D75</f>
        <v>1</v>
      </c>
      <c r="D76" s="394" t="str">
        <f>+'003'!E75</f>
        <v>21115-0105</v>
      </c>
      <c r="E76" s="394" t="str">
        <f>+'003'!F75</f>
        <v>1</v>
      </c>
      <c r="F76" s="394" t="str">
        <f>+'003'!G75</f>
        <v>3751</v>
      </c>
      <c r="G76" s="464" t="str">
        <f>+'003'!H75</f>
        <v>1.2.1/E058-G1053/1/21115-0105/1/3751  Viáticos nacionales</v>
      </c>
      <c r="H76" s="396">
        <f>+'003'!J75</f>
        <v>60426.5</v>
      </c>
      <c r="I76" s="396">
        <f>+'003'!K75</f>
        <v>-55675.509999999995</v>
      </c>
      <c r="J76" s="396">
        <f>+'003'!L75</f>
        <v>4750.99</v>
      </c>
      <c r="K76" s="396">
        <f>+'003'!M75</f>
        <v>4750.99</v>
      </c>
      <c r="L76" s="396">
        <f>+'003'!N75</f>
        <v>4750.99</v>
      </c>
      <c r="M76" s="396">
        <f>+'003'!O75</f>
        <v>4750.99</v>
      </c>
      <c r="N76" s="396">
        <f>+'003'!P75</f>
        <v>4750.99</v>
      </c>
      <c r="O76" s="396">
        <f t="shared" si="2"/>
        <v>0</v>
      </c>
    </row>
    <row r="77" spans="1:15">
      <c r="A77" s="394" t="str">
        <f>+'003'!B76</f>
        <v>1.2.1</v>
      </c>
      <c r="B77" s="394" t="str">
        <f>+'003'!C76</f>
        <v>E058-G1053</v>
      </c>
      <c r="C77" s="394">
        <f>+'003'!D76</f>
        <v>1</v>
      </c>
      <c r="D77" s="394" t="str">
        <f>+'003'!E76</f>
        <v>21115-0105</v>
      </c>
      <c r="E77" s="394" t="str">
        <f>+'003'!F76</f>
        <v>1</v>
      </c>
      <c r="F77" s="394" t="str">
        <f>+'003'!G76</f>
        <v>3811</v>
      </c>
      <c r="G77" s="464" t="str">
        <f>+'003'!H76</f>
        <v>1.2.1/E058-G1053/1/21115-0105/1/3811  Gastos de ceremonial</v>
      </c>
      <c r="H77" s="396">
        <f>+'003'!J76</f>
        <v>220800.3</v>
      </c>
      <c r="I77" s="396">
        <f>+'003'!K76</f>
        <v>590424.26</v>
      </c>
      <c r="J77" s="396">
        <f>+'003'!L76</f>
        <v>811224.56</v>
      </c>
      <c r="K77" s="396">
        <f>+'003'!M76</f>
        <v>811224.56</v>
      </c>
      <c r="L77" s="396">
        <f>+'003'!N76</f>
        <v>811224.56</v>
      </c>
      <c r="M77" s="396">
        <f>+'003'!O76</f>
        <v>811224.56</v>
      </c>
      <c r="N77" s="396">
        <f>+'003'!P76</f>
        <v>811224.56</v>
      </c>
      <c r="O77" s="396">
        <f t="shared" si="2"/>
        <v>0</v>
      </c>
    </row>
    <row r="78" spans="1:15">
      <c r="A78" s="394" t="str">
        <f>+'003'!B77</f>
        <v>1.2.1</v>
      </c>
      <c r="B78" s="394" t="str">
        <f>+'003'!C77</f>
        <v>E058-G1053</v>
      </c>
      <c r="C78" s="394">
        <f>+'003'!D77</f>
        <v>1</v>
      </c>
      <c r="D78" s="394" t="str">
        <f>+'003'!E77</f>
        <v>21115-0105</v>
      </c>
      <c r="E78" s="394" t="str">
        <f>+'003'!F77</f>
        <v>1</v>
      </c>
      <c r="F78" s="394" t="str">
        <f>+'003'!G77</f>
        <v>3831</v>
      </c>
      <c r="G78" s="464" t="str">
        <f>+'003'!H77</f>
        <v>1.2.1/E058-G1053/1/21115-0105/1/3831  Congresos y convenciones</v>
      </c>
      <c r="H78" s="396">
        <f>+'003'!J77</f>
        <v>286749.44</v>
      </c>
      <c r="I78" s="396">
        <f>+'003'!K77</f>
        <v>64234.319999999949</v>
      </c>
      <c r="J78" s="396">
        <f>+'003'!L77</f>
        <v>350983.76</v>
      </c>
      <c r="K78" s="396">
        <f>+'003'!M77</f>
        <v>350983.76</v>
      </c>
      <c r="L78" s="396">
        <f>+'003'!N77</f>
        <v>350983.76</v>
      </c>
      <c r="M78" s="396">
        <f>+'003'!O77</f>
        <v>350983.76</v>
      </c>
      <c r="N78" s="396">
        <f>+'003'!P77</f>
        <v>350983.76</v>
      </c>
      <c r="O78" s="396">
        <f t="shared" si="2"/>
        <v>0</v>
      </c>
    </row>
    <row r="79" spans="1:15">
      <c r="A79" s="394" t="str">
        <f>+'003'!B78</f>
        <v>1.2.1</v>
      </c>
      <c r="B79" s="394" t="str">
        <f>+'003'!C78</f>
        <v>E058-G1053</v>
      </c>
      <c r="C79" s="394">
        <f>+'003'!D78</f>
        <v>1</v>
      </c>
      <c r="D79" s="394" t="str">
        <f>+'003'!E78</f>
        <v>21115-0105</v>
      </c>
      <c r="E79" s="394" t="str">
        <f>+'003'!F78</f>
        <v>1</v>
      </c>
      <c r="F79" s="394" t="str">
        <f>+'003'!G78</f>
        <v>3852</v>
      </c>
      <c r="G79" s="464" t="str">
        <f>+'003'!H78</f>
        <v>1.2.1/E058-G1053/1/21115-0105/1/3852  Gto Oficina SP</v>
      </c>
      <c r="H79" s="396">
        <f>+'003'!J78</f>
        <v>194602.02</v>
      </c>
      <c r="I79" s="396">
        <f>+'003'!K78</f>
        <v>-31813.58</v>
      </c>
      <c r="J79" s="396">
        <f>+'003'!L78</f>
        <v>162788.44</v>
      </c>
      <c r="K79" s="396">
        <f>+'003'!M78</f>
        <v>162788.44</v>
      </c>
      <c r="L79" s="396">
        <f>+'003'!N78</f>
        <v>162788.44</v>
      </c>
      <c r="M79" s="396">
        <f>+'003'!O78</f>
        <v>162788.44</v>
      </c>
      <c r="N79" s="396">
        <f>+'003'!P78</f>
        <v>162788.44</v>
      </c>
      <c r="O79" s="396">
        <f t="shared" si="2"/>
        <v>0</v>
      </c>
    </row>
    <row r="80" spans="1:15">
      <c r="A80" s="394" t="str">
        <f>+'003'!B79</f>
        <v>1.2.1</v>
      </c>
      <c r="B80" s="394" t="str">
        <f>+'003'!C79</f>
        <v>E058-G1053</v>
      </c>
      <c r="C80" s="394">
        <f>+'003'!D79</f>
        <v>1</v>
      </c>
      <c r="D80" s="394" t="str">
        <f>+'003'!E79</f>
        <v>21115-0105</v>
      </c>
      <c r="E80" s="394" t="str">
        <f>+'003'!F79</f>
        <v>1</v>
      </c>
      <c r="F80" s="394" t="str">
        <f>+'003'!G79</f>
        <v>3921</v>
      </c>
      <c r="G80" s="464" t="str">
        <f>+'003'!H79</f>
        <v>1.2.1/E058-G1053/1/21115-0105/1/3921  Otros impuestos y derechos</v>
      </c>
      <c r="H80" s="396">
        <f>+'003'!J79</f>
        <v>17169.02</v>
      </c>
      <c r="I80" s="396">
        <f>+'003'!K79</f>
        <v>13786.510000000002</v>
      </c>
      <c r="J80" s="396">
        <f>+'003'!L79</f>
        <v>30955.53</v>
      </c>
      <c r="K80" s="396">
        <f>+'003'!M79</f>
        <v>30955.53</v>
      </c>
      <c r="L80" s="396">
        <f>+'003'!N79</f>
        <v>30955.53</v>
      </c>
      <c r="M80" s="396">
        <f>+'003'!O79</f>
        <v>30955.53</v>
      </c>
      <c r="N80" s="396">
        <f>+'003'!P79</f>
        <v>30955.53</v>
      </c>
      <c r="O80" s="396">
        <f t="shared" si="2"/>
        <v>0</v>
      </c>
    </row>
    <row r="81" spans="1:15">
      <c r="A81" s="394" t="str">
        <f>+'003'!B80</f>
        <v>1.2.1</v>
      </c>
      <c r="B81" s="394" t="str">
        <f>+'003'!C80</f>
        <v>E058-G1053</v>
      </c>
      <c r="C81" s="394">
        <f>+'003'!D80</f>
        <v>1</v>
      </c>
      <c r="D81" s="394" t="str">
        <f>+'003'!E80</f>
        <v>21115-0105</v>
      </c>
      <c r="E81" s="394" t="str">
        <f>+'003'!F80</f>
        <v>1</v>
      </c>
      <c r="F81" s="394" t="str">
        <f>+'003'!G80</f>
        <v>3981</v>
      </c>
      <c r="G81" s="464" t="str">
        <f>+'003'!H80</f>
        <v>1.2.1/E058-G1053/1/21115-0105/1/3981  Impuesto sobre nóminas</v>
      </c>
      <c r="H81" s="396">
        <f>+'003'!J80</f>
        <v>154404.29</v>
      </c>
      <c r="I81" s="396">
        <f>+'003'!K80</f>
        <v>-3003.7800000000025</v>
      </c>
      <c r="J81" s="396">
        <f>+'003'!L80</f>
        <v>151400.51</v>
      </c>
      <c r="K81" s="396">
        <f>+'003'!M80</f>
        <v>151400.51</v>
      </c>
      <c r="L81" s="396">
        <f>+'003'!N80</f>
        <v>151400.51</v>
      </c>
      <c r="M81" s="396">
        <f>+'003'!O80</f>
        <v>151400.51</v>
      </c>
      <c r="N81" s="396">
        <f>+'003'!P80</f>
        <v>151400.51</v>
      </c>
      <c r="O81" s="396">
        <f t="shared" si="2"/>
        <v>0</v>
      </c>
    </row>
    <row r="82" spans="1:15">
      <c r="A82" s="394" t="str">
        <f>+'003'!B81</f>
        <v>1.2.1</v>
      </c>
      <c r="B82" s="394" t="str">
        <f>+'003'!C81</f>
        <v>E058-G1053</v>
      </c>
      <c r="C82" s="394">
        <f>+'003'!D81</f>
        <v>1</v>
      </c>
      <c r="D82" s="394" t="str">
        <f>+'003'!E81</f>
        <v>21115-0105</v>
      </c>
      <c r="E82" s="394" t="str">
        <f>+'003'!F81</f>
        <v>2</v>
      </c>
      <c r="F82" s="394" t="str">
        <f>+'003'!G81</f>
        <v>5111</v>
      </c>
      <c r="G82" s="464" t="str">
        <f>+'003'!H81</f>
        <v>1.2.1/E058-G1053/1/21115-0105/2/5111  Muebles de oficina</v>
      </c>
      <c r="H82" s="396">
        <f>+'003'!J81</f>
        <v>101783.83</v>
      </c>
      <c r="I82" s="396">
        <f>+'003'!K81</f>
        <v>34906.680000000051</v>
      </c>
      <c r="J82" s="396">
        <f>+'003'!L81</f>
        <v>136690.51</v>
      </c>
      <c r="K82" s="396">
        <f>+'003'!M81</f>
        <v>136690.51</v>
      </c>
      <c r="L82" s="396">
        <f>+'003'!N81</f>
        <v>136690.51</v>
      </c>
      <c r="M82" s="396">
        <f>+'003'!O81</f>
        <v>136690.51</v>
      </c>
      <c r="N82" s="396">
        <f>+'003'!P81</f>
        <v>136690.51</v>
      </c>
      <c r="O82" s="396">
        <f t="shared" si="2"/>
        <v>0</v>
      </c>
    </row>
    <row r="83" spans="1:15">
      <c r="A83" s="394" t="str">
        <f>+'003'!B82</f>
        <v>1.2.1</v>
      </c>
      <c r="B83" s="394" t="str">
        <f>+'003'!C82</f>
        <v>E058-G1053</v>
      </c>
      <c r="C83" s="394">
        <f>+'003'!D82</f>
        <v>1</v>
      </c>
      <c r="D83" s="394" t="str">
        <f>+'003'!E82</f>
        <v>21115-0105</v>
      </c>
      <c r="E83" s="394" t="str">
        <f>+'003'!F82</f>
        <v>2</v>
      </c>
      <c r="F83" s="394" t="str">
        <f>+'003'!G82</f>
        <v>5151</v>
      </c>
      <c r="G83" s="464" t="str">
        <f>+'003'!H82</f>
        <v>1.2.1/E058-G1053/1/21115-0105/2/5151  Computadoras</v>
      </c>
      <c r="H83" s="396">
        <f>+'003'!J82</f>
        <v>97451.34</v>
      </c>
      <c r="I83" s="396">
        <f>+'003'!K82</f>
        <v>-97451.339999999967</v>
      </c>
      <c r="J83" s="396">
        <f>+'003'!L82</f>
        <v>0</v>
      </c>
      <c r="K83" s="396">
        <f>+'003'!M82</f>
        <v>0</v>
      </c>
      <c r="L83" s="396">
        <f>+'003'!N82</f>
        <v>0</v>
      </c>
      <c r="M83" s="396">
        <f>+'003'!O82</f>
        <v>0</v>
      </c>
      <c r="N83" s="396">
        <f>+'003'!P82</f>
        <v>0</v>
      </c>
      <c r="O83" s="396">
        <f t="shared" si="2"/>
        <v>0</v>
      </c>
    </row>
    <row r="84" spans="1:15">
      <c r="A84" s="394" t="str">
        <f>+'003'!B83</f>
        <v>1.2.1</v>
      </c>
      <c r="B84" s="394" t="str">
        <f>+'003'!C83</f>
        <v>E058-G1053</v>
      </c>
      <c r="C84" s="394">
        <f>+'003'!D83</f>
        <v>1</v>
      </c>
      <c r="D84" s="394" t="str">
        <f>+'003'!E83</f>
        <v>21115-0105</v>
      </c>
      <c r="E84" s="394" t="str">
        <f>+'003'!F83</f>
        <v>2</v>
      </c>
      <c r="F84" s="394" t="str">
        <f>+'003'!G83</f>
        <v>5191</v>
      </c>
      <c r="G84" s="464" t="str">
        <f>+'003'!H83</f>
        <v>1.2.1/E058-G1053/1/21115-0105/2/5191  Otros mobiliarios</v>
      </c>
      <c r="H84" s="396">
        <f>+'003'!J83</f>
        <v>767.64</v>
      </c>
      <c r="I84" s="396">
        <f>+'003'!K83</f>
        <v>77473.5</v>
      </c>
      <c r="J84" s="396">
        <f>+'003'!L83</f>
        <v>78241.14</v>
      </c>
      <c r="K84" s="396">
        <f>+'003'!M83</f>
        <v>78241.14</v>
      </c>
      <c r="L84" s="396">
        <f>+'003'!N83</f>
        <v>78241.14</v>
      </c>
      <c r="M84" s="396">
        <f>+'003'!O83</f>
        <v>78241.14</v>
      </c>
      <c r="N84" s="396">
        <f>+'003'!P83</f>
        <v>78241.14</v>
      </c>
      <c r="O84" s="396">
        <f t="shared" si="2"/>
        <v>0</v>
      </c>
    </row>
    <row r="85" spans="1:15">
      <c r="A85" s="394" t="str">
        <f>+'003'!B84</f>
        <v>1.2.1</v>
      </c>
      <c r="B85" s="394" t="str">
        <f>+'003'!C84</f>
        <v>E058-G1053</v>
      </c>
      <c r="C85" s="394">
        <f>+'003'!D84</f>
        <v>1</v>
      </c>
      <c r="D85" s="394" t="str">
        <f>+'003'!E84</f>
        <v>21115-0105</v>
      </c>
      <c r="E85" s="394" t="str">
        <f>+'003'!F84</f>
        <v>2</v>
      </c>
      <c r="F85" s="394" t="str">
        <f>+'003'!G84</f>
        <v>5411</v>
      </c>
      <c r="G85" s="464" t="str">
        <f>+'003'!H84</f>
        <v>1.2.1/E058-G1053/1/21115-0105/2/5411  Automóviles y camiones</v>
      </c>
      <c r="H85" s="396">
        <f>+'003'!J84</f>
        <v>241852.24</v>
      </c>
      <c r="I85" s="396">
        <f>+'003'!K84</f>
        <v>-241852.24</v>
      </c>
      <c r="J85" s="396">
        <f>+'003'!L84</f>
        <v>0</v>
      </c>
      <c r="K85" s="396">
        <f>+'003'!M84</f>
        <v>0</v>
      </c>
      <c r="L85" s="396">
        <f>+'003'!N84</f>
        <v>0</v>
      </c>
      <c r="M85" s="396">
        <f>+'003'!O84</f>
        <v>0</v>
      </c>
      <c r="N85" s="396">
        <f>+'003'!P84</f>
        <v>0</v>
      </c>
      <c r="O85" s="396">
        <f t="shared" si="2"/>
        <v>0</v>
      </c>
    </row>
    <row r="86" spans="1:15">
      <c r="A86" s="394" t="str">
        <f>+'003'!B85</f>
        <v>1.2.1</v>
      </c>
      <c r="B86" s="394" t="str">
        <f>+'003'!C85</f>
        <v>E058-G1053</v>
      </c>
      <c r="C86" s="394">
        <f>+'003'!D85</f>
        <v>1</v>
      </c>
      <c r="D86" s="394" t="str">
        <f>+'003'!E85</f>
        <v>21115-0105</v>
      </c>
      <c r="E86" s="394" t="str">
        <f>+'003'!F85</f>
        <v>2</v>
      </c>
      <c r="F86" s="394" t="str">
        <f>+'003'!G85</f>
        <v>5651</v>
      </c>
      <c r="G86" s="464" t="str">
        <f>+'003'!H85</f>
        <v>1.2.1/E058-G1053/1/21115-0105/2/5651  Eq Comunicación</v>
      </c>
      <c r="H86" s="396">
        <f>+'003'!J85</f>
        <v>0</v>
      </c>
      <c r="I86" s="396">
        <f>+'003'!K85</f>
        <v>89662.9</v>
      </c>
      <c r="J86" s="396">
        <f>+'003'!L85</f>
        <v>89662.9</v>
      </c>
      <c r="K86" s="396">
        <f>+'003'!M85</f>
        <v>89662.9</v>
      </c>
      <c r="L86" s="396">
        <f>+'003'!N85</f>
        <v>89662.9</v>
      </c>
      <c r="M86" s="396">
        <f>+'003'!O85</f>
        <v>89662.9</v>
      </c>
      <c r="N86" s="396">
        <f>+'003'!P85</f>
        <v>89662.9</v>
      </c>
      <c r="O86" s="396">
        <f t="shared" si="2"/>
        <v>0</v>
      </c>
    </row>
    <row r="87" spans="1:15">
      <c r="A87" s="394" t="str">
        <f>+'003'!B86</f>
        <v>1.2.1</v>
      </c>
      <c r="B87" s="394" t="str">
        <f>+'003'!C86</f>
        <v>E058-G1053</v>
      </c>
      <c r="C87" s="394">
        <f>+'003'!D86</f>
        <v>1</v>
      </c>
      <c r="D87" s="394" t="str">
        <f>+'003'!E86</f>
        <v>21115-0105</v>
      </c>
      <c r="E87" s="394" t="str">
        <f>+'003'!F86</f>
        <v>2</v>
      </c>
      <c r="F87" s="394" t="str">
        <f>+'003'!G86</f>
        <v>5911</v>
      </c>
      <c r="G87" s="464" t="str">
        <f>+'003'!H86</f>
        <v>1.2.1/E058-G1053/1/21115-0105/2/5911  Software</v>
      </c>
      <c r="H87" s="396">
        <f>+'003'!J86</f>
        <v>50000</v>
      </c>
      <c r="I87" s="396">
        <f>+'003'!K86</f>
        <v>-50000</v>
      </c>
      <c r="J87" s="396">
        <f>+'003'!L86</f>
        <v>0</v>
      </c>
      <c r="K87" s="396">
        <f>+'003'!M86</f>
        <v>0</v>
      </c>
      <c r="L87" s="396">
        <f>+'003'!N86</f>
        <v>0</v>
      </c>
      <c r="M87" s="396">
        <f>+'003'!O86</f>
        <v>0</v>
      </c>
      <c r="N87" s="396">
        <f>+'003'!P86</f>
        <v>0</v>
      </c>
      <c r="O87" s="396">
        <f t="shared" si="2"/>
        <v>0</v>
      </c>
    </row>
    <row r="88" spans="1:15">
      <c r="A88" s="394" t="str">
        <f>+'003'!B87</f>
        <v>1.2.1</v>
      </c>
      <c r="B88" s="394" t="str">
        <f>+'003'!C87</f>
        <v>E058-G1053</v>
      </c>
      <c r="C88" s="394">
        <f>+'003'!D87</f>
        <v>1</v>
      </c>
      <c r="D88" s="394" t="str">
        <f>+'003'!E87</f>
        <v>21115-0105</v>
      </c>
      <c r="E88" s="394" t="str">
        <f>+'003'!F87</f>
        <v>2</v>
      </c>
      <c r="F88" s="394" t="str">
        <f>+'003'!G87</f>
        <v>5971</v>
      </c>
      <c r="G88" s="464" t="str">
        <f>+'003'!H87</f>
        <v>1.2.1/E058-G1053/1/21115-0105/2/5971  Licencia informatica</v>
      </c>
      <c r="H88" s="396">
        <f>+'003'!J87</f>
        <v>10070.94</v>
      </c>
      <c r="I88" s="396">
        <f>+'003'!K87</f>
        <v>115344.35999999999</v>
      </c>
      <c r="J88" s="396">
        <f>+'003'!L87</f>
        <v>125415.3</v>
      </c>
      <c r="K88" s="396">
        <f>+'003'!M87</f>
        <v>125415.3</v>
      </c>
      <c r="L88" s="396">
        <f>+'003'!N87</f>
        <v>125415.3</v>
      </c>
      <c r="M88" s="396">
        <f>+'003'!O87</f>
        <v>125415.3</v>
      </c>
      <c r="N88" s="396">
        <f>+'003'!P87</f>
        <v>125415.3</v>
      </c>
      <c r="O88" s="396">
        <f t="shared" si="2"/>
        <v>0</v>
      </c>
    </row>
    <row r="89" spans="1:15">
      <c r="A89" s="394" t="str">
        <f>+'003'!B88</f>
        <v>1.2.1</v>
      </c>
      <c r="B89" s="394" t="str">
        <f>+'003'!C88</f>
        <v>E058-G1053</v>
      </c>
      <c r="C89" s="394">
        <f>+'003'!D88</f>
        <v>1</v>
      </c>
      <c r="D89" s="394" t="str">
        <f>+'003'!E88</f>
        <v>21115-0105</v>
      </c>
      <c r="E89" s="394" t="str">
        <f>+'003'!F88</f>
        <v>1</v>
      </c>
      <c r="F89" s="394" t="str">
        <f>+'003'!G88</f>
        <v>7991</v>
      </c>
      <c r="G89" s="464" t="str">
        <f>+'003'!H88</f>
        <v>1.2.1/E058-G1053/1/21115-0105/1/7991  Erogaciones complementarias</v>
      </c>
      <c r="H89" s="396">
        <f>+'003'!J88</f>
        <v>625510.53</v>
      </c>
      <c r="I89" s="396">
        <f>+'003'!K88</f>
        <v>-625510.53</v>
      </c>
      <c r="J89" s="396">
        <f>+'003'!L88</f>
        <v>0</v>
      </c>
      <c r="K89" s="396">
        <f>+'003'!M88</f>
        <v>0</v>
      </c>
      <c r="L89" s="396">
        <f>+'003'!N88</f>
        <v>0</v>
      </c>
      <c r="M89" s="396">
        <f>+'003'!O88</f>
        <v>0</v>
      </c>
      <c r="N89" s="396">
        <f>+'003'!P88</f>
        <v>0</v>
      </c>
      <c r="O89" s="396">
        <f t="shared" si="2"/>
        <v>0</v>
      </c>
    </row>
    <row r="90" spans="1:15">
      <c r="A90" s="394" t="str">
        <f>+'003'!B89</f>
        <v>1.2.1</v>
      </c>
      <c r="B90" s="394" t="str">
        <f>+'003'!C89</f>
        <v>E058-G1053</v>
      </c>
      <c r="C90" s="394">
        <f>+'003'!D89</f>
        <v>1</v>
      </c>
      <c r="D90" s="394" t="str">
        <f>+'003'!E89</f>
        <v>21115-0107</v>
      </c>
      <c r="E90" s="394" t="str">
        <f>+'003'!F89</f>
        <v>1</v>
      </c>
      <c r="F90" s="394" t="str">
        <f>+'003'!G89</f>
        <v>3551</v>
      </c>
      <c r="G90" s="464" t="str">
        <f>+'003'!H89</f>
        <v>1.2.1/E058-G1053/1/21115-0107/1/3551  Mantto Vehíc</v>
      </c>
      <c r="H90" s="396">
        <f>+'003'!J89</f>
        <v>0</v>
      </c>
      <c r="I90" s="396">
        <f>+'003'!K89</f>
        <v>0</v>
      </c>
      <c r="J90" s="396">
        <f>+'003'!L89</f>
        <v>0</v>
      </c>
      <c r="K90" s="396">
        <f>+'003'!M89</f>
        <v>0</v>
      </c>
      <c r="L90" s="396">
        <f>+'003'!N89</f>
        <v>0</v>
      </c>
      <c r="M90" s="396">
        <f>+'003'!O89</f>
        <v>0</v>
      </c>
      <c r="N90" s="396">
        <f>+'003'!P89</f>
        <v>0</v>
      </c>
      <c r="O90" s="396">
        <f t="shared" si="2"/>
        <v>0</v>
      </c>
    </row>
    <row r="91" spans="1:15">
      <c r="A91" s="394" t="str">
        <f>+'003'!B90</f>
        <v>1.2.1</v>
      </c>
      <c r="B91" s="394" t="str">
        <f>+'003'!C90</f>
        <v>E058-G1054</v>
      </c>
      <c r="C91" s="394">
        <f>+'003'!D90</f>
        <v>1</v>
      </c>
      <c r="D91" s="394" t="str">
        <f>+'003'!E90</f>
        <v>21115-0105</v>
      </c>
      <c r="E91" s="394" t="str">
        <f>+'003'!F90</f>
        <v>2</v>
      </c>
      <c r="F91" s="394" t="str">
        <f>+'003'!G90</f>
        <v>5651</v>
      </c>
      <c r="G91" s="464" t="str">
        <f>+'003'!H90</f>
        <v>1.2.1/E058-G1054/1/21115-0105/2/5651  Eq Comunicación</v>
      </c>
      <c r="H91" s="396">
        <f>+'003'!J90</f>
        <v>0</v>
      </c>
      <c r="I91" s="396">
        <f>+'003'!K90</f>
        <v>0</v>
      </c>
      <c r="J91" s="396">
        <f>+'003'!L90</f>
        <v>0</v>
      </c>
      <c r="K91" s="396">
        <f>+'003'!M90</f>
        <v>0</v>
      </c>
      <c r="L91" s="396">
        <f>+'003'!N90</f>
        <v>0</v>
      </c>
      <c r="M91" s="396">
        <f>+'003'!O90</f>
        <v>0</v>
      </c>
      <c r="N91" s="396">
        <f>+'003'!P90</f>
        <v>0</v>
      </c>
      <c r="O91" s="396">
        <f t="shared" si="2"/>
        <v>0</v>
      </c>
    </row>
    <row r="92" spans="1:15">
      <c r="A92" s="394" t="str">
        <f>+'003'!B91</f>
        <v>1.2.1</v>
      </c>
      <c r="B92" s="394" t="str">
        <f>+'003'!C91</f>
        <v>E058-G1054</v>
      </c>
      <c r="C92" s="394">
        <f>+'003'!D91</f>
        <v>1</v>
      </c>
      <c r="D92" s="394" t="str">
        <f>+'003'!E91</f>
        <v>21115-0107</v>
      </c>
      <c r="E92" s="394" t="str">
        <f>+'003'!F91</f>
        <v>2</v>
      </c>
      <c r="F92" s="394" t="str">
        <f>+'003'!G91</f>
        <v>5411</v>
      </c>
      <c r="G92" s="464" t="str">
        <f>+'003'!H91</f>
        <v>1.2.1/E058-G1054/1/21115-0107/2/5411  Automóviles y camiones</v>
      </c>
      <c r="H92" s="396">
        <f>+'003'!J91</f>
        <v>0</v>
      </c>
      <c r="I92" s="396">
        <f>+'003'!K91</f>
        <v>0</v>
      </c>
      <c r="J92" s="396">
        <f>+'003'!L91</f>
        <v>0</v>
      </c>
      <c r="K92" s="396">
        <f>+'003'!M91</f>
        <v>0</v>
      </c>
      <c r="L92" s="396">
        <f>+'003'!N91</f>
        <v>0</v>
      </c>
      <c r="M92" s="396">
        <f>+'003'!O91</f>
        <v>0</v>
      </c>
      <c r="N92" s="396">
        <f>+'003'!P91</f>
        <v>0</v>
      </c>
      <c r="O92" s="396">
        <f t="shared" si="2"/>
        <v>0</v>
      </c>
    </row>
    <row r="93" spans="1:15">
      <c r="A93" s="394" t="str">
        <f>+'003'!B92</f>
        <v>1.2.1</v>
      </c>
      <c r="B93" s="394" t="str">
        <f>+'003'!C92</f>
        <v>E058-G1054</v>
      </c>
      <c r="C93" s="394">
        <f>+'003'!D92</f>
        <v>1</v>
      </c>
      <c r="D93" s="394" t="str">
        <f>+'003'!E92</f>
        <v>21115-0110</v>
      </c>
      <c r="E93" s="394" t="str">
        <f>+'003'!F92</f>
        <v>1</v>
      </c>
      <c r="F93" s="394" t="str">
        <f>+'003'!G92</f>
        <v>1131</v>
      </c>
      <c r="G93" s="464" t="str">
        <f>+'003'!H92</f>
        <v>1.2.1/E058-G1054/1/21115-0110/1/1131  Sueldos Base</v>
      </c>
      <c r="H93" s="396">
        <f>+'003'!J92</f>
        <v>534497.76</v>
      </c>
      <c r="I93" s="396">
        <f>+'003'!K92</f>
        <v>2728.8</v>
      </c>
      <c r="J93" s="396">
        <f>+'003'!L92</f>
        <v>537226.56000000006</v>
      </c>
      <c r="K93" s="396">
        <f>+'003'!M92</f>
        <v>537226.56000000006</v>
      </c>
      <c r="L93" s="396">
        <f>+'003'!N92</f>
        <v>537226.56000000006</v>
      </c>
      <c r="M93" s="396">
        <f>+'003'!O92</f>
        <v>537226.56000000006</v>
      </c>
      <c r="N93" s="396">
        <f>+'003'!P92</f>
        <v>537226.56000000006</v>
      </c>
      <c r="O93" s="396">
        <f t="shared" si="2"/>
        <v>0</v>
      </c>
    </row>
    <row r="94" spans="1:15">
      <c r="A94" s="394" t="str">
        <f>+'003'!B93</f>
        <v>1.2.1</v>
      </c>
      <c r="B94" s="394" t="str">
        <f>+'003'!C93</f>
        <v>E058-G1054</v>
      </c>
      <c r="C94" s="394">
        <f>+'003'!D93</f>
        <v>1</v>
      </c>
      <c r="D94" s="394" t="str">
        <f>+'003'!E93</f>
        <v>21115-0110</v>
      </c>
      <c r="E94" s="394" t="str">
        <f>+'003'!F93</f>
        <v>1</v>
      </c>
      <c r="F94" s="394" t="str">
        <f>+'003'!G93</f>
        <v>1311</v>
      </c>
      <c r="G94" s="464" t="str">
        <f>+'003'!H93</f>
        <v>1.2.1/E058-G1054/1/21115-0110/1/1311  Prima quinquenal</v>
      </c>
      <c r="H94" s="396">
        <f>+'003'!J93</f>
        <v>187.5</v>
      </c>
      <c r="I94" s="396">
        <f>+'003'!K93</f>
        <v>-187.5</v>
      </c>
      <c r="J94" s="396">
        <f>+'003'!L93</f>
        <v>0</v>
      </c>
      <c r="K94" s="396">
        <f>+'003'!M93</f>
        <v>0</v>
      </c>
      <c r="L94" s="396">
        <f>+'003'!N93</f>
        <v>0</v>
      </c>
      <c r="M94" s="396">
        <f>+'003'!O93</f>
        <v>0</v>
      </c>
      <c r="N94" s="396">
        <f>+'003'!P93</f>
        <v>0</v>
      </c>
      <c r="O94" s="396">
        <f t="shared" si="2"/>
        <v>0</v>
      </c>
    </row>
    <row r="95" spans="1:15">
      <c r="A95" s="394" t="str">
        <f>+'003'!B94</f>
        <v>1.2.1</v>
      </c>
      <c r="B95" s="394" t="str">
        <f>+'003'!C94</f>
        <v>E058-G1054</v>
      </c>
      <c r="C95" s="394">
        <f>+'003'!D94</f>
        <v>1</v>
      </c>
      <c r="D95" s="394" t="str">
        <f>+'003'!E94</f>
        <v>21115-0110</v>
      </c>
      <c r="E95" s="394" t="str">
        <f>+'003'!F94</f>
        <v>1</v>
      </c>
      <c r="F95" s="394" t="str">
        <f>+'003'!G94</f>
        <v>1321</v>
      </c>
      <c r="G95" s="464" t="str">
        <f>+'003'!H94</f>
        <v>1.2.1/E058-G1054/1/21115-0110/1/1321  Prima Vacacional</v>
      </c>
      <c r="H95" s="396">
        <f>+'003'!J94</f>
        <v>43925.7</v>
      </c>
      <c r="I95" s="396">
        <f>+'003'!K94</f>
        <v>680.6</v>
      </c>
      <c r="J95" s="396">
        <f>+'003'!L94</f>
        <v>44606.3</v>
      </c>
      <c r="K95" s="396">
        <f>+'003'!M94</f>
        <v>44606.3</v>
      </c>
      <c r="L95" s="396">
        <f>+'003'!N94</f>
        <v>44606.3</v>
      </c>
      <c r="M95" s="396">
        <f>+'003'!O94</f>
        <v>44606.3</v>
      </c>
      <c r="N95" s="396">
        <f>+'003'!P94</f>
        <v>44606.3</v>
      </c>
      <c r="O95" s="396">
        <f t="shared" si="2"/>
        <v>0</v>
      </c>
    </row>
    <row r="96" spans="1:15">
      <c r="A96" s="394" t="str">
        <f>+'003'!B95</f>
        <v>1.2.1</v>
      </c>
      <c r="B96" s="394" t="str">
        <f>+'003'!C95</f>
        <v>E058-G1054</v>
      </c>
      <c r="C96" s="394">
        <f>+'003'!D95</f>
        <v>1</v>
      </c>
      <c r="D96" s="394" t="str">
        <f>+'003'!E95</f>
        <v>21115-0110</v>
      </c>
      <c r="E96" s="394" t="str">
        <f>+'003'!F95</f>
        <v>1</v>
      </c>
      <c r="F96" s="394" t="str">
        <f>+'003'!G95</f>
        <v>1323</v>
      </c>
      <c r="G96" s="464" t="str">
        <f>+'003'!H95</f>
        <v>1.2.1/E058-G1054/1/21115-0110/1/1323  Gratificación de fin de año</v>
      </c>
      <c r="H96" s="396">
        <f>+'003'!J95</f>
        <v>197652.52</v>
      </c>
      <c r="I96" s="396">
        <f>+'003'!K95</f>
        <v>3076.1</v>
      </c>
      <c r="J96" s="396">
        <f>+'003'!L95</f>
        <v>200728.62</v>
      </c>
      <c r="K96" s="396">
        <f>+'003'!M95</f>
        <v>200728.62</v>
      </c>
      <c r="L96" s="396">
        <f>+'003'!N95</f>
        <v>200728.62</v>
      </c>
      <c r="M96" s="396">
        <f>+'003'!O95</f>
        <v>200728.62</v>
      </c>
      <c r="N96" s="396">
        <f>+'003'!P95</f>
        <v>200728.62</v>
      </c>
      <c r="O96" s="396">
        <f t="shared" si="2"/>
        <v>0</v>
      </c>
    </row>
    <row r="97" spans="1:15">
      <c r="A97" s="394" t="str">
        <f>+'003'!B96</f>
        <v>1.2.1</v>
      </c>
      <c r="B97" s="394" t="str">
        <f>+'003'!C96</f>
        <v>E058-G1054</v>
      </c>
      <c r="C97" s="394">
        <f>+'003'!D96</f>
        <v>1</v>
      </c>
      <c r="D97" s="394" t="str">
        <f>+'003'!E96</f>
        <v>21115-0110</v>
      </c>
      <c r="E97" s="394" t="str">
        <f>+'003'!F96</f>
        <v>1</v>
      </c>
      <c r="F97" s="394" t="str">
        <f>+'003'!G96</f>
        <v>1411</v>
      </c>
      <c r="G97" s="464" t="str">
        <f>+'003'!H96</f>
        <v>1.2.1/E058-G1054/1/21115-0110/1/1411  Aportaciones al ISSEG</v>
      </c>
      <c r="H97" s="396">
        <f>+'003'!J96</f>
        <v>122934.48</v>
      </c>
      <c r="I97" s="396">
        <f>+'003'!K96</f>
        <v>627.59999999999945</v>
      </c>
      <c r="J97" s="396">
        <f>+'003'!L96</f>
        <v>123562.08</v>
      </c>
      <c r="K97" s="396">
        <f>+'003'!M96</f>
        <v>123562.08</v>
      </c>
      <c r="L97" s="396">
        <f>+'003'!N96</f>
        <v>123562.08</v>
      </c>
      <c r="M97" s="396">
        <f>+'003'!O96</f>
        <v>123562.08</v>
      </c>
      <c r="N97" s="396">
        <f>+'003'!P96</f>
        <v>123562.08</v>
      </c>
      <c r="O97" s="396">
        <f t="shared" si="2"/>
        <v>0</v>
      </c>
    </row>
    <row r="98" spans="1:15">
      <c r="A98" s="394" t="str">
        <f>+'003'!B97</f>
        <v>1.2.1</v>
      </c>
      <c r="B98" s="394" t="str">
        <f>+'003'!C97</f>
        <v>E058-G1054</v>
      </c>
      <c r="C98" s="394">
        <f>+'003'!D97</f>
        <v>1</v>
      </c>
      <c r="D98" s="394" t="str">
        <f>+'003'!E97</f>
        <v>21115-0110</v>
      </c>
      <c r="E98" s="394" t="str">
        <f>+'003'!F97</f>
        <v>1</v>
      </c>
      <c r="F98" s="394" t="str">
        <f>+'003'!G97</f>
        <v>1412</v>
      </c>
      <c r="G98" s="464" t="str">
        <f>+'003'!H97</f>
        <v>1.2.1/E058-G1054/1/21115-0110/1/1412  Cuotas al ISSSTE</v>
      </c>
      <c r="H98" s="396">
        <f>+'003'!J97</f>
        <v>52128</v>
      </c>
      <c r="I98" s="396">
        <f>+'003'!K97</f>
        <v>-13179.119999999999</v>
      </c>
      <c r="J98" s="396">
        <f>+'003'!L97</f>
        <v>38948.879999999997</v>
      </c>
      <c r="K98" s="396">
        <f>+'003'!M97</f>
        <v>38948.879999999997</v>
      </c>
      <c r="L98" s="396">
        <f>+'003'!N97</f>
        <v>38948.879999999997</v>
      </c>
      <c r="M98" s="396">
        <f>+'003'!O97</f>
        <v>38948.879999999997</v>
      </c>
      <c r="N98" s="396">
        <f>+'003'!P97</f>
        <v>38948.879999999997</v>
      </c>
      <c r="O98" s="396">
        <f t="shared" si="2"/>
        <v>0</v>
      </c>
    </row>
    <row r="99" spans="1:15">
      <c r="A99" s="394" t="str">
        <f>+'003'!B98</f>
        <v>1.2.1</v>
      </c>
      <c r="B99" s="394" t="str">
        <f>+'003'!C98</f>
        <v>E058-G1054</v>
      </c>
      <c r="C99" s="394">
        <f>+'003'!D98</f>
        <v>1</v>
      </c>
      <c r="D99" s="394" t="str">
        <f>+'003'!E98</f>
        <v>21115-0110</v>
      </c>
      <c r="E99" s="394" t="str">
        <f>+'003'!F98</f>
        <v>1</v>
      </c>
      <c r="F99" s="394" t="str">
        <f>+'003'!G98</f>
        <v>1441</v>
      </c>
      <c r="G99" s="464" t="str">
        <f>+'003'!H98</f>
        <v>1.2.1/E058-G1054/1/21115-0110/1/1441  Seguros</v>
      </c>
      <c r="H99" s="396">
        <f>+'003'!J98</f>
        <v>40213.29</v>
      </c>
      <c r="I99" s="396">
        <f>+'003'!K98</f>
        <v>-20213.290000000008</v>
      </c>
      <c r="J99" s="396">
        <f>+'003'!L98</f>
        <v>20000</v>
      </c>
      <c r="K99" s="396">
        <f>+'003'!M98</f>
        <v>20000</v>
      </c>
      <c r="L99" s="396">
        <f>+'003'!N98</f>
        <v>20000</v>
      </c>
      <c r="M99" s="396">
        <f>+'003'!O98</f>
        <v>20000</v>
      </c>
      <c r="N99" s="396">
        <f>+'003'!P98</f>
        <v>20000</v>
      </c>
      <c r="O99" s="396">
        <f t="shared" si="2"/>
        <v>0</v>
      </c>
    </row>
    <row r="100" spans="1:15">
      <c r="A100" s="394" t="str">
        <f>+'003'!B99</f>
        <v>1.2.1</v>
      </c>
      <c r="B100" s="394" t="str">
        <f>+'003'!C99</f>
        <v>E058-G1054</v>
      </c>
      <c r="C100" s="394">
        <f>+'003'!D99</f>
        <v>1</v>
      </c>
      <c r="D100" s="394" t="str">
        <f>+'003'!E99</f>
        <v>21115-0110</v>
      </c>
      <c r="E100" s="394" t="str">
        <f>+'003'!F99</f>
        <v>1</v>
      </c>
      <c r="F100" s="394" t="str">
        <f>+'003'!G99</f>
        <v>1541</v>
      </c>
      <c r="G100" s="464" t="str">
        <f>+'003'!H99</f>
        <v>1.2.1/E058-G1054/1/21115-0110/1/1541  Prestaciones CGT</v>
      </c>
      <c r="H100" s="396">
        <f>+'003'!J99</f>
        <v>465528.72</v>
      </c>
      <c r="I100" s="396">
        <f>+'003'!K99</f>
        <v>21775.200000000004</v>
      </c>
      <c r="J100" s="396">
        <f>+'003'!L99</f>
        <v>487303.92</v>
      </c>
      <c r="K100" s="396">
        <f>+'003'!M99</f>
        <v>487303.92</v>
      </c>
      <c r="L100" s="396">
        <f>+'003'!N99</f>
        <v>487303.92</v>
      </c>
      <c r="M100" s="396">
        <f>+'003'!O99</f>
        <v>487303.92</v>
      </c>
      <c r="N100" s="396">
        <f>+'003'!P99</f>
        <v>487303.92</v>
      </c>
      <c r="O100" s="396">
        <f t="shared" si="2"/>
        <v>0</v>
      </c>
    </row>
    <row r="101" spans="1:15">
      <c r="A101" s="394" t="str">
        <f>+'003'!B100</f>
        <v>1.2.1</v>
      </c>
      <c r="B101" s="394" t="str">
        <f>+'003'!C100</f>
        <v>E058-G1054</v>
      </c>
      <c r="C101" s="394">
        <f>+'003'!D100</f>
        <v>1</v>
      </c>
      <c r="D101" s="394" t="str">
        <f>+'003'!E100</f>
        <v>21115-0110</v>
      </c>
      <c r="E101" s="394" t="str">
        <f>+'003'!F100</f>
        <v>1</v>
      </c>
      <c r="F101" s="394" t="str">
        <f>+'003'!G100</f>
        <v>1591</v>
      </c>
      <c r="G101" s="464" t="str">
        <f>+'003'!H100</f>
        <v>1.2.1/E058-G1054/1/21115-0110/1/1591  Asign Adic sueldo</v>
      </c>
      <c r="H101" s="396">
        <f>+'003'!J100</f>
        <v>581299.44999999995</v>
      </c>
      <c r="I101" s="396">
        <f>+'003'!K100</f>
        <v>-9.9999999999980105E-3</v>
      </c>
      <c r="J101" s="396">
        <f>+'003'!L100</f>
        <v>581299.43999999994</v>
      </c>
      <c r="K101" s="396">
        <f>+'003'!M100</f>
        <v>581299.43999999994</v>
      </c>
      <c r="L101" s="396">
        <f>+'003'!N100</f>
        <v>581299.43999999994</v>
      </c>
      <c r="M101" s="396">
        <f>+'003'!O100</f>
        <v>581299.43999999994</v>
      </c>
      <c r="N101" s="396">
        <f>+'003'!P100</f>
        <v>581299.43999999994</v>
      </c>
      <c r="O101" s="396">
        <f t="shared" si="2"/>
        <v>0</v>
      </c>
    </row>
    <row r="102" spans="1:15">
      <c r="A102" s="394" t="str">
        <f>+'003'!B101</f>
        <v>1.2.1</v>
      </c>
      <c r="B102" s="394" t="str">
        <f>+'003'!C101</f>
        <v>E058-G1054</v>
      </c>
      <c r="C102" s="394">
        <f>+'003'!D101</f>
        <v>1</v>
      </c>
      <c r="D102" s="394" t="str">
        <f>+'003'!E101</f>
        <v>21115-0110</v>
      </c>
      <c r="E102" s="394" t="str">
        <f>+'003'!F101</f>
        <v>1</v>
      </c>
      <c r="F102" s="394" t="str">
        <f>+'003'!G101</f>
        <v>1592</v>
      </c>
      <c r="G102" s="464" t="str">
        <f>+'003'!H101</f>
        <v>1.2.1/E058-G1054/1/21115-0110/1/1592  Otras prestaciones</v>
      </c>
      <c r="H102" s="396">
        <f>+'003'!J101</f>
        <v>0</v>
      </c>
      <c r="I102" s="396">
        <f>+'003'!K101</f>
        <v>11009.06</v>
      </c>
      <c r="J102" s="396">
        <f>+'003'!L101</f>
        <v>11009.06</v>
      </c>
      <c r="K102" s="396">
        <f>+'003'!M101</f>
        <v>11009.06</v>
      </c>
      <c r="L102" s="396">
        <f>+'003'!N101</f>
        <v>11009.06</v>
      </c>
      <c r="M102" s="396">
        <f>+'003'!O101</f>
        <v>11009.06</v>
      </c>
      <c r="N102" s="396">
        <f>+'003'!P101</f>
        <v>11009.06</v>
      </c>
      <c r="O102" s="396">
        <f t="shared" si="2"/>
        <v>0</v>
      </c>
    </row>
    <row r="103" spans="1:15">
      <c r="A103" s="394" t="str">
        <f>+'003'!B102</f>
        <v>1.2.1</v>
      </c>
      <c r="B103" s="394" t="str">
        <f>+'003'!C102</f>
        <v>E058-G1054</v>
      </c>
      <c r="C103" s="394">
        <f>+'003'!D102</f>
        <v>1</v>
      </c>
      <c r="D103" s="394" t="str">
        <f>+'003'!E102</f>
        <v>21115-0110</v>
      </c>
      <c r="E103" s="394" t="str">
        <f>+'003'!F102</f>
        <v>1</v>
      </c>
      <c r="F103" s="394" t="str">
        <f>+'003'!G102</f>
        <v>1611</v>
      </c>
      <c r="G103" s="464" t="str">
        <f>+'003'!H102</f>
        <v>1.2.1/E058-G1054/1/21115-0110/1/1611  Prev de carat labora</v>
      </c>
      <c r="H103" s="396">
        <f>+'003'!J102</f>
        <v>219377.23</v>
      </c>
      <c r="I103" s="396">
        <f>+'003'!K102</f>
        <v>-219377.22999999998</v>
      </c>
      <c r="J103" s="396">
        <f>+'003'!L102</f>
        <v>0</v>
      </c>
      <c r="K103" s="396">
        <f>+'003'!M102</f>
        <v>0</v>
      </c>
      <c r="L103" s="396">
        <f>+'003'!N102</f>
        <v>0</v>
      </c>
      <c r="M103" s="396">
        <f>+'003'!O102</f>
        <v>0</v>
      </c>
      <c r="N103" s="396">
        <f>+'003'!P102</f>
        <v>0</v>
      </c>
      <c r="O103" s="396">
        <f t="shared" si="2"/>
        <v>0</v>
      </c>
    </row>
    <row r="104" spans="1:15">
      <c r="A104" s="394" t="str">
        <f>+'003'!B103</f>
        <v>1.2.1</v>
      </c>
      <c r="B104" s="394" t="str">
        <f>+'003'!C103</f>
        <v>E058-G1054</v>
      </c>
      <c r="C104" s="394">
        <f>+'003'!D103</f>
        <v>1</v>
      </c>
      <c r="D104" s="394" t="str">
        <f>+'003'!E103</f>
        <v>21115-0110</v>
      </c>
      <c r="E104" s="394" t="str">
        <f>+'003'!F103</f>
        <v>1</v>
      </c>
      <c r="F104" s="394" t="str">
        <f>+'003'!G103</f>
        <v>1711</v>
      </c>
      <c r="G104" s="464" t="str">
        <f>+'003'!H103</f>
        <v>1.2.1/E058-G1054/1/21115-0110/1/1711  Estím Productividad</v>
      </c>
      <c r="H104" s="396">
        <f>+'003'!J103</f>
        <v>62305.51</v>
      </c>
      <c r="I104" s="396">
        <f>+'003'!K103</f>
        <v>-28891.200000000012</v>
      </c>
      <c r="J104" s="396">
        <f>+'003'!L103</f>
        <v>33414.31</v>
      </c>
      <c r="K104" s="396">
        <f>+'003'!M103</f>
        <v>33414.31</v>
      </c>
      <c r="L104" s="396">
        <f>+'003'!N103</f>
        <v>33414.31</v>
      </c>
      <c r="M104" s="396">
        <f>+'003'!O103</f>
        <v>33414.31</v>
      </c>
      <c r="N104" s="396">
        <f>+'003'!P103</f>
        <v>33414.31</v>
      </c>
      <c r="O104" s="396">
        <f t="shared" si="2"/>
        <v>0</v>
      </c>
    </row>
    <row r="105" spans="1:15">
      <c r="A105" s="394" t="str">
        <f>+'003'!B104</f>
        <v>1.2.1</v>
      </c>
      <c r="B105" s="394" t="str">
        <f>+'003'!C104</f>
        <v>E058-G1054</v>
      </c>
      <c r="C105" s="394">
        <f>+'003'!D104</f>
        <v>1</v>
      </c>
      <c r="D105" s="394" t="str">
        <f>+'003'!E104</f>
        <v>21115-0110</v>
      </c>
      <c r="E105" s="394" t="str">
        <f>+'003'!F104</f>
        <v>1</v>
      </c>
      <c r="F105" s="394" t="str">
        <f>+'003'!G104</f>
        <v>2111</v>
      </c>
      <c r="G105" s="464" t="str">
        <f>+'003'!H104</f>
        <v>1.2.1/E058-G1054/1/21115-0110/1/2111  Materiales y útiles de oficina</v>
      </c>
      <c r="H105" s="396">
        <f>+'003'!J104</f>
        <v>87369.63</v>
      </c>
      <c r="I105" s="396">
        <f>+'003'!K104</f>
        <v>-87369.63</v>
      </c>
      <c r="J105" s="396">
        <f>+'003'!L104</f>
        <v>0</v>
      </c>
      <c r="K105" s="396">
        <f>+'003'!M104</f>
        <v>0</v>
      </c>
      <c r="L105" s="396">
        <f>+'003'!N104</f>
        <v>0</v>
      </c>
      <c r="M105" s="396">
        <f>+'003'!O104</f>
        <v>0</v>
      </c>
      <c r="N105" s="396">
        <f>+'003'!P104</f>
        <v>0</v>
      </c>
      <c r="O105" s="396">
        <f t="shared" si="2"/>
        <v>0</v>
      </c>
    </row>
    <row r="106" spans="1:15">
      <c r="A106" s="394" t="str">
        <f>+'003'!B105</f>
        <v>1.2.1</v>
      </c>
      <c r="B106" s="394" t="str">
        <f>+'003'!C105</f>
        <v>E058-G1054</v>
      </c>
      <c r="C106" s="394">
        <f>+'003'!D105</f>
        <v>1</v>
      </c>
      <c r="D106" s="394" t="str">
        <f>+'003'!E105</f>
        <v>21115-0110</v>
      </c>
      <c r="E106" s="394" t="str">
        <f>+'003'!F105</f>
        <v>1</v>
      </c>
      <c r="F106" s="394" t="str">
        <f>+'003'!G105</f>
        <v>2611</v>
      </c>
      <c r="G106" s="464" t="str">
        <f>+'003'!H105</f>
        <v>1.2.1/E058-G1054/1/21115-0110/1/2611  Combus p Seg pub</v>
      </c>
      <c r="H106" s="396">
        <f>+'003'!J105</f>
        <v>0</v>
      </c>
      <c r="I106" s="396">
        <f>+'003'!K105</f>
        <v>0</v>
      </c>
      <c r="J106" s="396">
        <f>+'003'!L105</f>
        <v>0</v>
      </c>
      <c r="K106" s="396">
        <f>+'003'!M105</f>
        <v>0</v>
      </c>
      <c r="L106" s="396">
        <f>+'003'!N105</f>
        <v>0</v>
      </c>
      <c r="M106" s="396">
        <f>+'003'!O105</f>
        <v>0</v>
      </c>
      <c r="N106" s="396">
        <f>+'003'!P105</f>
        <v>0</v>
      </c>
      <c r="O106" s="396">
        <f t="shared" si="2"/>
        <v>0</v>
      </c>
    </row>
    <row r="107" spans="1:15">
      <c r="A107" s="394" t="str">
        <f>+'003'!B106</f>
        <v>1.2.1</v>
      </c>
      <c r="B107" s="394" t="str">
        <f>+'003'!C106</f>
        <v>E058-G1054</v>
      </c>
      <c r="C107" s="394">
        <f>+'003'!D106</f>
        <v>1</v>
      </c>
      <c r="D107" s="394" t="str">
        <f>+'003'!E106</f>
        <v>21115-0110</v>
      </c>
      <c r="E107" s="394" t="str">
        <f>+'003'!F106</f>
        <v>1</v>
      </c>
      <c r="F107" s="394" t="str">
        <f>+'003'!G106</f>
        <v>2612</v>
      </c>
      <c r="G107" s="464" t="str">
        <f>+'003'!H106</f>
        <v>1.2.1/E058-G1054/1/21115-0110/1/2612  Combus p Serv pub</v>
      </c>
      <c r="H107" s="396">
        <f>+'003'!J106</f>
        <v>31263.87</v>
      </c>
      <c r="I107" s="396">
        <f>+'003'!K106</f>
        <v>-18343.190000000002</v>
      </c>
      <c r="J107" s="396">
        <f>+'003'!L106</f>
        <v>12920.68</v>
      </c>
      <c r="K107" s="396">
        <f>+'003'!M106</f>
        <v>12920.68</v>
      </c>
      <c r="L107" s="396">
        <f>+'003'!N106</f>
        <v>12920.68</v>
      </c>
      <c r="M107" s="396">
        <f>+'003'!O106</f>
        <v>12920.68</v>
      </c>
      <c r="N107" s="396">
        <f>+'003'!P106</f>
        <v>12920.68</v>
      </c>
      <c r="O107" s="396">
        <f t="shared" si="2"/>
        <v>0</v>
      </c>
    </row>
    <row r="108" spans="1:15">
      <c r="A108" s="394" t="str">
        <f>+'003'!B107</f>
        <v>1.2.1</v>
      </c>
      <c r="B108" s="394" t="str">
        <f>+'003'!C107</f>
        <v>E058-G1054</v>
      </c>
      <c r="C108" s="394">
        <f>+'003'!D107</f>
        <v>1</v>
      </c>
      <c r="D108" s="394" t="str">
        <f>+'003'!E107</f>
        <v>21115-0110</v>
      </c>
      <c r="E108" s="394" t="str">
        <f>+'003'!F107</f>
        <v>1</v>
      </c>
      <c r="F108" s="394" t="str">
        <f>+'003'!G107</f>
        <v>3341</v>
      </c>
      <c r="G108" s="464" t="str">
        <f>+'003'!H107</f>
        <v>1.2.1/E058-G1054/1/21115-0110/1/3341  Servicios de capacitación</v>
      </c>
      <c r="H108" s="396">
        <f>+'003'!J107</f>
        <v>774526.27</v>
      </c>
      <c r="I108" s="396">
        <f>+'003'!K107</f>
        <v>784682.34000000008</v>
      </c>
      <c r="J108" s="396">
        <f>+'003'!L107</f>
        <v>1559208.61</v>
      </c>
      <c r="K108" s="396">
        <f>+'003'!M107</f>
        <v>1559208.61</v>
      </c>
      <c r="L108" s="396">
        <f>+'003'!N107</f>
        <v>1559208.61</v>
      </c>
      <c r="M108" s="396">
        <f>+'003'!O107</f>
        <v>1559208.61</v>
      </c>
      <c r="N108" s="396">
        <f>+'003'!P107</f>
        <v>1559208.61</v>
      </c>
      <c r="O108" s="396">
        <f t="shared" si="2"/>
        <v>0</v>
      </c>
    </row>
    <row r="109" spans="1:15">
      <c r="A109" s="394" t="str">
        <f>+'003'!B108</f>
        <v>1.2.1</v>
      </c>
      <c r="B109" s="394" t="str">
        <f>+'003'!C108</f>
        <v>E058-G1054</v>
      </c>
      <c r="C109" s="394">
        <f>+'003'!D108</f>
        <v>1</v>
      </c>
      <c r="D109" s="394" t="str">
        <f>+'003'!E108</f>
        <v>21115-0110</v>
      </c>
      <c r="E109" s="394" t="str">
        <f>+'003'!F108</f>
        <v>1</v>
      </c>
      <c r="F109" s="394" t="str">
        <f>+'003'!G108</f>
        <v>3551</v>
      </c>
      <c r="G109" s="464" t="str">
        <f>+'003'!H108</f>
        <v>1.2.1/E058-G1054/1/21115-0110/1/3551  Mantto Vehíc</v>
      </c>
      <c r="H109" s="396">
        <f>+'003'!J108</f>
        <v>19356.169999999998</v>
      </c>
      <c r="I109" s="396">
        <f>+'003'!K108</f>
        <v>-13092.559999999998</v>
      </c>
      <c r="J109" s="396">
        <f>+'003'!L108</f>
        <v>6263.61</v>
      </c>
      <c r="K109" s="396">
        <f>+'003'!M108</f>
        <v>6263.61</v>
      </c>
      <c r="L109" s="396">
        <f>+'003'!N108</f>
        <v>6263.61</v>
      </c>
      <c r="M109" s="396">
        <f>+'003'!O108</f>
        <v>6263.61</v>
      </c>
      <c r="N109" s="396">
        <f>+'003'!P108</f>
        <v>6263.61</v>
      </c>
      <c r="O109" s="396">
        <f t="shared" si="2"/>
        <v>0</v>
      </c>
    </row>
    <row r="110" spans="1:15">
      <c r="A110" s="394" t="str">
        <f>+'003'!B109</f>
        <v>1.2.1</v>
      </c>
      <c r="B110" s="394" t="str">
        <f>+'003'!C109</f>
        <v>E058-G1054</v>
      </c>
      <c r="C110" s="394">
        <f>+'003'!D109</f>
        <v>1</v>
      </c>
      <c r="D110" s="394" t="str">
        <f>+'003'!E109</f>
        <v>21115-0110</v>
      </c>
      <c r="E110" s="394" t="str">
        <f>+'003'!F109</f>
        <v>1</v>
      </c>
      <c r="F110" s="394" t="str">
        <f>+'003'!G109</f>
        <v>3721</v>
      </c>
      <c r="G110" s="464" t="str">
        <f>+'003'!H109</f>
        <v>1.2.1/E058-G1054/1/21115-0110/1/3721  Pasajes terr Nac</v>
      </c>
      <c r="H110" s="396">
        <f>+'003'!J109</f>
        <v>5546.8</v>
      </c>
      <c r="I110" s="396">
        <f>+'003'!K109</f>
        <v>-5546.8</v>
      </c>
      <c r="J110" s="396">
        <f>+'003'!L109</f>
        <v>0</v>
      </c>
      <c r="K110" s="396">
        <f>+'003'!M109</f>
        <v>0</v>
      </c>
      <c r="L110" s="396">
        <f>+'003'!N109</f>
        <v>0</v>
      </c>
      <c r="M110" s="396">
        <f>+'003'!O109</f>
        <v>0</v>
      </c>
      <c r="N110" s="396">
        <f>+'003'!P109</f>
        <v>0</v>
      </c>
      <c r="O110" s="396">
        <f t="shared" si="2"/>
        <v>0</v>
      </c>
    </row>
    <row r="111" spans="1:15">
      <c r="A111" s="394" t="str">
        <f>+'003'!B110</f>
        <v>1.2.1</v>
      </c>
      <c r="B111" s="394" t="str">
        <f>+'003'!C110</f>
        <v>E058-G1054</v>
      </c>
      <c r="C111" s="394">
        <f>+'003'!D110</f>
        <v>1</v>
      </c>
      <c r="D111" s="394" t="str">
        <f>+'003'!E110</f>
        <v>21115-0110</v>
      </c>
      <c r="E111" s="394" t="str">
        <f>+'003'!F110</f>
        <v>1</v>
      </c>
      <c r="F111" s="394" t="str">
        <f>+'003'!G110</f>
        <v>3751</v>
      </c>
      <c r="G111" s="464" t="str">
        <f>+'003'!H110</f>
        <v>1.2.1/E058-G1054/1/21115-0110/1/3751  Viáticos nacionales</v>
      </c>
      <c r="H111" s="396">
        <f>+'003'!J110</f>
        <v>5914.6</v>
      </c>
      <c r="I111" s="396">
        <f>+'003'!K110</f>
        <v>-5914.6</v>
      </c>
      <c r="J111" s="396">
        <f>+'003'!L110</f>
        <v>0</v>
      </c>
      <c r="K111" s="396">
        <f>+'003'!M110</f>
        <v>0</v>
      </c>
      <c r="L111" s="396">
        <f>+'003'!N110</f>
        <v>0</v>
      </c>
      <c r="M111" s="396">
        <f>+'003'!O110</f>
        <v>0</v>
      </c>
      <c r="N111" s="396">
        <f>+'003'!P110</f>
        <v>0</v>
      </c>
      <c r="O111" s="396">
        <f t="shared" si="2"/>
        <v>0</v>
      </c>
    </row>
    <row r="112" spans="1:15">
      <c r="A112" s="394" t="str">
        <f>+'003'!B111</f>
        <v>1.2.1</v>
      </c>
      <c r="B112" s="394" t="str">
        <f>+'003'!C111</f>
        <v>E058-G1054</v>
      </c>
      <c r="C112" s="394">
        <f>+'003'!D111</f>
        <v>1</v>
      </c>
      <c r="D112" s="394" t="str">
        <f>+'003'!E111</f>
        <v>21115-0110</v>
      </c>
      <c r="E112" s="394" t="str">
        <f>+'003'!F111</f>
        <v>1</v>
      </c>
      <c r="F112" s="394" t="str">
        <f>+'003'!G111</f>
        <v>3921</v>
      </c>
      <c r="G112" s="464" t="str">
        <f>+'003'!H111</f>
        <v>1.2.1/E058-G1054/1/21115-0110/1/3921  Otros impuestos y derechos</v>
      </c>
      <c r="H112" s="396">
        <f>+'003'!J111</f>
        <v>0</v>
      </c>
      <c r="I112" s="396">
        <f>+'003'!K111</f>
        <v>0</v>
      </c>
      <c r="J112" s="396">
        <f>+'003'!L111</f>
        <v>0</v>
      </c>
      <c r="K112" s="396">
        <f>+'003'!M111</f>
        <v>0</v>
      </c>
      <c r="L112" s="396">
        <f>+'003'!N111</f>
        <v>0</v>
      </c>
      <c r="M112" s="396">
        <f>+'003'!O111</f>
        <v>0</v>
      </c>
      <c r="N112" s="396">
        <f>+'003'!P111</f>
        <v>0</v>
      </c>
      <c r="O112" s="396">
        <f t="shared" si="2"/>
        <v>0</v>
      </c>
    </row>
    <row r="113" spans="1:15">
      <c r="A113" s="394" t="str">
        <f>+'003'!B112</f>
        <v>1.2.1</v>
      </c>
      <c r="B113" s="394" t="str">
        <f>+'003'!C112</f>
        <v>E058-G1054</v>
      </c>
      <c r="C113" s="394">
        <f>+'003'!D112</f>
        <v>1</v>
      </c>
      <c r="D113" s="394" t="str">
        <f>+'003'!E112</f>
        <v>21115-0110</v>
      </c>
      <c r="E113" s="394" t="str">
        <f>+'003'!F112</f>
        <v>1</v>
      </c>
      <c r="F113" s="394" t="str">
        <f>+'003'!G112</f>
        <v>3981</v>
      </c>
      <c r="G113" s="464" t="str">
        <f>+'003'!H112</f>
        <v>1.2.1/E058-G1054/1/21115-0110/1/3981  Impuesto sobre nóminas</v>
      </c>
      <c r="H113" s="396">
        <f>+'003'!J112</f>
        <v>35696.1</v>
      </c>
      <c r="I113" s="396">
        <f>+'003'!K112</f>
        <v>8303.5999999999985</v>
      </c>
      <c r="J113" s="396">
        <f>+'003'!L112</f>
        <v>43999.7</v>
      </c>
      <c r="K113" s="396">
        <f>+'003'!M112</f>
        <v>43999.7</v>
      </c>
      <c r="L113" s="396">
        <f>+'003'!N112</f>
        <v>43999.7</v>
      </c>
      <c r="M113" s="396">
        <f>+'003'!O112</f>
        <v>43999.7</v>
      </c>
      <c r="N113" s="396">
        <f>+'003'!P112</f>
        <v>43999.7</v>
      </c>
      <c r="O113" s="396">
        <f t="shared" si="2"/>
        <v>0</v>
      </c>
    </row>
    <row r="114" spans="1:15">
      <c r="A114" s="394" t="str">
        <f>+'003'!B113</f>
        <v>1.2.1</v>
      </c>
      <c r="B114" s="394" t="str">
        <f>+'003'!C113</f>
        <v>E058-G1054</v>
      </c>
      <c r="C114" s="394">
        <f>+'003'!D113</f>
        <v>1</v>
      </c>
      <c r="D114" s="394" t="str">
        <f>+'003'!E113</f>
        <v>21115-0110</v>
      </c>
      <c r="E114" s="394" t="str">
        <f>+'003'!F113</f>
        <v>2</v>
      </c>
      <c r="F114" s="394" t="str">
        <f>+'003'!G113</f>
        <v>5111</v>
      </c>
      <c r="G114" s="464" t="str">
        <f>+'003'!H113</f>
        <v>1.2.1/E058-G1054/1/21115-0110/2/5111  Muebles de oficina</v>
      </c>
      <c r="H114" s="396">
        <f>+'003'!J113</f>
        <v>29261.25</v>
      </c>
      <c r="I114" s="396">
        <f>+'003'!K113</f>
        <v>-29261.25</v>
      </c>
      <c r="J114" s="396">
        <f>+'003'!L113</f>
        <v>0</v>
      </c>
      <c r="K114" s="396">
        <f>+'003'!M113</f>
        <v>0</v>
      </c>
      <c r="L114" s="396">
        <f>+'003'!N113</f>
        <v>0</v>
      </c>
      <c r="M114" s="396">
        <f>+'003'!O113</f>
        <v>0</v>
      </c>
      <c r="N114" s="396">
        <f>+'003'!P113</f>
        <v>0</v>
      </c>
      <c r="O114" s="396">
        <f t="shared" si="2"/>
        <v>0</v>
      </c>
    </row>
    <row r="115" spans="1:15">
      <c r="A115" s="394" t="str">
        <f>+'003'!B114</f>
        <v>1.2.1</v>
      </c>
      <c r="B115" s="394" t="str">
        <f>+'003'!C114</f>
        <v>E058-G1054</v>
      </c>
      <c r="C115" s="394">
        <f>+'003'!D114</f>
        <v>1</v>
      </c>
      <c r="D115" s="394" t="str">
        <f>+'003'!E114</f>
        <v>21115-0110</v>
      </c>
      <c r="E115" s="394" t="str">
        <f>+'003'!F114</f>
        <v>2</v>
      </c>
      <c r="F115" s="394" t="str">
        <f>+'003'!G114</f>
        <v>5151</v>
      </c>
      <c r="G115" s="464" t="str">
        <f>+'003'!H114</f>
        <v>1.2.1/E058-G1054/1/21115-0110/2/5151  Computadoras</v>
      </c>
      <c r="H115" s="396">
        <f>+'003'!J114</f>
        <v>0</v>
      </c>
      <c r="I115" s="396">
        <f>+'003'!K114</f>
        <v>9048</v>
      </c>
      <c r="J115" s="396">
        <f>+'003'!L114</f>
        <v>9048</v>
      </c>
      <c r="K115" s="396">
        <f>+'003'!M114</f>
        <v>9048</v>
      </c>
      <c r="L115" s="396">
        <f>+'003'!N114</f>
        <v>9048</v>
      </c>
      <c r="M115" s="396">
        <f>+'003'!O114</f>
        <v>9048</v>
      </c>
      <c r="N115" s="396">
        <f>+'003'!P114</f>
        <v>9048</v>
      </c>
      <c r="O115" s="396">
        <f t="shared" si="2"/>
        <v>0</v>
      </c>
    </row>
    <row r="116" spans="1:15">
      <c r="A116" s="394" t="str">
        <f>+'003'!B115</f>
        <v>1.2.1</v>
      </c>
      <c r="B116" s="394" t="str">
        <f>+'003'!C115</f>
        <v>E058-G1057</v>
      </c>
      <c r="C116" s="394">
        <f>+'003'!D115</f>
        <v>1</v>
      </c>
      <c r="D116" s="394" t="str">
        <f>+'003'!E115</f>
        <v>21115-0111</v>
      </c>
      <c r="E116" s="394" t="str">
        <f>+'003'!F115</f>
        <v>1</v>
      </c>
      <c r="F116" s="394" t="str">
        <f>+'003'!G115</f>
        <v>1131</v>
      </c>
      <c r="G116" s="464" t="str">
        <f>+'003'!H115</f>
        <v>1.2.1/E058-G1057/1/21115-0111/1/1131  Sueldos Base</v>
      </c>
      <c r="H116" s="396">
        <f>+'003'!J115</f>
        <v>279601.91999999998</v>
      </c>
      <c r="I116" s="396">
        <f>+'003'!K115</f>
        <v>13467.729999999996</v>
      </c>
      <c r="J116" s="396">
        <f>+'003'!L115</f>
        <v>293069.65000000002</v>
      </c>
      <c r="K116" s="396">
        <f>+'003'!M115</f>
        <v>293069.65000000002</v>
      </c>
      <c r="L116" s="396">
        <f>+'003'!N115</f>
        <v>293069.65000000002</v>
      </c>
      <c r="M116" s="396">
        <f>+'003'!O115</f>
        <v>293069.65000000002</v>
      </c>
      <c r="N116" s="396">
        <f>+'003'!P115</f>
        <v>293069.65000000002</v>
      </c>
      <c r="O116" s="396">
        <f t="shared" si="2"/>
        <v>0</v>
      </c>
    </row>
    <row r="117" spans="1:15">
      <c r="A117" s="394" t="str">
        <f>+'003'!B116</f>
        <v>1.2.1</v>
      </c>
      <c r="B117" s="394" t="str">
        <f>+'003'!C116</f>
        <v>E058-G1057</v>
      </c>
      <c r="C117" s="394">
        <f>+'003'!D116</f>
        <v>1</v>
      </c>
      <c r="D117" s="394" t="str">
        <f>+'003'!E116</f>
        <v>21115-0111</v>
      </c>
      <c r="E117" s="394" t="str">
        <f>+'003'!F116</f>
        <v>1</v>
      </c>
      <c r="F117" s="394" t="str">
        <f>+'003'!G116</f>
        <v>1212</v>
      </c>
      <c r="G117" s="464" t="str">
        <f>+'003'!H116</f>
        <v>1.2.1/E058-G1057/1/21115-0111/1/1212  Honorarios asimilados</v>
      </c>
      <c r="H117" s="396">
        <f>+'003'!J116</f>
        <v>219511.94</v>
      </c>
      <c r="I117" s="396">
        <f>+'003'!K116</f>
        <v>-4510.8099999999977</v>
      </c>
      <c r="J117" s="396">
        <f>+'003'!L116</f>
        <v>215001.13</v>
      </c>
      <c r="K117" s="396">
        <f>+'003'!M116</f>
        <v>215001.13</v>
      </c>
      <c r="L117" s="396">
        <f>+'003'!N116</f>
        <v>215001.13</v>
      </c>
      <c r="M117" s="396">
        <f>+'003'!O116</f>
        <v>215001.13</v>
      </c>
      <c r="N117" s="396">
        <f>+'003'!P116</f>
        <v>215001.13</v>
      </c>
      <c r="O117" s="396">
        <f t="shared" si="2"/>
        <v>0</v>
      </c>
    </row>
    <row r="118" spans="1:15">
      <c r="A118" s="394" t="str">
        <f>+'003'!B117</f>
        <v>1.2.1</v>
      </c>
      <c r="B118" s="394" t="str">
        <f>+'003'!C117</f>
        <v>E058-G1057</v>
      </c>
      <c r="C118" s="394">
        <f>+'003'!D117</f>
        <v>1</v>
      </c>
      <c r="D118" s="394" t="str">
        <f>+'003'!E117</f>
        <v>21115-0111</v>
      </c>
      <c r="E118" s="394" t="str">
        <f>+'003'!F117</f>
        <v>1</v>
      </c>
      <c r="F118" s="394" t="str">
        <f>+'003'!G117</f>
        <v>1311</v>
      </c>
      <c r="G118" s="464" t="str">
        <f>+'003'!H117</f>
        <v>1.2.1/E058-G1057/1/21115-0111/1/1311  Prima quinquenal</v>
      </c>
      <c r="H118" s="396">
        <f>+'003'!J117</f>
        <v>250</v>
      </c>
      <c r="I118" s="396">
        <f>+'003'!K117</f>
        <v>-43.33</v>
      </c>
      <c r="J118" s="396">
        <f>+'003'!L117</f>
        <v>206.67</v>
      </c>
      <c r="K118" s="396">
        <f>+'003'!M117</f>
        <v>206.67</v>
      </c>
      <c r="L118" s="396">
        <f>+'003'!N117</f>
        <v>206.67</v>
      </c>
      <c r="M118" s="396">
        <f>+'003'!O117</f>
        <v>206.67</v>
      </c>
      <c r="N118" s="396">
        <f>+'003'!P117</f>
        <v>206.67</v>
      </c>
      <c r="O118" s="396">
        <f t="shared" si="2"/>
        <v>0</v>
      </c>
    </row>
    <row r="119" spans="1:15">
      <c r="A119" s="394" t="str">
        <f>+'003'!B118</f>
        <v>1.2.1</v>
      </c>
      <c r="B119" s="394" t="str">
        <f>+'003'!C118</f>
        <v>E058-G1057</v>
      </c>
      <c r="C119" s="394">
        <f>+'003'!D118</f>
        <v>1</v>
      </c>
      <c r="D119" s="394" t="str">
        <f>+'003'!E118</f>
        <v>21115-0111</v>
      </c>
      <c r="E119" s="394" t="str">
        <f>+'003'!F118</f>
        <v>1</v>
      </c>
      <c r="F119" s="394" t="str">
        <f>+'003'!G118</f>
        <v>1321</v>
      </c>
      <c r="G119" s="464" t="str">
        <f>+'003'!H118</f>
        <v>1.2.1/E058-G1057/1/21115-0111/1/1321  Prima Vacacional</v>
      </c>
      <c r="H119" s="396">
        <f>+'003'!J118</f>
        <v>21636.400000000001</v>
      </c>
      <c r="I119" s="396">
        <f>+'003'!K118</f>
        <v>2253.4499999999998</v>
      </c>
      <c r="J119" s="396">
        <f>+'003'!L118</f>
        <v>23889.85</v>
      </c>
      <c r="K119" s="396">
        <f>+'003'!M118</f>
        <v>23889.85</v>
      </c>
      <c r="L119" s="396">
        <f>+'003'!N118</f>
        <v>23889.85</v>
      </c>
      <c r="M119" s="396">
        <f>+'003'!O118</f>
        <v>23889.85</v>
      </c>
      <c r="N119" s="396">
        <f>+'003'!P118</f>
        <v>23889.85</v>
      </c>
      <c r="O119" s="396">
        <f t="shared" si="2"/>
        <v>0</v>
      </c>
    </row>
    <row r="120" spans="1:15">
      <c r="A120" s="394" t="str">
        <f>+'003'!B119</f>
        <v>1.2.1</v>
      </c>
      <c r="B120" s="394" t="str">
        <f>+'003'!C119</f>
        <v>E058-G1057</v>
      </c>
      <c r="C120" s="394">
        <f>+'003'!D119</f>
        <v>1</v>
      </c>
      <c r="D120" s="394" t="str">
        <f>+'003'!E119</f>
        <v>21115-0111</v>
      </c>
      <c r="E120" s="394" t="str">
        <f>+'003'!F119</f>
        <v>1</v>
      </c>
      <c r="F120" s="394" t="str">
        <f>+'003'!G119</f>
        <v>1323</v>
      </c>
      <c r="G120" s="464" t="str">
        <f>+'003'!H119</f>
        <v>1.2.1/E058-G1057/1/21115-0111/1/1323  Gratificación de fin de año</v>
      </c>
      <c r="H120" s="396">
        <f>+'003'!J119</f>
        <v>97358.12</v>
      </c>
      <c r="I120" s="396">
        <f>+'003'!K119</f>
        <v>10127.91</v>
      </c>
      <c r="J120" s="396">
        <f>+'003'!L119</f>
        <v>107486.03</v>
      </c>
      <c r="K120" s="396">
        <f>+'003'!M119</f>
        <v>107486.03</v>
      </c>
      <c r="L120" s="396">
        <f>+'003'!N119</f>
        <v>107486.03</v>
      </c>
      <c r="M120" s="396">
        <f>+'003'!O119</f>
        <v>107486.03</v>
      </c>
      <c r="N120" s="396">
        <f>+'003'!P119</f>
        <v>107486.03</v>
      </c>
      <c r="O120" s="396">
        <f t="shared" si="2"/>
        <v>0</v>
      </c>
    </row>
    <row r="121" spans="1:15">
      <c r="A121" s="394" t="str">
        <f>+'003'!B120</f>
        <v>1.2.1</v>
      </c>
      <c r="B121" s="394" t="str">
        <f>+'003'!C120</f>
        <v>E058-G1057</v>
      </c>
      <c r="C121" s="394">
        <f>+'003'!D120</f>
        <v>1</v>
      </c>
      <c r="D121" s="394" t="str">
        <f>+'003'!E120</f>
        <v>21115-0111</v>
      </c>
      <c r="E121" s="394" t="str">
        <f>+'003'!F120</f>
        <v>1</v>
      </c>
      <c r="F121" s="394" t="str">
        <f>+'003'!G120</f>
        <v>1411</v>
      </c>
      <c r="G121" s="464" t="str">
        <f>+'003'!H120</f>
        <v>1.2.1/E058-G1057/1/21115-0111/1/1411  Aportaciones al ISSEG</v>
      </c>
      <c r="H121" s="396">
        <f>+'003'!J120</f>
        <v>64308.480000000003</v>
      </c>
      <c r="I121" s="396">
        <f>+'003'!K120</f>
        <v>2805.8900000000003</v>
      </c>
      <c r="J121" s="396">
        <f>+'003'!L120</f>
        <v>67114.37</v>
      </c>
      <c r="K121" s="396">
        <f>+'003'!M120</f>
        <v>67114.37</v>
      </c>
      <c r="L121" s="396">
        <f>+'003'!N120</f>
        <v>67114.37</v>
      </c>
      <c r="M121" s="396">
        <f>+'003'!O120</f>
        <v>67114.37</v>
      </c>
      <c r="N121" s="396">
        <f>+'003'!P120</f>
        <v>67114.37</v>
      </c>
      <c r="O121" s="396">
        <f t="shared" si="2"/>
        <v>0</v>
      </c>
    </row>
    <row r="122" spans="1:15">
      <c r="A122" s="394" t="str">
        <f>+'003'!B121</f>
        <v>1.2.1</v>
      </c>
      <c r="B122" s="394" t="str">
        <f>+'003'!C121</f>
        <v>E058-G1057</v>
      </c>
      <c r="C122" s="394">
        <f>+'003'!D121</f>
        <v>1</v>
      </c>
      <c r="D122" s="394" t="str">
        <f>+'003'!E121</f>
        <v>21115-0111</v>
      </c>
      <c r="E122" s="394" t="str">
        <f>+'003'!F121</f>
        <v>1</v>
      </c>
      <c r="F122" s="394" t="str">
        <f>+'003'!G121</f>
        <v>1412</v>
      </c>
      <c r="G122" s="464" t="str">
        <f>+'003'!H121</f>
        <v>1.2.1/E058-G1057/1/21115-0111/1/1412  Cuotas al ISSSTE</v>
      </c>
      <c r="H122" s="396">
        <f>+'003'!J121</f>
        <v>27276</v>
      </c>
      <c r="I122" s="396">
        <f>+'003'!K121</f>
        <v>-6028.4000000000015</v>
      </c>
      <c r="J122" s="396">
        <f>+'003'!L121</f>
        <v>21247.599999999999</v>
      </c>
      <c r="K122" s="396">
        <f>+'003'!M121</f>
        <v>21247.599999999999</v>
      </c>
      <c r="L122" s="396">
        <f>+'003'!N121</f>
        <v>21247.599999999999</v>
      </c>
      <c r="M122" s="396">
        <f>+'003'!O121</f>
        <v>21247.599999999999</v>
      </c>
      <c r="N122" s="396">
        <f>+'003'!P121</f>
        <v>21247.599999999999</v>
      </c>
      <c r="O122" s="396">
        <f t="shared" si="2"/>
        <v>0</v>
      </c>
    </row>
    <row r="123" spans="1:15">
      <c r="A123" s="394" t="str">
        <f>+'003'!B122</f>
        <v>1.2.1</v>
      </c>
      <c r="B123" s="394" t="str">
        <f>+'003'!C122</f>
        <v>E058-G1057</v>
      </c>
      <c r="C123" s="394">
        <f>+'003'!D122</f>
        <v>1</v>
      </c>
      <c r="D123" s="394" t="str">
        <f>+'003'!E122</f>
        <v>21115-0111</v>
      </c>
      <c r="E123" s="394" t="str">
        <f>+'003'!F122</f>
        <v>1</v>
      </c>
      <c r="F123" s="394" t="str">
        <f>+'003'!G122</f>
        <v>1441</v>
      </c>
      <c r="G123" s="464" t="str">
        <f>+'003'!H122</f>
        <v>1.2.1/E058-G1057/1/21115-0111/1/1441  Seguros</v>
      </c>
      <c r="H123" s="396">
        <f>+'003'!J122</f>
        <v>10300</v>
      </c>
      <c r="I123" s="396">
        <f>+'003'!K122</f>
        <v>-10300</v>
      </c>
      <c r="J123" s="396">
        <f>+'003'!L122</f>
        <v>0</v>
      </c>
      <c r="K123" s="396">
        <f>+'003'!M122</f>
        <v>0</v>
      </c>
      <c r="L123" s="396">
        <f>+'003'!N122</f>
        <v>0</v>
      </c>
      <c r="M123" s="396">
        <f>+'003'!O122</f>
        <v>0</v>
      </c>
      <c r="N123" s="396">
        <f>+'003'!P122</f>
        <v>0</v>
      </c>
      <c r="O123" s="396">
        <f t="shared" si="2"/>
        <v>0</v>
      </c>
    </row>
    <row r="124" spans="1:15">
      <c r="A124" s="394" t="str">
        <f>+'003'!B123</f>
        <v>1.2.1</v>
      </c>
      <c r="B124" s="394" t="str">
        <f>+'003'!C123</f>
        <v>E058-G1057</v>
      </c>
      <c r="C124" s="394">
        <f>+'003'!D123</f>
        <v>1</v>
      </c>
      <c r="D124" s="394" t="str">
        <f>+'003'!E123</f>
        <v>21115-0111</v>
      </c>
      <c r="E124" s="394" t="str">
        <f>+'003'!F123</f>
        <v>1</v>
      </c>
      <c r="F124" s="394" t="str">
        <f>+'003'!G123</f>
        <v>1541</v>
      </c>
      <c r="G124" s="464" t="str">
        <f>+'003'!H123</f>
        <v>1.2.1/E058-G1057/1/21115-0111/1/1541  Prestaciones CGT</v>
      </c>
      <c r="H124" s="396">
        <f>+'003'!J123</f>
        <v>242479.2</v>
      </c>
      <c r="I124" s="396">
        <f>+'003'!K123</f>
        <v>32162.33</v>
      </c>
      <c r="J124" s="396">
        <f>+'003'!L123</f>
        <v>274641.53000000003</v>
      </c>
      <c r="K124" s="396">
        <f>+'003'!M123</f>
        <v>274641.53000000003</v>
      </c>
      <c r="L124" s="396">
        <f>+'003'!N123</f>
        <v>274641.53000000003</v>
      </c>
      <c r="M124" s="396">
        <f>+'003'!O123</f>
        <v>274641.53000000003</v>
      </c>
      <c r="N124" s="396">
        <f>+'003'!P123</f>
        <v>274641.53000000003</v>
      </c>
      <c r="O124" s="396">
        <f t="shared" si="2"/>
        <v>0</v>
      </c>
    </row>
    <row r="125" spans="1:15">
      <c r="A125" s="394" t="str">
        <f>+'003'!B124</f>
        <v>1.2.1</v>
      </c>
      <c r="B125" s="394" t="str">
        <f>+'003'!C124</f>
        <v>E058-G1057</v>
      </c>
      <c r="C125" s="394">
        <f>+'003'!D124</f>
        <v>1</v>
      </c>
      <c r="D125" s="394" t="str">
        <f>+'003'!E124</f>
        <v>21115-0111</v>
      </c>
      <c r="E125" s="394" t="str">
        <f>+'003'!F124</f>
        <v>1</v>
      </c>
      <c r="F125" s="394" t="str">
        <f>+'003'!G124</f>
        <v>1591</v>
      </c>
      <c r="G125" s="464" t="str">
        <f>+'003'!H124</f>
        <v>1.2.1/E058-G1057/1/21115-0111/1/1591  Asign Adic sueldo</v>
      </c>
      <c r="H125" s="396">
        <f>+'003'!J124</f>
        <v>256535.76</v>
      </c>
      <c r="I125" s="396">
        <f>+'003'!K124</f>
        <v>23825.620000000003</v>
      </c>
      <c r="J125" s="396">
        <f>+'003'!L124</f>
        <v>280361.38</v>
      </c>
      <c r="K125" s="396">
        <f>+'003'!M124</f>
        <v>280361.38</v>
      </c>
      <c r="L125" s="396">
        <f>+'003'!N124</f>
        <v>280361.38</v>
      </c>
      <c r="M125" s="396">
        <f>+'003'!O124</f>
        <v>280361.38</v>
      </c>
      <c r="N125" s="396">
        <f>+'003'!P124</f>
        <v>280361.38</v>
      </c>
      <c r="O125" s="396">
        <f t="shared" si="2"/>
        <v>0</v>
      </c>
    </row>
    <row r="126" spans="1:15">
      <c r="A126" s="394" t="str">
        <f>+'003'!B125</f>
        <v>1.2.1</v>
      </c>
      <c r="B126" s="394" t="str">
        <f>+'003'!C125</f>
        <v>E058-G1057</v>
      </c>
      <c r="C126" s="394">
        <f>+'003'!D125</f>
        <v>1</v>
      </c>
      <c r="D126" s="394" t="str">
        <f>+'003'!E125</f>
        <v>21115-0111</v>
      </c>
      <c r="E126" s="394" t="str">
        <f>+'003'!F125</f>
        <v>1</v>
      </c>
      <c r="F126" s="394" t="str">
        <f>+'003'!G125</f>
        <v>1611</v>
      </c>
      <c r="G126" s="464" t="str">
        <f>+'003'!H125</f>
        <v>1.2.1/E058-G1057/1/21115-0111/1/1611  Prev de carat labora</v>
      </c>
      <c r="H126" s="396">
        <f>+'003'!J125</f>
        <v>88278.18</v>
      </c>
      <c r="I126" s="396">
        <f>+'003'!K125</f>
        <v>-88278.18</v>
      </c>
      <c r="J126" s="396">
        <f>+'003'!L125</f>
        <v>0</v>
      </c>
      <c r="K126" s="396">
        <f>+'003'!M125</f>
        <v>0</v>
      </c>
      <c r="L126" s="396">
        <f>+'003'!N125</f>
        <v>0</v>
      </c>
      <c r="M126" s="396">
        <f>+'003'!O125</f>
        <v>0</v>
      </c>
      <c r="N126" s="396">
        <f>+'003'!P125</f>
        <v>0</v>
      </c>
      <c r="O126" s="396">
        <f t="shared" si="2"/>
        <v>0</v>
      </c>
    </row>
    <row r="127" spans="1:15">
      <c r="A127" s="394" t="str">
        <f>+'003'!B126</f>
        <v>1.2.1</v>
      </c>
      <c r="B127" s="394" t="str">
        <f>+'003'!C126</f>
        <v>E058-G1057</v>
      </c>
      <c r="C127" s="394">
        <f>+'003'!D126</f>
        <v>1</v>
      </c>
      <c r="D127" s="394" t="str">
        <f>+'003'!E126</f>
        <v>21115-0111</v>
      </c>
      <c r="E127" s="394" t="str">
        <f>+'003'!F126</f>
        <v>1</v>
      </c>
      <c r="F127" s="394" t="str">
        <f>+'003'!G126</f>
        <v>1711</v>
      </c>
      <c r="G127" s="464" t="str">
        <f>+'003'!H126</f>
        <v>1.2.1/E058-G1057/1/21115-0111/1/1711  Estím Productividad</v>
      </c>
      <c r="H127" s="396">
        <f>+'003'!J126</f>
        <v>23760.51</v>
      </c>
      <c r="I127" s="396">
        <f>+'003'!K126</f>
        <v>6031.9400000000023</v>
      </c>
      <c r="J127" s="396">
        <f>+'003'!L126</f>
        <v>29792.45</v>
      </c>
      <c r="K127" s="396">
        <f>+'003'!M126</f>
        <v>29792.45</v>
      </c>
      <c r="L127" s="396">
        <f>+'003'!N126</f>
        <v>29792.45</v>
      </c>
      <c r="M127" s="396">
        <f>+'003'!O126</f>
        <v>29792.45</v>
      </c>
      <c r="N127" s="396">
        <f>+'003'!P126</f>
        <v>29792.45</v>
      </c>
      <c r="O127" s="396">
        <f t="shared" si="2"/>
        <v>0</v>
      </c>
    </row>
    <row r="128" spans="1:15">
      <c r="A128" s="394" t="str">
        <f>+'003'!B127</f>
        <v>1.2.1</v>
      </c>
      <c r="B128" s="394" t="str">
        <f>+'003'!C127</f>
        <v>E058-G1057</v>
      </c>
      <c r="C128" s="394">
        <f>+'003'!D127</f>
        <v>1</v>
      </c>
      <c r="D128" s="394" t="str">
        <f>+'003'!E127</f>
        <v>21115-0111</v>
      </c>
      <c r="E128" s="394" t="str">
        <f>+'003'!F127</f>
        <v>1</v>
      </c>
      <c r="F128" s="394" t="str">
        <f>+'003'!G127</f>
        <v>1712</v>
      </c>
      <c r="G128" s="464" t="str">
        <f>+'003'!H127</f>
        <v>1.2.1/E058-G1057/1/21115-0111/1/1712  Estím Personal Oper</v>
      </c>
      <c r="H128" s="396">
        <f>+'003'!J127</f>
        <v>875.94</v>
      </c>
      <c r="I128" s="396">
        <f>+'003'!K127</f>
        <v>-875.94</v>
      </c>
      <c r="J128" s="396">
        <f>+'003'!L127</f>
        <v>0</v>
      </c>
      <c r="K128" s="396">
        <f>+'003'!M127</f>
        <v>0</v>
      </c>
      <c r="L128" s="396">
        <f>+'003'!N127</f>
        <v>0</v>
      </c>
      <c r="M128" s="396">
        <f>+'003'!O127</f>
        <v>0</v>
      </c>
      <c r="N128" s="396">
        <f>+'003'!P127</f>
        <v>0</v>
      </c>
      <c r="O128" s="396">
        <f t="shared" si="2"/>
        <v>0</v>
      </c>
    </row>
    <row r="129" spans="1:15">
      <c r="A129" s="394" t="str">
        <f>+'003'!B128</f>
        <v>1.2.1</v>
      </c>
      <c r="B129" s="394" t="str">
        <f>+'003'!C128</f>
        <v>E058-G1057</v>
      </c>
      <c r="C129" s="394">
        <f>+'003'!D128</f>
        <v>1</v>
      </c>
      <c r="D129" s="394" t="str">
        <f>+'003'!E128</f>
        <v>21115-0111</v>
      </c>
      <c r="E129" s="394" t="str">
        <f>+'003'!F128</f>
        <v>1</v>
      </c>
      <c r="F129" s="394" t="str">
        <f>+'003'!G128</f>
        <v>2112</v>
      </c>
      <c r="G129" s="464" t="str">
        <f>+'003'!H128</f>
        <v>1.2.1/E058-G1057/1/21115-0111/1/2112  Equipos menores de oficina</v>
      </c>
      <c r="H129" s="396">
        <f>+'003'!J128</f>
        <v>0</v>
      </c>
      <c r="I129" s="396">
        <f>+'003'!K128</f>
        <v>3235</v>
      </c>
      <c r="J129" s="396">
        <f>+'003'!L128</f>
        <v>3235</v>
      </c>
      <c r="K129" s="396">
        <f>+'003'!M128</f>
        <v>3235</v>
      </c>
      <c r="L129" s="396">
        <f>+'003'!N128</f>
        <v>3235</v>
      </c>
      <c r="M129" s="396">
        <f>+'003'!O128</f>
        <v>3235</v>
      </c>
      <c r="N129" s="396">
        <f>+'003'!P128</f>
        <v>3235</v>
      </c>
      <c r="O129" s="396">
        <f t="shared" si="2"/>
        <v>0</v>
      </c>
    </row>
    <row r="130" spans="1:15">
      <c r="A130" s="394" t="str">
        <f>+'003'!B129</f>
        <v>1.2.1</v>
      </c>
      <c r="B130" s="394" t="str">
        <f>+'003'!C129</f>
        <v>E058-G1057</v>
      </c>
      <c r="C130" s="394">
        <f>+'003'!D129</f>
        <v>1</v>
      </c>
      <c r="D130" s="394" t="str">
        <f>+'003'!E129</f>
        <v>21115-0111</v>
      </c>
      <c r="E130" s="394" t="str">
        <f>+'003'!F129</f>
        <v>1</v>
      </c>
      <c r="F130" s="394" t="str">
        <f>+'003'!G129</f>
        <v>2611</v>
      </c>
      <c r="G130" s="464" t="str">
        <f>+'003'!H129</f>
        <v>1.2.1/E058-G1057/1/21115-0111/1/2611  Combus p Seg pub</v>
      </c>
      <c r="H130" s="396">
        <f>+'003'!J129</f>
        <v>0</v>
      </c>
      <c r="I130" s="396">
        <f>+'003'!K129</f>
        <v>0</v>
      </c>
      <c r="J130" s="396">
        <f>+'003'!L129</f>
        <v>0</v>
      </c>
      <c r="K130" s="396">
        <f>+'003'!M129</f>
        <v>0</v>
      </c>
      <c r="L130" s="396">
        <f>+'003'!N129</f>
        <v>0</v>
      </c>
      <c r="M130" s="396">
        <f>+'003'!O129</f>
        <v>0</v>
      </c>
      <c r="N130" s="396">
        <f>+'003'!P129</f>
        <v>0</v>
      </c>
      <c r="O130" s="396">
        <f t="shared" si="2"/>
        <v>0</v>
      </c>
    </row>
    <row r="131" spans="1:15">
      <c r="A131" s="394" t="str">
        <f>+'003'!B130</f>
        <v>1.2.1</v>
      </c>
      <c r="B131" s="394" t="str">
        <f>+'003'!C130</f>
        <v>E058-G1057</v>
      </c>
      <c r="C131" s="394">
        <f>+'003'!D130</f>
        <v>1</v>
      </c>
      <c r="D131" s="394" t="str">
        <f>+'003'!E130</f>
        <v>21115-0111</v>
      </c>
      <c r="E131" s="394" t="str">
        <f>+'003'!F130</f>
        <v>1</v>
      </c>
      <c r="F131" s="394" t="str">
        <f>+'003'!G130</f>
        <v>2612</v>
      </c>
      <c r="G131" s="464" t="str">
        <f>+'003'!H130</f>
        <v>1.2.1/E058-G1057/1/21115-0111/1/2612  Combus p Serv pub</v>
      </c>
      <c r="H131" s="396">
        <f>+'003'!J130</f>
        <v>31263.87</v>
      </c>
      <c r="I131" s="396">
        <f>+'003'!K130</f>
        <v>-5774.6900000000023</v>
      </c>
      <c r="J131" s="396">
        <f>+'003'!L130</f>
        <v>25489.18</v>
      </c>
      <c r="K131" s="396">
        <f>+'003'!M130</f>
        <v>25489.18</v>
      </c>
      <c r="L131" s="396">
        <f>+'003'!N130</f>
        <v>25489.18</v>
      </c>
      <c r="M131" s="396">
        <f>+'003'!O130</f>
        <v>25489.18</v>
      </c>
      <c r="N131" s="396">
        <f>+'003'!P130</f>
        <v>25489.18</v>
      </c>
      <c r="O131" s="396">
        <f t="shared" si="2"/>
        <v>0</v>
      </c>
    </row>
    <row r="132" spans="1:15">
      <c r="A132" s="394" t="str">
        <f>+'003'!B131</f>
        <v>1.2.1</v>
      </c>
      <c r="B132" s="394" t="str">
        <f>+'003'!C131</f>
        <v>E058-G1057</v>
      </c>
      <c r="C132" s="394">
        <f>+'003'!D131</f>
        <v>1</v>
      </c>
      <c r="D132" s="394" t="str">
        <f>+'003'!E131</f>
        <v>21115-0111</v>
      </c>
      <c r="E132" s="394" t="str">
        <f>+'003'!F131</f>
        <v>1</v>
      </c>
      <c r="F132" s="394" t="str">
        <f>+'003'!G131</f>
        <v>3341</v>
      </c>
      <c r="G132" s="464" t="str">
        <f>+'003'!H131</f>
        <v>1.2.1/E058-G1057/1/21115-0111/1/3341  Servicios de capacitación</v>
      </c>
      <c r="H132" s="396">
        <f>+'003'!J131</f>
        <v>97850</v>
      </c>
      <c r="I132" s="396">
        <f>+'003'!K131</f>
        <v>-86434.880000000005</v>
      </c>
      <c r="J132" s="396">
        <f>+'003'!L131</f>
        <v>11415.12</v>
      </c>
      <c r="K132" s="396">
        <f>+'003'!M131</f>
        <v>11415.12</v>
      </c>
      <c r="L132" s="396">
        <f>+'003'!N131</f>
        <v>11415.12</v>
      </c>
      <c r="M132" s="396">
        <f>+'003'!O131</f>
        <v>11415.12</v>
      </c>
      <c r="N132" s="396">
        <f>+'003'!P131</f>
        <v>11415.12</v>
      </c>
      <c r="O132" s="396">
        <f t="shared" si="2"/>
        <v>0</v>
      </c>
    </row>
    <row r="133" spans="1:15">
      <c r="A133" s="394" t="str">
        <f>+'003'!B132</f>
        <v>1.2.1</v>
      </c>
      <c r="B133" s="394" t="str">
        <f>+'003'!C132</f>
        <v>E058-G1057</v>
      </c>
      <c r="C133" s="394">
        <f>+'003'!D132</f>
        <v>1</v>
      </c>
      <c r="D133" s="394" t="str">
        <f>+'003'!E132</f>
        <v>21115-0111</v>
      </c>
      <c r="E133" s="394" t="str">
        <f>+'003'!F132</f>
        <v>1</v>
      </c>
      <c r="F133" s="394" t="str">
        <f>+'003'!G132</f>
        <v>3551</v>
      </c>
      <c r="G133" s="464" t="str">
        <f>+'003'!H132</f>
        <v>1.2.1/E058-G1057/1/21115-0111/1/3551  Mantto Vehíc</v>
      </c>
      <c r="H133" s="396">
        <f>+'003'!J132</f>
        <v>15938.21</v>
      </c>
      <c r="I133" s="396">
        <f>+'003'!K132</f>
        <v>-7362.8899999999994</v>
      </c>
      <c r="J133" s="396">
        <f>+'003'!L132</f>
        <v>8575.32</v>
      </c>
      <c r="K133" s="396">
        <f>+'003'!M132</f>
        <v>8575.32</v>
      </c>
      <c r="L133" s="396">
        <f>+'003'!N132</f>
        <v>8575.32</v>
      </c>
      <c r="M133" s="396">
        <f>+'003'!O132</f>
        <v>8575.32</v>
      </c>
      <c r="N133" s="396">
        <f>+'003'!P132</f>
        <v>8575.32</v>
      </c>
      <c r="O133" s="396">
        <f t="shared" ref="O133:O190" si="3">+J133-L133</f>
        <v>0</v>
      </c>
    </row>
    <row r="134" spans="1:15">
      <c r="A134" s="394" t="str">
        <f>+'003'!B133</f>
        <v>1.2.1</v>
      </c>
      <c r="B134" s="394" t="str">
        <f>+'003'!C133</f>
        <v>E058-G1057</v>
      </c>
      <c r="C134" s="394">
        <f>+'003'!D133</f>
        <v>1</v>
      </c>
      <c r="D134" s="394" t="str">
        <f>+'003'!E133</f>
        <v>21115-0111</v>
      </c>
      <c r="E134" s="394" t="str">
        <f>+'003'!F133</f>
        <v>1</v>
      </c>
      <c r="F134" s="394" t="str">
        <f>+'003'!G133</f>
        <v>3611</v>
      </c>
      <c r="G134" s="464" t="str">
        <f>+'003'!H133</f>
        <v>1.2.1/E058-G1057/1/21115-0111/1/3611  Difusión Activ Gub</v>
      </c>
      <c r="H134" s="396">
        <f>+'003'!J133</f>
        <v>33578</v>
      </c>
      <c r="I134" s="396">
        <f>+'003'!K133</f>
        <v>-31535.239999999998</v>
      </c>
      <c r="J134" s="396">
        <f>+'003'!L133</f>
        <v>2042.76</v>
      </c>
      <c r="K134" s="396">
        <f>+'003'!M133</f>
        <v>2042.76</v>
      </c>
      <c r="L134" s="396">
        <f>+'003'!N133</f>
        <v>2042.76</v>
      </c>
      <c r="M134" s="396">
        <f>+'003'!O133</f>
        <v>2042.76</v>
      </c>
      <c r="N134" s="396">
        <f>+'003'!P133</f>
        <v>2042.76</v>
      </c>
      <c r="O134" s="396">
        <f t="shared" si="3"/>
        <v>0</v>
      </c>
    </row>
    <row r="135" spans="1:15">
      <c r="A135" s="394" t="str">
        <f>+'003'!B134</f>
        <v>1.2.1</v>
      </c>
      <c r="B135" s="394" t="str">
        <f>+'003'!C134</f>
        <v>E058-G1057</v>
      </c>
      <c r="C135" s="394">
        <f>+'003'!D134</f>
        <v>1</v>
      </c>
      <c r="D135" s="394" t="str">
        <f>+'003'!E134</f>
        <v>21115-0111</v>
      </c>
      <c r="E135" s="394" t="str">
        <f>+'003'!F134</f>
        <v>1</v>
      </c>
      <c r="F135" s="394" t="str">
        <f>+'003'!G134</f>
        <v>3711</v>
      </c>
      <c r="G135" s="464" t="str">
        <f>+'003'!H134</f>
        <v>1.2.1/E058-G1057/1/21115-0111/1/3711  Pasajes aéreos Nac</v>
      </c>
      <c r="H135" s="396">
        <f>+'003'!J134</f>
        <v>6180</v>
      </c>
      <c r="I135" s="396">
        <f>+'003'!K134</f>
        <v>-6180</v>
      </c>
      <c r="J135" s="396">
        <f>+'003'!L134</f>
        <v>0</v>
      </c>
      <c r="K135" s="396">
        <f>+'003'!M134</f>
        <v>0</v>
      </c>
      <c r="L135" s="396">
        <f>+'003'!N134</f>
        <v>0</v>
      </c>
      <c r="M135" s="396">
        <f>+'003'!O134</f>
        <v>0</v>
      </c>
      <c r="N135" s="396">
        <f>+'003'!P134</f>
        <v>0</v>
      </c>
      <c r="O135" s="396">
        <f t="shared" si="3"/>
        <v>0</v>
      </c>
    </row>
    <row r="136" spans="1:15">
      <c r="A136" s="394" t="str">
        <f>+'003'!B135</f>
        <v>1.2.1</v>
      </c>
      <c r="B136" s="394" t="str">
        <f>+'003'!C135</f>
        <v>E058-G1057</v>
      </c>
      <c r="C136" s="394">
        <f>+'003'!D135</f>
        <v>1</v>
      </c>
      <c r="D136" s="394" t="str">
        <f>+'003'!E135</f>
        <v>21115-0111</v>
      </c>
      <c r="E136" s="394" t="str">
        <f>+'003'!F135</f>
        <v>1</v>
      </c>
      <c r="F136" s="394" t="str">
        <f>+'003'!G135</f>
        <v>3721</v>
      </c>
      <c r="G136" s="464" t="str">
        <f>+'003'!H135</f>
        <v>1.2.1/E058-G1057/1/21115-0111/1/3721  Pasajes terr Nac</v>
      </c>
      <c r="H136" s="396">
        <f>+'003'!J135</f>
        <v>1030</v>
      </c>
      <c r="I136" s="396">
        <f>+'003'!K135</f>
        <v>-755</v>
      </c>
      <c r="J136" s="396">
        <f>+'003'!L135</f>
        <v>275</v>
      </c>
      <c r="K136" s="396">
        <f>+'003'!M135</f>
        <v>275</v>
      </c>
      <c r="L136" s="396">
        <f>+'003'!N135</f>
        <v>275</v>
      </c>
      <c r="M136" s="396">
        <f>+'003'!O135</f>
        <v>275</v>
      </c>
      <c r="N136" s="396">
        <f>+'003'!P135</f>
        <v>275</v>
      </c>
      <c r="O136" s="396">
        <f t="shared" si="3"/>
        <v>0</v>
      </c>
    </row>
    <row r="137" spans="1:15">
      <c r="A137" s="394" t="str">
        <f>+'003'!B136</f>
        <v>1.2.1</v>
      </c>
      <c r="B137" s="394" t="str">
        <f>+'003'!C136</f>
        <v>E058-G1057</v>
      </c>
      <c r="C137" s="394">
        <f>+'003'!D136</f>
        <v>1</v>
      </c>
      <c r="D137" s="394" t="str">
        <f>+'003'!E136</f>
        <v>21115-0111</v>
      </c>
      <c r="E137" s="394" t="str">
        <f>+'003'!F136</f>
        <v>1</v>
      </c>
      <c r="F137" s="394" t="str">
        <f>+'003'!G136</f>
        <v>3751</v>
      </c>
      <c r="G137" s="464" t="str">
        <f>+'003'!H136</f>
        <v>1.2.1/E058-G1057/1/21115-0111/1/3751  Viáticos nacionales</v>
      </c>
      <c r="H137" s="396">
        <f>+'003'!J136</f>
        <v>2060</v>
      </c>
      <c r="I137" s="396">
        <f>+'003'!K136</f>
        <v>-870.98999999999978</v>
      </c>
      <c r="J137" s="396">
        <f>+'003'!L136</f>
        <v>1189.01</v>
      </c>
      <c r="K137" s="396">
        <f>+'003'!M136</f>
        <v>1189.01</v>
      </c>
      <c r="L137" s="396">
        <f>+'003'!N136</f>
        <v>1189.01</v>
      </c>
      <c r="M137" s="396">
        <f>+'003'!O136</f>
        <v>1189.01</v>
      </c>
      <c r="N137" s="396">
        <f>+'003'!P136</f>
        <v>1189.01</v>
      </c>
      <c r="O137" s="396">
        <f t="shared" si="3"/>
        <v>0</v>
      </c>
    </row>
    <row r="138" spans="1:15">
      <c r="A138" s="394" t="str">
        <f>+'003'!B137</f>
        <v>1.2.1</v>
      </c>
      <c r="B138" s="394" t="str">
        <f>+'003'!C137</f>
        <v>E058-G1057</v>
      </c>
      <c r="C138" s="394">
        <f>+'003'!D137</f>
        <v>1</v>
      </c>
      <c r="D138" s="394" t="str">
        <f>+'003'!E137</f>
        <v>21115-0111</v>
      </c>
      <c r="E138" s="394" t="str">
        <f>+'003'!F137</f>
        <v>1</v>
      </c>
      <c r="F138" s="394" t="str">
        <f>+'003'!G137</f>
        <v>3811</v>
      </c>
      <c r="G138" s="464" t="str">
        <f>+'003'!H137</f>
        <v>1.2.1/E058-G1057/1/21115-0111/1/3811  Gastos de ceremonial</v>
      </c>
      <c r="H138" s="396">
        <f>+'003'!J137</f>
        <v>41715</v>
      </c>
      <c r="I138" s="396">
        <f>+'003'!K137</f>
        <v>-29881.449999999997</v>
      </c>
      <c r="J138" s="396">
        <f>+'003'!L137</f>
        <v>11833.55</v>
      </c>
      <c r="K138" s="396">
        <f>+'003'!M137</f>
        <v>11833.55</v>
      </c>
      <c r="L138" s="396">
        <f>+'003'!N137</f>
        <v>11833.55</v>
      </c>
      <c r="M138" s="396">
        <f>+'003'!O137</f>
        <v>11833.55</v>
      </c>
      <c r="N138" s="396">
        <f>+'003'!P137</f>
        <v>11833.55</v>
      </c>
      <c r="O138" s="396">
        <f t="shared" si="3"/>
        <v>0</v>
      </c>
    </row>
    <row r="139" spans="1:15">
      <c r="A139" s="394" t="str">
        <f>+'003'!B138</f>
        <v>1.2.1</v>
      </c>
      <c r="B139" s="394" t="str">
        <f>+'003'!C138</f>
        <v>E058-G1057</v>
      </c>
      <c r="C139" s="394">
        <f>+'003'!D138</f>
        <v>1</v>
      </c>
      <c r="D139" s="394" t="str">
        <f>+'003'!E138</f>
        <v>21115-0111</v>
      </c>
      <c r="E139" s="394" t="str">
        <f>+'003'!F138</f>
        <v>1</v>
      </c>
      <c r="F139" s="394" t="str">
        <f>+'003'!G138</f>
        <v>3981</v>
      </c>
      <c r="G139" s="464" t="str">
        <f>+'003'!H138</f>
        <v>1.2.1/E058-G1057/1/21115-0111/1/3981  Impuesto sobre nóminas</v>
      </c>
      <c r="H139" s="396">
        <f>+'003'!J138</f>
        <v>21793.33</v>
      </c>
      <c r="I139" s="396">
        <f>+'003'!K138</f>
        <v>1625.7700000000004</v>
      </c>
      <c r="J139" s="396">
        <f>+'003'!L138</f>
        <v>23419.1</v>
      </c>
      <c r="K139" s="396">
        <f>+'003'!M138</f>
        <v>23419.1</v>
      </c>
      <c r="L139" s="396">
        <f>+'003'!N138</f>
        <v>23419.1</v>
      </c>
      <c r="M139" s="396">
        <f>+'003'!O138</f>
        <v>23419.1</v>
      </c>
      <c r="N139" s="396">
        <f>+'003'!P138</f>
        <v>23419.1</v>
      </c>
      <c r="O139" s="396">
        <f t="shared" si="3"/>
        <v>0</v>
      </c>
    </row>
    <row r="140" spans="1:15">
      <c r="A140" s="394" t="str">
        <f>+'003'!B139</f>
        <v>1.2.1</v>
      </c>
      <c r="B140" s="394" t="str">
        <f>+'003'!C139</f>
        <v>E058-G1057</v>
      </c>
      <c r="C140" s="394">
        <f>+'003'!D139</f>
        <v>1</v>
      </c>
      <c r="D140" s="394" t="str">
        <f>+'003'!E139</f>
        <v>21115-0111</v>
      </c>
      <c r="E140" s="394" t="str">
        <f>+'003'!F139</f>
        <v>2</v>
      </c>
      <c r="F140" s="394" t="str">
        <f>+'003'!G139</f>
        <v>5151</v>
      </c>
      <c r="G140" s="464" t="str">
        <f>+'003'!H139</f>
        <v>1.2.1/E058-G1057/1/21115-0111/2/5151  Computadoras</v>
      </c>
      <c r="H140" s="396">
        <f>+'003'!J139</f>
        <v>16222.5</v>
      </c>
      <c r="I140" s="396">
        <f>+'003'!K139</f>
        <v>-16222.5</v>
      </c>
      <c r="J140" s="396">
        <f>+'003'!L139</f>
        <v>0</v>
      </c>
      <c r="K140" s="396">
        <f>+'003'!M139</f>
        <v>0</v>
      </c>
      <c r="L140" s="396">
        <f>+'003'!N139</f>
        <v>0</v>
      </c>
      <c r="M140" s="396">
        <f>+'003'!O139</f>
        <v>0</v>
      </c>
      <c r="N140" s="396">
        <f>+'003'!P139</f>
        <v>0</v>
      </c>
      <c r="O140" s="396">
        <f t="shared" si="3"/>
        <v>0</v>
      </c>
    </row>
    <row r="141" spans="1:15">
      <c r="A141" s="394" t="str">
        <f>+'003'!B140</f>
        <v>1.2.1</v>
      </c>
      <c r="B141" s="394" t="str">
        <f>+'003'!C140</f>
        <v>E058-P0850</v>
      </c>
      <c r="C141" s="394">
        <f>+'003'!D140</f>
        <v>1</v>
      </c>
      <c r="D141" s="394" t="str">
        <f>+'003'!E140</f>
        <v>21115-0100</v>
      </c>
      <c r="E141" s="394" t="str">
        <f>+'003'!F140</f>
        <v>2</v>
      </c>
      <c r="F141" s="394" t="str">
        <f>+'003'!G140</f>
        <v>5411</v>
      </c>
      <c r="G141" s="464" t="str">
        <f>+'003'!H140</f>
        <v>1.2.1/E058-P0850/1/21115-0100/2/5411  Automóviles y camiones</v>
      </c>
      <c r="H141" s="396">
        <f>+'003'!J140</f>
        <v>0</v>
      </c>
      <c r="I141" s="396">
        <f>+'003'!K140</f>
        <v>255000</v>
      </c>
      <c r="J141" s="396">
        <f>+'003'!L140</f>
        <v>255000</v>
      </c>
      <c r="K141" s="396">
        <f>+'003'!M140</f>
        <v>255000</v>
      </c>
      <c r="L141" s="396">
        <f>+'003'!N140</f>
        <v>255000</v>
      </c>
      <c r="M141" s="396">
        <f>+'003'!O140</f>
        <v>255000</v>
      </c>
      <c r="N141" s="396">
        <f>+'003'!P140</f>
        <v>255000</v>
      </c>
      <c r="O141" s="396">
        <f t="shared" si="3"/>
        <v>0</v>
      </c>
    </row>
    <row r="142" spans="1:15">
      <c r="A142" s="394" t="str">
        <f>+'003'!B141</f>
        <v>1.2.1</v>
      </c>
      <c r="B142" s="394" t="str">
        <f>+'003'!C141</f>
        <v>E058-P0850</v>
      </c>
      <c r="C142" s="394">
        <f>+'003'!D141</f>
        <v>1</v>
      </c>
      <c r="D142" s="394" t="str">
        <f>+'003'!E141</f>
        <v>21115-0100</v>
      </c>
      <c r="E142" s="394" t="str">
        <f>+'003'!F141</f>
        <v>1</v>
      </c>
      <c r="F142" s="394" t="str">
        <f>+'003'!G141</f>
        <v>1131</v>
      </c>
      <c r="G142" s="464" t="str">
        <f>+'003'!H141</f>
        <v>1.2.1/E058-P0850/1/21115-0100/1/1131  Sueldos Base</v>
      </c>
      <c r="H142" s="396">
        <f>+'003'!J141</f>
        <v>9538604.8100000005</v>
      </c>
      <c r="I142" s="396">
        <f>+'003'!K141</f>
        <v>1244724.4400000002</v>
      </c>
      <c r="J142" s="396">
        <f>+'003'!L141</f>
        <v>10783329.25</v>
      </c>
      <c r="K142" s="396">
        <f>+'003'!M141</f>
        <v>10783329.25</v>
      </c>
      <c r="L142" s="396">
        <f>+'003'!N141</f>
        <v>10783329.25</v>
      </c>
      <c r="M142" s="396">
        <f>+'003'!O141</f>
        <v>10783329.25</v>
      </c>
      <c r="N142" s="396">
        <f>+'003'!P141</f>
        <v>10783329.25</v>
      </c>
      <c r="O142" s="396">
        <f t="shared" si="3"/>
        <v>0</v>
      </c>
    </row>
    <row r="143" spans="1:15">
      <c r="A143" s="394" t="str">
        <f>+'003'!B142</f>
        <v>1.2.1</v>
      </c>
      <c r="B143" s="394" t="str">
        <f>+'003'!C142</f>
        <v>E058-P0850</v>
      </c>
      <c r="C143" s="394">
        <f>+'003'!D142</f>
        <v>1</v>
      </c>
      <c r="D143" s="394" t="str">
        <f>+'003'!E142</f>
        <v>21115-0100</v>
      </c>
      <c r="E143" s="394" t="str">
        <f>+'003'!F142</f>
        <v>1</v>
      </c>
      <c r="F143" s="394" t="str">
        <f>+'003'!G142</f>
        <v>1211</v>
      </c>
      <c r="G143" s="464" t="str">
        <f>+'003'!H142</f>
        <v>1.2.1/E058-P0850/1/21115-0100/1/1211  Honorarios</v>
      </c>
      <c r="H143" s="396">
        <f>+'003'!J142</f>
        <v>20000</v>
      </c>
      <c r="I143" s="396">
        <f>+'003'!K142</f>
        <v>-20000</v>
      </c>
      <c r="J143" s="396">
        <f>+'003'!L142</f>
        <v>0</v>
      </c>
      <c r="K143" s="396">
        <f>+'003'!M142</f>
        <v>0</v>
      </c>
      <c r="L143" s="396">
        <f>+'003'!N142</f>
        <v>0</v>
      </c>
      <c r="M143" s="396">
        <f>+'003'!O142</f>
        <v>0</v>
      </c>
      <c r="N143" s="396">
        <f>+'003'!P142</f>
        <v>0</v>
      </c>
      <c r="O143" s="396">
        <f t="shared" si="3"/>
        <v>0</v>
      </c>
    </row>
    <row r="144" spans="1:15">
      <c r="A144" s="394" t="str">
        <f>+'003'!B143</f>
        <v>1.2.1</v>
      </c>
      <c r="B144" s="394" t="str">
        <f>+'003'!C143</f>
        <v>E058-P0850</v>
      </c>
      <c r="C144" s="394">
        <f>+'003'!D143</f>
        <v>1</v>
      </c>
      <c r="D144" s="394" t="str">
        <f>+'003'!E143</f>
        <v>21115-0100</v>
      </c>
      <c r="E144" s="394" t="str">
        <f>+'003'!F143</f>
        <v>1</v>
      </c>
      <c r="F144" s="394" t="str">
        <f>+'003'!G143</f>
        <v>1212</v>
      </c>
      <c r="G144" s="464" t="str">
        <f>+'003'!H143</f>
        <v>1.2.1/E058-P0850/1/21115-0100/1/1212  Honorarios asimilados</v>
      </c>
      <c r="H144" s="396">
        <f>+'003'!J143</f>
        <v>1355117.17</v>
      </c>
      <c r="I144" s="396">
        <f>+'003'!K143</f>
        <v>91599.790000000037</v>
      </c>
      <c r="J144" s="396">
        <f>+'003'!L143</f>
        <v>1446716.96</v>
      </c>
      <c r="K144" s="396">
        <f>+'003'!M143</f>
        <v>1446716.96</v>
      </c>
      <c r="L144" s="396">
        <f>+'003'!N143</f>
        <v>1446716.96</v>
      </c>
      <c r="M144" s="396">
        <f>+'003'!O143</f>
        <v>1446716.96</v>
      </c>
      <c r="N144" s="396">
        <f>+'003'!P143</f>
        <v>1446716.96</v>
      </c>
      <c r="O144" s="396">
        <f t="shared" si="3"/>
        <v>0</v>
      </c>
    </row>
    <row r="145" spans="1:15">
      <c r="A145" s="394" t="str">
        <f>+'003'!B144</f>
        <v>1.2.1</v>
      </c>
      <c r="B145" s="394" t="str">
        <f>+'003'!C144</f>
        <v>E058-P0850</v>
      </c>
      <c r="C145" s="394">
        <f>+'003'!D144</f>
        <v>1</v>
      </c>
      <c r="D145" s="394" t="str">
        <f>+'003'!E144</f>
        <v>21115-0100</v>
      </c>
      <c r="E145" s="394" t="str">
        <f>+'003'!F144</f>
        <v>1</v>
      </c>
      <c r="F145" s="394" t="str">
        <f>+'003'!G144</f>
        <v>1311</v>
      </c>
      <c r="G145" s="464" t="str">
        <f>+'003'!H144</f>
        <v>1.2.1/E058-P0850/1/21115-0100/1/1311  Prima quinquenal</v>
      </c>
      <c r="H145" s="396">
        <f>+'003'!J144</f>
        <v>17995</v>
      </c>
      <c r="I145" s="396">
        <f>+'003'!K144</f>
        <v>250.86999999999989</v>
      </c>
      <c r="J145" s="396">
        <f>+'003'!L144</f>
        <v>18245.87</v>
      </c>
      <c r="K145" s="396">
        <f>+'003'!M144</f>
        <v>18245.87</v>
      </c>
      <c r="L145" s="396">
        <f>+'003'!N144</f>
        <v>18245.87</v>
      </c>
      <c r="M145" s="396">
        <f>+'003'!O144</f>
        <v>18245.87</v>
      </c>
      <c r="N145" s="396">
        <f>+'003'!P144</f>
        <v>18245.87</v>
      </c>
      <c r="O145" s="396">
        <f t="shared" si="3"/>
        <v>0</v>
      </c>
    </row>
    <row r="146" spans="1:15">
      <c r="A146" s="394" t="str">
        <f>+'003'!B145</f>
        <v>1.2.1</v>
      </c>
      <c r="B146" s="394" t="str">
        <f>+'003'!C145</f>
        <v>E058-P0850</v>
      </c>
      <c r="C146" s="394">
        <f>+'003'!D145</f>
        <v>1</v>
      </c>
      <c r="D146" s="394" t="str">
        <f>+'003'!E145</f>
        <v>21115-0100</v>
      </c>
      <c r="E146" s="394" t="str">
        <f>+'003'!F145</f>
        <v>1</v>
      </c>
      <c r="F146" s="394" t="str">
        <f>+'003'!G145</f>
        <v>1321</v>
      </c>
      <c r="G146" s="464" t="str">
        <f>+'003'!H145</f>
        <v>1.2.1/E058-P0850/1/21115-0100/1/1321  Prima Vacacional</v>
      </c>
      <c r="H146" s="396">
        <f>+'003'!J145</f>
        <v>824812</v>
      </c>
      <c r="I146" s="396">
        <f>+'003'!K145</f>
        <v>158478.33000000007</v>
      </c>
      <c r="J146" s="396">
        <f>+'003'!L145</f>
        <v>983290.33</v>
      </c>
      <c r="K146" s="396">
        <f>+'003'!M145</f>
        <v>983290.33</v>
      </c>
      <c r="L146" s="396">
        <f>+'003'!N145</f>
        <v>983290.33</v>
      </c>
      <c r="M146" s="396">
        <f>+'003'!O145</f>
        <v>983290.33</v>
      </c>
      <c r="N146" s="396">
        <f>+'003'!P145</f>
        <v>983290.33</v>
      </c>
      <c r="O146" s="396">
        <f t="shared" si="3"/>
        <v>0</v>
      </c>
    </row>
    <row r="147" spans="1:15">
      <c r="A147" s="394" t="str">
        <f>+'003'!B146</f>
        <v>1.2.1</v>
      </c>
      <c r="B147" s="394" t="str">
        <f>+'003'!C146</f>
        <v>E058-P0850</v>
      </c>
      <c r="C147" s="394">
        <f>+'003'!D146</f>
        <v>1</v>
      </c>
      <c r="D147" s="394" t="str">
        <f>+'003'!E146</f>
        <v>21115-0100</v>
      </c>
      <c r="E147" s="394" t="str">
        <f>+'003'!F146</f>
        <v>1</v>
      </c>
      <c r="F147" s="394" t="str">
        <f>+'003'!G146</f>
        <v>1323</v>
      </c>
      <c r="G147" s="464" t="str">
        <f>+'003'!H146</f>
        <v>1.2.1/E058-P0850/1/21115-0100/1/1323  Gratificación de fin de año</v>
      </c>
      <c r="H147" s="396">
        <f>+'003'!J146</f>
        <v>3711442.5</v>
      </c>
      <c r="I147" s="396">
        <f>+'003'!K146</f>
        <v>588286.18999999994</v>
      </c>
      <c r="J147" s="396">
        <f>+'003'!L146</f>
        <v>4299728.6900000004</v>
      </c>
      <c r="K147" s="396">
        <f>+'003'!M146</f>
        <v>4299728.6900000004</v>
      </c>
      <c r="L147" s="396">
        <f>+'003'!N146</f>
        <v>4299728.6900000004</v>
      </c>
      <c r="M147" s="396">
        <f>+'003'!O146</f>
        <v>4299728.6900000004</v>
      </c>
      <c r="N147" s="396">
        <f>+'003'!P146</f>
        <v>4299728.6900000004</v>
      </c>
      <c r="O147" s="396">
        <f t="shared" si="3"/>
        <v>0</v>
      </c>
    </row>
    <row r="148" spans="1:15">
      <c r="A148" s="394" t="str">
        <f>+'003'!B147</f>
        <v>1.2.1</v>
      </c>
      <c r="B148" s="394" t="str">
        <f>+'003'!C147</f>
        <v>E058-P0850</v>
      </c>
      <c r="C148" s="394">
        <f>+'003'!D147</f>
        <v>1</v>
      </c>
      <c r="D148" s="394" t="str">
        <f>+'003'!E147</f>
        <v>21115-0100</v>
      </c>
      <c r="E148" s="394" t="str">
        <f>+'003'!F147</f>
        <v>1</v>
      </c>
      <c r="F148" s="394" t="str">
        <f>+'003'!G147</f>
        <v>1341</v>
      </c>
      <c r="G148" s="464" t="str">
        <f>+'003'!H147</f>
        <v>1.2.1/E058-P0850/1/21115-0100/1/1341  Compens Serv Eventua</v>
      </c>
      <c r="H148" s="396">
        <f>+'003'!J147</f>
        <v>0</v>
      </c>
      <c r="I148" s="396">
        <f>+'003'!K147</f>
        <v>0</v>
      </c>
      <c r="J148" s="396">
        <f>+'003'!L147</f>
        <v>0</v>
      </c>
      <c r="K148" s="396">
        <f>+'003'!M147</f>
        <v>0</v>
      </c>
      <c r="L148" s="396">
        <f>+'003'!N147</f>
        <v>0</v>
      </c>
      <c r="M148" s="396">
        <f>+'003'!O147</f>
        <v>0</v>
      </c>
      <c r="N148" s="396">
        <f>+'003'!P147</f>
        <v>0</v>
      </c>
      <c r="O148" s="396">
        <f t="shared" si="3"/>
        <v>0</v>
      </c>
    </row>
    <row r="149" spans="1:15">
      <c r="A149" s="394" t="str">
        <f>+'003'!B148</f>
        <v>1.2.1</v>
      </c>
      <c r="B149" s="394" t="str">
        <f>+'003'!C148</f>
        <v>E058-P0850</v>
      </c>
      <c r="C149" s="394">
        <f>+'003'!D148</f>
        <v>1</v>
      </c>
      <c r="D149" s="394" t="str">
        <f>+'003'!E148</f>
        <v>21115-0100</v>
      </c>
      <c r="E149" s="394" t="str">
        <f>+'003'!F148</f>
        <v>1</v>
      </c>
      <c r="F149" s="394" t="str">
        <f>+'003'!G148</f>
        <v>1342</v>
      </c>
      <c r="G149" s="464" t="str">
        <f>+'003'!H148</f>
        <v>1.2.1/E058-P0850/1/21115-0100/1/1342  Compensaciones por servicios</v>
      </c>
      <c r="H149" s="396">
        <f>+'003'!J148</f>
        <v>59479.09</v>
      </c>
      <c r="I149" s="396">
        <f>+'003'!K148</f>
        <v>123892.08</v>
      </c>
      <c r="J149" s="396">
        <f>+'003'!L148</f>
        <v>183371.17</v>
      </c>
      <c r="K149" s="396">
        <f>+'003'!M148</f>
        <v>183371.17</v>
      </c>
      <c r="L149" s="396">
        <f>+'003'!N148</f>
        <v>183371.17</v>
      </c>
      <c r="M149" s="396">
        <f>+'003'!O148</f>
        <v>183371.17</v>
      </c>
      <c r="N149" s="396">
        <f>+'003'!P148</f>
        <v>183371.17</v>
      </c>
      <c r="O149" s="396">
        <f t="shared" si="3"/>
        <v>0</v>
      </c>
    </row>
    <row r="150" spans="1:15">
      <c r="A150" s="394" t="str">
        <f>+'003'!B149</f>
        <v>1.2.1</v>
      </c>
      <c r="B150" s="394" t="str">
        <f>+'003'!C149</f>
        <v>E058-P0850</v>
      </c>
      <c r="C150" s="394">
        <f>+'003'!D149</f>
        <v>1</v>
      </c>
      <c r="D150" s="394" t="str">
        <f>+'003'!E149</f>
        <v>21115-0100</v>
      </c>
      <c r="E150" s="394" t="str">
        <f>+'003'!F149</f>
        <v>1</v>
      </c>
      <c r="F150" s="394" t="str">
        <f>+'003'!G149</f>
        <v>1411</v>
      </c>
      <c r="G150" s="464" t="str">
        <f>+'003'!H149</f>
        <v>1.2.1/E058-P0850/1/21115-0100/1/1411  Aportaciones al ISSEG</v>
      </c>
      <c r="H150" s="396">
        <f>+'003'!J149</f>
        <v>1938743.51</v>
      </c>
      <c r="I150" s="396">
        <f>+'003'!K149</f>
        <v>260489.05999999994</v>
      </c>
      <c r="J150" s="396">
        <f>+'003'!L149</f>
        <v>2199232.5699999998</v>
      </c>
      <c r="K150" s="396">
        <f>+'003'!M149</f>
        <v>2199232.5699999998</v>
      </c>
      <c r="L150" s="396">
        <f>+'003'!N149</f>
        <v>2199232.5699999998</v>
      </c>
      <c r="M150" s="396">
        <f>+'003'!O149</f>
        <v>2199232.5699999998</v>
      </c>
      <c r="N150" s="396">
        <f>+'003'!P149</f>
        <v>2199232.5699999998</v>
      </c>
      <c r="O150" s="396">
        <f t="shared" si="3"/>
        <v>0</v>
      </c>
    </row>
    <row r="151" spans="1:15">
      <c r="A151" s="394" t="str">
        <f>+'003'!B150</f>
        <v>1.2.1</v>
      </c>
      <c r="B151" s="394" t="str">
        <f>+'003'!C150</f>
        <v>E058-P0850</v>
      </c>
      <c r="C151" s="394">
        <f>+'003'!D150</f>
        <v>1</v>
      </c>
      <c r="D151" s="394" t="str">
        <f>+'003'!E150</f>
        <v>21115-0100</v>
      </c>
      <c r="E151" s="394" t="str">
        <f>+'003'!F150</f>
        <v>1</v>
      </c>
      <c r="F151" s="394" t="str">
        <f>+'003'!G150</f>
        <v>1412</v>
      </c>
      <c r="G151" s="464" t="str">
        <f>+'003'!H150</f>
        <v>1.2.1/E058-P0850/1/21115-0100/1/1412  Cuotas al ISSSTE</v>
      </c>
      <c r="H151" s="396">
        <f>+'003'!J150</f>
        <v>793188</v>
      </c>
      <c r="I151" s="396">
        <f>+'003'!K150</f>
        <v>-109206.42000000004</v>
      </c>
      <c r="J151" s="396">
        <f>+'003'!L150</f>
        <v>683981.58</v>
      </c>
      <c r="K151" s="396">
        <f>+'003'!M150</f>
        <v>683981.58</v>
      </c>
      <c r="L151" s="396">
        <f>+'003'!N150</f>
        <v>683981.58</v>
      </c>
      <c r="M151" s="396">
        <f>+'003'!O150</f>
        <v>683981.58</v>
      </c>
      <c r="N151" s="396">
        <f>+'003'!P150</f>
        <v>683981.58</v>
      </c>
      <c r="O151" s="396">
        <f t="shared" si="3"/>
        <v>0</v>
      </c>
    </row>
    <row r="152" spans="1:15">
      <c r="A152" s="394" t="str">
        <f>+'003'!B151</f>
        <v>1.2.1</v>
      </c>
      <c r="B152" s="394" t="str">
        <f>+'003'!C151</f>
        <v>E058-P0850</v>
      </c>
      <c r="C152" s="394">
        <f>+'003'!D151</f>
        <v>1</v>
      </c>
      <c r="D152" s="394" t="str">
        <f>+'003'!E151</f>
        <v>21115-0100</v>
      </c>
      <c r="E152" s="394" t="str">
        <f>+'003'!F151</f>
        <v>1</v>
      </c>
      <c r="F152" s="394" t="str">
        <f>+'003'!G151</f>
        <v>1441</v>
      </c>
      <c r="G152" s="464" t="str">
        <f>+'003'!H151</f>
        <v>1.2.1/E058-P0850/1/21115-0100/1/1441  Seguros</v>
      </c>
      <c r="H152" s="396">
        <f>+'003'!J151</f>
        <v>213900</v>
      </c>
      <c r="I152" s="396">
        <f>+'003'!K151</f>
        <v>-153900</v>
      </c>
      <c r="J152" s="396">
        <f>+'003'!L151</f>
        <v>60000</v>
      </c>
      <c r="K152" s="396">
        <f>+'003'!M151</f>
        <v>60000</v>
      </c>
      <c r="L152" s="396">
        <f>+'003'!N151</f>
        <v>60000</v>
      </c>
      <c r="M152" s="396">
        <f>+'003'!O151</f>
        <v>60000</v>
      </c>
      <c r="N152" s="396">
        <f>+'003'!P151</f>
        <v>60000</v>
      </c>
      <c r="O152" s="396">
        <f t="shared" si="3"/>
        <v>0</v>
      </c>
    </row>
    <row r="153" spans="1:15">
      <c r="A153" s="394" t="str">
        <f>+'003'!B152</f>
        <v>1.2.1</v>
      </c>
      <c r="B153" s="394" t="str">
        <f>+'003'!C152</f>
        <v>E058-P0850</v>
      </c>
      <c r="C153" s="394">
        <f>+'003'!D152</f>
        <v>1</v>
      </c>
      <c r="D153" s="394" t="str">
        <f>+'003'!E152</f>
        <v>21115-0100</v>
      </c>
      <c r="E153" s="394" t="str">
        <f>+'003'!F152</f>
        <v>1</v>
      </c>
      <c r="F153" s="394" t="str">
        <f>+'003'!G152</f>
        <v>1531</v>
      </c>
      <c r="G153" s="464" t="str">
        <f>+'003'!H152</f>
        <v>1.2.1/E058-P0850/1/21115-0100/1/1531  Prestaciones de retiro</v>
      </c>
      <c r="H153" s="396">
        <f>+'003'!J152</f>
        <v>0</v>
      </c>
      <c r="I153" s="396">
        <f>+'003'!K152</f>
        <v>0</v>
      </c>
      <c r="J153" s="396">
        <f>+'003'!L152</f>
        <v>0</v>
      </c>
      <c r="K153" s="396">
        <f>+'003'!M152</f>
        <v>0</v>
      </c>
      <c r="L153" s="396">
        <f>+'003'!N152</f>
        <v>0</v>
      </c>
      <c r="M153" s="396">
        <f>+'003'!O152</f>
        <v>0</v>
      </c>
      <c r="N153" s="396">
        <f>+'003'!P152</f>
        <v>0</v>
      </c>
      <c r="O153" s="396">
        <f t="shared" si="3"/>
        <v>0</v>
      </c>
    </row>
    <row r="154" spans="1:15">
      <c r="A154" s="394" t="str">
        <f>+'003'!B153</f>
        <v>1.2.1</v>
      </c>
      <c r="B154" s="394" t="str">
        <f>+'003'!C153</f>
        <v>E058-P0850</v>
      </c>
      <c r="C154" s="394">
        <f>+'003'!D153</f>
        <v>1</v>
      </c>
      <c r="D154" s="394" t="str">
        <f>+'003'!E153</f>
        <v>21115-0100</v>
      </c>
      <c r="E154" s="394" t="str">
        <f>+'003'!F153</f>
        <v>1</v>
      </c>
      <c r="F154" s="394" t="str">
        <f>+'003'!G153</f>
        <v>1541</v>
      </c>
      <c r="G154" s="464" t="str">
        <f>+'003'!H153</f>
        <v>1.2.1/E058-P0850/1/21115-0100/1/1541  Prestaciones CGT</v>
      </c>
      <c r="H154" s="396">
        <f>+'003'!J153</f>
        <v>8904270.4800000004</v>
      </c>
      <c r="I154" s="396">
        <f>+'003'!K153</f>
        <v>1763895.95</v>
      </c>
      <c r="J154" s="396">
        <f>+'003'!L153</f>
        <v>10668166.43</v>
      </c>
      <c r="K154" s="396">
        <f>+'003'!M153</f>
        <v>10668166.43</v>
      </c>
      <c r="L154" s="396">
        <f>+'003'!N153</f>
        <v>10668166.43</v>
      </c>
      <c r="M154" s="396">
        <f>+'003'!O153</f>
        <v>10668166.43</v>
      </c>
      <c r="N154" s="396">
        <f>+'003'!P153</f>
        <v>10668166.43</v>
      </c>
      <c r="O154" s="396">
        <f t="shared" si="3"/>
        <v>0</v>
      </c>
    </row>
    <row r="155" spans="1:15">
      <c r="A155" s="394" t="str">
        <f>+'003'!B154</f>
        <v>1.2.1</v>
      </c>
      <c r="B155" s="394" t="str">
        <f>+'003'!C154</f>
        <v>E058-P0850</v>
      </c>
      <c r="C155" s="394">
        <f>+'003'!D154</f>
        <v>1</v>
      </c>
      <c r="D155" s="394" t="str">
        <f>+'003'!E154</f>
        <v>21115-0100</v>
      </c>
      <c r="E155" s="394" t="str">
        <f>+'003'!F154</f>
        <v>1</v>
      </c>
      <c r="F155" s="394" t="str">
        <f>+'003'!G154</f>
        <v>1591</v>
      </c>
      <c r="G155" s="464" t="str">
        <f>+'003'!H154</f>
        <v>1.2.1/E058-P0850/1/21115-0100/1/1591  Asign Adic sueldo</v>
      </c>
      <c r="H155" s="396">
        <f>+'003'!J154</f>
        <v>11232084.310000001</v>
      </c>
      <c r="I155" s="396">
        <f>+'003'!K154</f>
        <v>1458991.9800000002</v>
      </c>
      <c r="J155" s="396">
        <f>+'003'!L154</f>
        <v>12691076.289999999</v>
      </c>
      <c r="K155" s="396">
        <f>+'003'!M154</f>
        <v>12691076.289999999</v>
      </c>
      <c r="L155" s="396">
        <f>+'003'!N154</f>
        <v>12691076.289999999</v>
      </c>
      <c r="M155" s="396">
        <f>+'003'!O154</f>
        <v>12691076.289999999</v>
      </c>
      <c r="N155" s="396">
        <f>+'003'!P154</f>
        <v>12691076.289999999</v>
      </c>
      <c r="O155" s="396">
        <f t="shared" si="3"/>
        <v>0</v>
      </c>
    </row>
    <row r="156" spans="1:15">
      <c r="A156" s="394" t="str">
        <f>+'003'!B155</f>
        <v>1.2.1</v>
      </c>
      <c r="B156" s="394" t="str">
        <f>+'003'!C155</f>
        <v>E058-P0850</v>
      </c>
      <c r="C156" s="394">
        <f>+'003'!D155</f>
        <v>1</v>
      </c>
      <c r="D156" s="394" t="str">
        <f>+'003'!E155</f>
        <v>21115-0100</v>
      </c>
      <c r="E156" s="394" t="str">
        <f>+'003'!F155</f>
        <v>1</v>
      </c>
      <c r="F156" s="394" t="str">
        <f>+'003'!G155</f>
        <v>1592</v>
      </c>
      <c r="G156" s="464" t="str">
        <f>+'003'!H155</f>
        <v>1.2.1/E058-P0850/1/21115-0100/1/1592  Otras prestaciones</v>
      </c>
      <c r="H156" s="396">
        <f>+'003'!J155</f>
        <v>103805.89</v>
      </c>
      <c r="I156" s="396">
        <f>+'003'!K155</f>
        <v>60170.679999999993</v>
      </c>
      <c r="J156" s="396">
        <f>+'003'!L155</f>
        <v>163976.57</v>
      </c>
      <c r="K156" s="396">
        <f>+'003'!M155</f>
        <v>163976.57</v>
      </c>
      <c r="L156" s="396">
        <f>+'003'!N155</f>
        <v>163976.57</v>
      </c>
      <c r="M156" s="396">
        <f>+'003'!O155</f>
        <v>163976.57</v>
      </c>
      <c r="N156" s="396">
        <f>+'003'!P155</f>
        <v>163976.57</v>
      </c>
      <c r="O156" s="396">
        <f t="shared" si="3"/>
        <v>0</v>
      </c>
    </row>
    <row r="157" spans="1:15">
      <c r="A157" s="394" t="str">
        <f>+'003'!B156</f>
        <v>1.2.1</v>
      </c>
      <c r="B157" s="394" t="str">
        <f>+'003'!C156</f>
        <v>E058-P0850</v>
      </c>
      <c r="C157" s="394">
        <f>+'003'!D156</f>
        <v>1</v>
      </c>
      <c r="D157" s="394" t="str">
        <f>+'003'!E156</f>
        <v>21115-0100</v>
      </c>
      <c r="E157" s="394" t="str">
        <f>+'003'!F156</f>
        <v>1</v>
      </c>
      <c r="F157" s="394" t="str">
        <f>+'003'!G156</f>
        <v>1611</v>
      </c>
      <c r="G157" s="464" t="str">
        <f>+'003'!H156</f>
        <v>1.2.1/E058-P0850/1/21115-0100/1/1611  Prev de carat labora</v>
      </c>
      <c r="H157" s="396">
        <f>+'003'!J156</f>
        <v>765019.95</v>
      </c>
      <c r="I157" s="396">
        <f>+'003'!K156</f>
        <v>-765019.95</v>
      </c>
      <c r="J157" s="396">
        <f>+'003'!L156</f>
        <v>0</v>
      </c>
      <c r="K157" s="396">
        <f>+'003'!M156</f>
        <v>0</v>
      </c>
      <c r="L157" s="396">
        <f>+'003'!N156</f>
        <v>0</v>
      </c>
      <c r="M157" s="396">
        <f>+'003'!O156</f>
        <v>0</v>
      </c>
      <c r="N157" s="396">
        <f>+'003'!P156</f>
        <v>0</v>
      </c>
      <c r="O157" s="396">
        <f t="shared" si="3"/>
        <v>0</v>
      </c>
    </row>
    <row r="158" spans="1:15">
      <c r="A158" s="394" t="str">
        <f>+'003'!B157</f>
        <v>1.2.1</v>
      </c>
      <c r="B158" s="394" t="str">
        <f>+'003'!C157</f>
        <v>E058-P0850</v>
      </c>
      <c r="C158" s="394">
        <f>+'003'!D157</f>
        <v>1</v>
      </c>
      <c r="D158" s="394" t="str">
        <f>+'003'!E157</f>
        <v>21115-0100</v>
      </c>
      <c r="E158" s="394" t="str">
        <f>+'003'!F157</f>
        <v>1</v>
      </c>
      <c r="F158" s="394" t="str">
        <f>+'003'!G157</f>
        <v>1711</v>
      </c>
      <c r="G158" s="464" t="str">
        <f>+'003'!H157</f>
        <v>1.2.1/E058-P0850/1/21115-0100/1/1711  Estím Productividad</v>
      </c>
      <c r="H158" s="396">
        <f>+'003'!J157</f>
        <v>596669.51</v>
      </c>
      <c r="I158" s="396">
        <f>+'003'!K157</f>
        <v>298752.13000000035</v>
      </c>
      <c r="J158" s="396">
        <f>+'003'!L157</f>
        <v>895421.64</v>
      </c>
      <c r="K158" s="396">
        <f>+'003'!M157</f>
        <v>895421.64</v>
      </c>
      <c r="L158" s="396">
        <f>+'003'!N157</f>
        <v>895421.64</v>
      </c>
      <c r="M158" s="396">
        <f>+'003'!O157</f>
        <v>895421.64</v>
      </c>
      <c r="N158" s="396">
        <f>+'003'!P157</f>
        <v>895421.64</v>
      </c>
      <c r="O158" s="396">
        <f t="shared" si="3"/>
        <v>0</v>
      </c>
    </row>
    <row r="159" spans="1:15">
      <c r="A159" s="394" t="str">
        <f>+'003'!B158</f>
        <v>1.2.1</v>
      </c>
      <c r="B159" s="394" t="str">
        <f>+'003'!C158</f>
        <v>E058-P0850</v>
      </c>
      <c r="C159" s="394">
        <f>+'003'!D158</f>
        <v>1</v>
      </c>
      <c r="D159" s="394" t="str">
        <f>+'003'!E158</f>
        <v>21115-0100</v>
      </c>
      <c r="E159" s="394" t="str">
        <f>+'003'!F158</f>
        <v>1</v>
      </c>
      <c r="F159" s="394" t="str">
        <f>+'003'!G158</f>
        <v>1712</v>
      </c>
      <c r="G159" s="464" t="str">
        <f>+'003'!H158</f>
        <v>1.2.1/E058-P0850/1/21115-0100/1/1712  Estím Personal Oper</v>
      </c>
      <c r="H159" s="396">
        <f>+'003'!J158</f>
        <v>13939.44</v>
      </c>
      <c r="I159" s="396">
        <f>+'003'!K158</f>
        <v>124.98000000000002</v>
      </c>
      <c r="J159" s="396">
        <f>+'003'!L158</f>
        <v>14064.42</v>
      </c>
      <c r="K159" s="396">
        <f>+'003'!M158</f>
        <v>14064.42</v>
      </c>
      <c r="L159" s="396">
        <f>+'003'!N158</f>
        <v>14064.42</v>
      </c>
      <c r="M159" s="396">
        <f>+'003'!O158</f>
        <v>14064.42</v>
      </c>
      <c r="N159" s="396">
        <f>+'003'!P158</f>
        <v>14064.42</v>
      </c>
      <c r="O159" s="396">
        <f t="shared" si="3"/>
        <v>0</v>
      </c>
    </row>
    <row r="160" spans="1:15">
      <c r="A160" s="394" t="str">
        <f>+'003'!B159</f>
        <v>1.2.1</v>
      </c>
      <c r="B160" s="394" t="str">
        <f>+'003'!C159</f>
        <v>E058-P0850</v>
      </c>
      <c r="C160" s="394">
        <f>+'003'!D159</f>
        <v>1</v>
      </c>
      <c r="D160" s="394" t="str">
        <f>+'003'!E159</f>
        <v>21115-0100</v>
      </c>
      <c r="E160" s="394" t="str">
        <f>+'003'!F159</f>
        <v>1</v>
      </c>
      <c r="F160" s="394" t="str">
        <f>+'003'!G159</f>
        <v>2111</v>
      </c>
      <c r="G160" s="464" t="str">
        <f>+'003'!H159</f>
        <v>1.2.1/E058-P0850/1/21115-0100/1/2111  Materiales y útiles de oficina</v>
      </c>
      <c r="H160" s="396">
        <f>+'003'!J159</f>
        <v>0</v>
      </c>
      <c r="I160" s="396">
        <f>+'003'!K159</f>
        <v>0</v>
      </c>
      <c r="J160" s="396">
        <f>+'003'!L159</f>
        <v>0</v>
      </c>
      <c r="K160" s="396">
        <f>+'003'!M159</f>
        <v>0</v>
      </c>
      <c r="L160" s="396">
        <f>+'003'!N159</f>
        <v>0</v>
      </c>
      <c r="M160" s="396">
        <f>+'003'!O159</f>
        <v>0</v>
      </c>
      <c r="N160" s="396">
        <f>+'003'!P159</f>
        <v>0</v>
      </c>
      <c r="O160" s="396">
        <f t="shared" si="3"/>
        <v>0</v>
      </c>
    </row>
    <row r="161" spans="1:15">
      <c r="A161" s="394" t="str">
        <f>+'003'!B160</f>
        <v>1.2.1</v>
      </c>
      <c r="B161" s="394" t="str">
        <f>+'003'!C160</f>
        <v>E058-P0850</v>
      </c>
      <c r="C161" s="394">
        <f>+'003'!D160</f>
        <v>1</v>
      </c>
      <c r="D161" s="394" t="str">
        <f>+'003'!E160</f>
        <v>21115-0100</v>
      </c>
      <c r="E161" s="394" t="str">
        <f>+'003'!F160</f>
        <v>1</v>
      </c>
      <c r="F161" s="394" t="str">
        <f>+'003'!G160</f>
        <v>2112</v>
      </c>
      <c r="G161" s="464" t="str">
        <f>+'003'!H160</f>
        <v>1.2.1/E058-P0850/1/21115-0100/1/2112  Equipos menores de oficina</v>
      </c>
      <c r="H161" s="396">
        <f>+'003'!J160</f>
        <v>0</v>
      </c>
      <c r="I161" s="396">
        <f>+'003'!K160</f>
        <v>139</v>
      </c>
      <c r="J161" s="396">
        <f>+'003'!L160</f>
        <v>139</v>
      </c>
      <c r="K161" s="396">
        <f>+'003'!M160</f>
        <v>139</v>
      </c>
      <c r="L161" s="396">
        <f>+'003'!N160</f>
        <v>139</v>
      </c>
      <c r="M161" s="396">
        <f>+'003'!O160</f>
        <v>139</v>
      </c>
      <c r="N161" s="396">
        <f>+'003'!P160</f>
        <v>139</v>
      </c>
      <c r="O161" s="396">
        <f t="shared" si="3"/>
        <v>0</v>
      </c>
    </row>
    <row r="162" spans="1:15">
      <c r="A162" s="394" t="str">
        <f>+'003'!B161</f>
        <v>1.2.1</v>
      </c>
      <c r="B162" s="394" t="str">
        <f>+'003'!C161</f>
        <v>E058-P0850</v>
      </c>
      <c r="C162" s="394">
        <f>+'003'!D161</f>
        <v>1</v>
      </c>
      <c r="D162" s="394" t="str">
        <f>+'003'!E161</f>
        <v>21115-0100</v>
      </c>
      <c r="E162" s="394" t="str">
        <f>+'003'!F161</f>
        <v>1</v>
      </c>
      <c r="F162" s="394" t="str">
        <f>+'003'!G161</f>
        <v>2151</v>
      </c>
      <c r="G162" s="464" t="str">
        <f>+'003'!H161</f>
        <v>1.2.1/E058-P0850/1/21115-0100/1/2151  Mat impreso  e info</v>
      </c>
      <c r="H162" s="396">
        <f>+'003'!J161</f>
        <v>0</v>
      </c>
      <c r="I162" s="396">
        <f>+'003'!K161</f>
        <v>1660</v>
      </c>
      <c r="J162" s="396">
        <f>+'003'!L161</f>
        <v>1660</v>
      </c>
      <c r="K162" s="396">
        <f>+'003'!M161</f>
        <v>1660</v>
      </c>
      <c r="L162" s="396">
        <f>+'003'!N161</f>
        <v>1660</v>
      </c>
      <c r="M162" s="396">
        <f>+'003'!O161</f>
        <v>1660</v>
      </c>
      <c r="N162" s="396">
        <f>+'003'!P161</f>
        <v>1660</v>
      </c>
      <c r="O162" s="396">
        <f t="shared" si="3"/>
        <v>0</v>
      </c>
    </row>
    <row r="163" spans="1:15">
      <c r="A163" s="394" t="str">
        <f>+'003'!B162</f>
        <v>1.2.1</v>
      </c>
      <c r="B163" s="394" t="str">
        <f>+'003'!C162</f>
        <v>E058-P0850</v>
      </c>
      <c r="C163" s="394">
        <f>+'003'!D162</f>
        <v>1</v>
      </c>
      <c r="D163" s="394" t="str">
        <f>+'003'!E162</f>
        <v>21115-0100</v>
      </c>
      <c r="E163" s="394" t="str">
        <f>+'003'!F162</f>
        <v>1</v>
      </c>
      <c r="F163" s="394" t="str">
        <f>+'003'!G162</f>
        <v>2212</v>
      </c>
      <c r="G163" s="464" t="str">
        <f>+'003'!H162</f>
        <v>1.2.1/E058-P0850/1/21115-0100/1/2212  Prod Alimen instal</v>
      </c>
      <c r="H163" s="396">
        <f>+'003'!J162</f>
        <v>10815</v>
      </c>
      <c r="I163" s="396">
        <f>+'003'!K162</f>
        <v>-6144.0499999999993</v>
      </c>
      <c r="J163" s="396">
        <f>+'003'!L162</f>
        <v>4670.95</v>
      </c>
      <c r="K163" s="396">
        <f>+'003'!M162</f>
        <v>4670.95</v>
      </c>
      <c r="L163" s="396">
        <f>+'003'!N162</f>
        <v>4670.95</v>
      </c>
      <c r="M163" s="396">
        <f>+'003'!O162</f>
        <v>4670.95</v>
      </c>
      <c r="N163" s="396">
        <f>+'003'!P162</f>
        <v>4670.95</v>
      </c>
      <c r="O163" s="396">
        <f t="shared" si="3"/>
        <v>0</v>
      </c>
    </row>
    <row r="164" spans="1:15">
      <c r="A164" s="394" t="str">
        <f>+'003'!B163</f>
        <v>1.2.1</v>
      </c>
      <c r="B164" s="394" t="str">
        <f>+'003'!C163</f>
        <v>E058-P0850</v>
      </c>
      <c r="C164" s="394">
        <f>+'003'!D163</f>
        <v>1</v>
      </c>
      <c r="D164" s="394" t="str">
        <f>+'003'!E163</f>
        <v>21115-0100</v>
      </c>
      <c r="E164" s="394" t="str">
        <f>+'003'!F163</f>
        <v>1</v>
      </c>
      <c r="F164" s="394" t="str">
        <f>+'003'!G163</f>
        <v>2611</v>
      </c>
      <c r="G164" s="464" t="str">
        <f>+'003'!H163</f>
        <v>1.2.1/E058-P0850/1/21115-0100/1/2611  Combus p Seg pub</v>
      </c>
      <c r="H164" s="396">
        <f>+'003'!J163</f>
        <v>0</v>
      </c>
      <c r="I164" s="396">
        <f>+'003'!K163</f>
        <v>0</v>
      </c>
      <c r="J164" s="396">
        <f>+'003'!L163</f>
        <v>0</v>
      </c>
      <c r="K164" s="396">
        <f>+'003'!M163</f>
        <v>0</v>
      </c>
      <c r="L164" s="396">
        <f>+'003'!N163</f>
        <v>0</v>
      </c>
      <c r="M164" s="396">
        <f>+'003'!O163</f>
        <v>0</v>
      </c>
      <c r="N164" s="396">
        <f>+'003'!P163</f>
        <v>0</v>
      </c>
      <c r="O164" s="396">
        <f t="shared" si="3"/>
        <v>0</v>
      </c>
    </row>
    <row r="165" spans="1:15">
      <c r="A165" s="394" t="str">
        <f>+'003'!B164</f>
        <v>1.2.1</v>
      </c>
      <c r="B165" s="394" t="str">
        <f>+'003'!C164</f>
        <v>E058-P0850</v>
      </c>
      <c r="C165" s="394">
        <f>+'003'!D164</f>
        <v>1</v>
      </c>
      <c r="D165" s="394" t="str">
        <f>+'003'!E164</f>
        <v>21115-0100</v>
      </c>
      <c r="E165" s="394" t="str">
        <f>+'003'!F164</f>
        <v>1</v>
      </c>
      <c r="F165" s="394" t="str">
        <f>+'003'!G164</f>
        <v>2612</v>
      </c>
      <c r="G165" s="464" t="str">
        <f>+'003'!H164</f>
        <v>1.2.1/E058-P0850/1/21115-0100/1/2612  Combus p Serv pub</v>
      </c>
      <c r="H165" s="396">
        <f>+'003'!J164</f>
        <v>511588.8</v>
      </c>
      <c r="I165" s="396">
        <f>+'003'!K164</f>
        <v>19401.889999999956</v>
      </c>
      <c r="J165" s="396">
        <f>+'003'!L164</f>
        <v>530990.68999999994</v>
      </c>
      <c r="K165" s="396">
        <f>+'003'!M164</f>
        <v>530990.68999999994</v>
      </c>
      <c r="L165" s="396">
        <f>+'003'!N164</f>
        <v>530990.68999999994</v>
      </c>
      <c r="M165" s="396">
        <f>+'003'!O164</f>
        <v>530990.68999999994</v>
      </c>
      <c r="N165" s="396">
        <f>+'003'!P164</f>
        <v>530990.68999999994</v>
      </c>
      <c r="O165" s="396">
        <f t="shared" si="3"/>
        <v>0</v>
      </c>
    </row>
    <row r="166" spans="1:15">
      <c r="A166" s="394" t="str">
        <f>+'003'!B165</f>
        <v>1.2.1</v>
      </c>
      <c r="B166" s="394" t="str">
        <f>+'003'!C165</f>
        <v>E058-P0850</v>
      </c>
      <c r="C166" s="394">
        <f>+'003'!D165</f>
        <v>1</v>
      </c>
      <c r="D166" s="394" t="str">
        <f>+'003'!E165</f>
        <v>21115-0100</v>
      </c>
      <c r="E166" s="394" t="str">
        <f>+'003'!F165</f>
        <v>1</v>
      </c>
      <c r="F166" s="394" t="str">
        <f>+'003'!G165</f>
        <v>3181</v>
      </c>
      <c r="G166" s="464" t="str">
        <f>+'003'!H165</f>
        <v>1.2.1/E058-P0850/1/21115-0100/1/3181  Servicio postal</v>
      </c>
      <c r="H166" s="396">
        <f>+'003'!J165</f>
        <v>264012.12</v>
      </c>
      <c r="I166" s="396">
        <f>+'003'!K165</f>
        <v>-87486.62</v>
      </c>
      <c r="J166" s="396">
        <f>+'003'!L165</f>
        <v>176525.5</v>
      </c>
      <c r="K166" s="396">
        <f>+'003'!M165</f>
        <v>176525.5</v>
      </c>
      <c r="L166" s="396">
        <f>+'003'!N165</f>
        <v>176525.5</v>
      </c>
      <c r="M166" s="396">
        <f>+'003'!O165</f>
        <v>176525.5</v>
      </c>
      <c r="N166" s="396">
        <f>+'003'!P165</f>
        <v>176525.5</v>
      </c>
      <c r="O166" s="396">
        <f t="shared" si="3"/>
        <v>0</v>
      </c>
    </row>
    <row r="167" spans="1:15">
      <c r="A167" s="394" t="str">
        <f>+'003'!B166</f>
        <v>1.2.1</v>
      </c>
      <c r="B167" s="394" t="str">
        <f>+'003'!C166</f>
        <v>E058-P0850</v>
      </c>
      <c r="C167" s="394">
        <f>+'003'!D166</f>
        <v>1</v>
      </c>
      <c r="D167" s="394" t="str">
        <f>+'003'!E166</f>
        <v>21115-0100</v>
      </c>
      <c r="E167" s="394" t="str">
        <f>+'003'!F166</f>
        <v>1</v>
      </c>
      <c r="F167" s="394" t="str">
        <f>+'003'!G166</f>
        <v>3221</v>
      </c>
      <c r="G167" s="464" t="str">
        <f>+'003'!H166</f>
        <v>1.2.1/E058-P0850/1/21115-0100/1/3221  Arrendam Edificios</v>
      </c>
      <c r="H167" s="396">
        <f>+'003'!J166</f>
        <v>414990.04</v>
      </c>
      <c r="I167" s="396">
        <f>+'003'!K166</f>
        <v>-48827.359999999986</v>
      </c>
      <c r="J167" s="396">
        <f>+'003'!L166</f>
        <v>366162.68</v>
      </c>
      <c r="K167" s="396">
        <f>+'003'!M166</f>
        <v>366162.68</v>
      </c>
      <c r="L167" s="396">
        <f>+'003'!N166</f>
        <v>366162.68</v>
      </c>
      <c r="M167" s="396">
        <f>+'003'!O166</f>
        <v>366162.68</v>
      </c>
      <c r="N167" s="396">
        <f>+'003'!P166</f>
        <v>366162.68</v>
      </c>
      <c r="O167" s="396">
        <f t="shared" si="3"/>
        <v>0</v>
      </c>
    </row>
    <row r="168" spans="1:15">
      <c r="A168" s="394" t="str">
        <f>+'003'!B167</f>
        <v>1.2.1</v>
      </c>
      <c r="B168" s="394" t="str">
        <f>+'003'!C167</f>
        <v>E058-P0850</v>
      </c>
      <c r="C168" s="394">
        <f>+'003'!D167</f>
        <v>1</v>
      </c>
      <c r="D168" s="394" t="str">
        <f>+'003'!E167</f>
        <v>21115-0100</v>
      </c>
      <c r="E168" s="394" t="str">
        <f>+'003'!F167</f>
        <v>1</v>
      </c>
      <c r="F168" s="394" t="str">
        <f>+'003'!G167</f>
        <v>3231</v>
      </c>
      <c r="G168" s="464" t="str">
        <f>+'003'!H167</f>
        <v>1.2.1/E058-P0850/1/21115-0100/1/3231  Arren Mobiliario</v>
      </c>
      <c r="H168" s="396">
        <f>+'003'!J167</f>
        <v>0</v>
      </c>
      <c r="I168" s="396">
        <f>+'003'!K167</f>
        <v>0</v>
      </c>
      <c r="J168" s="396">
        <f>+'003'!L167</f>
        <v>0</v>
      </c>
      <c r="K168" s="396">
        <f>+'003'!M167</f>
        <v>0</v>
      </c>
      <c r="L168" s="396">
        <f>+'003'!N167</f>
        <v>0</v>
      </c>
      <c r="M168" s="396">
        <f>+'003'!O167</f>
        <v>0</v>
      </c>
      <c r="N168" s="396">
        <f>+'003'!P167</f>
        <v>0</v>
      </c>
      <c r="O168" s="396">
        <f t="shared" si="3"/>
        <v>0</v>
      </c>
    </row>
    <row r="169" spans="1:15">
      <c r="A169" s="394" t="str">
        <f>+'003'!B168</f>
        <v>1.2.1</v>
      </c>
      <c r="B169" s="394" t="str">
        <f>+'003'!C168</f>
        <v>E058-P0850</v>
      </c>
      <c r="C169" s="394">
        <f>+'003'!D168</f>
        <v>1</v>
      </c>
      <c r="D169" s="394" t="str">
        <f>+'003'!E168</f>
        <v>21115-0100</v>
      </c>
      <c r="E169" s="394" t="str">
        <f>+'003'!F168</f>
        <v>1</v>
      </c>
      <c r="F169" s="394" t="str">
        <f>+'003'!G168</f>
        <v>3331</v>
      </c>
      <c r="G169" s="464" t="str">
        <f>+'003'!H168</f>
        <v>1.2.1/E058-P0850/1/21115-0100/1/3331  Serv Consultoría</v>
      </c>
      <c r="H169" s="396">
        <f>+'003'!J168</f>
        <v>0</v>
      </c>
      <c r="I169" s="396">
        <f>+'003'!K168</f>
        <v>0</v>
      </c>
      <c r="J169" s="396">
        <f>+'003'!L168</f>
        <v>0</v>
      </c>
      <c r="K169" s="396">
        <f>+'003'!M168</f>
        <v>0</v>
      </c>
      <c r="L169" s="396">
        <f>+'003'!N168</f>
        <v>0</v>
      </c>
      <c r="M169" s="396">
        <f>+'003'!O168</f>
        <v>0</v>
      </c>
      <c r="N169" s="396">
        <f>+'003'!P168</f>
        <v>0</v>
      </c>
      <c r="O169" s="396">
        <f t="shared" si="3"/>
        <v>0</v>
      </c>
    </row>
    <row r="170" spans="1:15">
      <c r="A170" s="394" t="str">
        <f>+'003'!B169</f>
        <v>1.2.1</v>
      </c>
      <c r="B170" s="394" t="str">
        <f>+'003'!C169</f>
        <v>E058-P0850</v>
      </c>
      <c r="C170" s="394">
        <f>+'003'!D169</f>
        <v>1</v>
      </c>
      <c r="D170" s="394" t="str">
        <f>+'003'!E169</f>
        <v>21115-0100</v>
      </c>
      <c r="E170" s="394" t="str">
        <f>+'003'!F169</f>
        <v>1</v>
      </c>
      <c r="F170" s="394" t="str">
        <f>+'003'!G169</f>
        <v>3332</v>
      </c>
      <c r="G170" s="464" t="str">
        <f>+'003'!H169</f>
        <v>1.2.1/E058-P0850/1/21115-0100/1/3332  Serv Procesos</v>
      </c>
      <c r="H170" s="396">
        <f>+'003'!J169</f>
        <v>1316780.3999999999</v>
      </c>
      <c r="I170" s="396">
        <f>+'003'!K169</f>
        <v>-7780.3999999999069</v>
      </c>
      <c r="J170" s="396">
        <f>+'003'!L169</f>
        <v>1309000</v>
      </c>
      <c r="K170" s="396">
        <f>+'003'!M169</f>
        <v>1309000</v>
      </c>
      <c r="L170" s="396">
        <f>+'003'!N169</f>
        <v>1309000</v>
      </c>
      <c r="M170" s="396">
        <f>+'003'!O169</f>
        <v>1309000</v>
      </c>
      <c r="N170" s="396">
        <f>+'003'!P169</f>
        <v>1309000</v>
      </c>
      <c r="O170" s="396">
        <f t="shared" si="3"/>
        <v>0</v>
      </c>
    </row>
    <row r="171" spans="1:15">
      <c r="A171" s="394" t="str">
        <f>+'003'!B170</f>
        <v>1.2.1</v>
      </c>
      <c r="B171" s="394" t="str">
        <f>+'003'!C170</f>
        <v>E058-P0850</v>
      </c>
      <c r="C171" s="394">
        <f>+'003'!D170</f>
        <v>1</v>
      </c>
      <c r="D171" s="394" t="str">
        <f>+'003'!E170</f>
        <v>21115-0100</v>
      </c>
      <c r="E171" s="394" t="str">
        <f>+'003'!F170</f>
        <v>1</v>
      </c>
      <c r="F171" s="394" t="str">
        <f>+'003'!G170</f>
        <v>3341</v>
      </c>
      <c r="G171" s="464" t="str">
        <f>+'003'!H170</f>
        <v>1.2.1/E058-P0850/1/21115-0100/1/3341  Servicios de capacitación</v>
      </c>
      <c r="H171" s="396">
        <f>+'003'!J170</f>
        <v>257289.86</v>
      </c>
      <c r="I171" s="396">
        <f>+'003'!K170</f>
        <v>-257289.86</v>
      </c>
      <c r="J171" s="396">
        <f>+'003'!L170</f>
        <v>0</v>
      </c>
      <c r="K171" s="396">
        <f>+'003'!M170</f>
        <v>0</v>
      </c>
      <c r="L171" s="396">
        <f>+'003'!N170</f>
        <v>0</v>
      </c>
      <c r="M171" s="396">
        <f>+'003'!O170</f>
        <v>0</v>
      </c>
      <c r="N171" s="396">
        <f>+'003'!P170</f>
        <v>0</v>
      </c>
      <c r="O171" s="396">
        <f t="shared" si="3"/>
        <v>0</v>
      </c>
    </row>
    <row r="172" spans="1:15">
      <c r="A172" s="394" t="str">
        <f>+'003'!B171</f>
        <v>1.2.1</v>
      </c>
      <c r="B172" s="394" t="str">
        <f>+'003'!C171</f>
        <v>E058-P0850</v>
      </c>
      <c r="C172" s="394">
        <f>+'003'!D171</f>
        <v>1</v>
      </c>
      <c r="D172" s="394" t="str">
        <f>+'003'!E171</f>
        <v>21115-0100</v>
      </c>
      <c r="E172" s="394" t="str">
        <f>+'003'!F171</f>
        <v>1</v>
      </c>
      <c r="F172" s="394" t="str">
        <f>+'003'!G171</f>
        <v>3361</v>
      </c>
      <c r="G172" s="464" t="str">
        <f>+'003'!H171</f>
        <v>1.2.1/E058-P0850/1/21115-0100/1/3361  Impresiones docofic</v>
      </c>
      <c r="H172" s="396">
        <f>+'003'!J171</f>
        <v>195518.98</v>
      </c>
      <c r="I172" s="396">
        <f>+'003'!K171</f>
        <v>-194242.97999999998</v>
      </c>
      <c r="J172" s="396">
        <f>+'003'!L171</f>
        <v>1276</v>
      </c>
      <c r="K172" s="396">
        <f>+'003'!M171</f>
        <v>1276</v>
      </c>
      <c r="L172" s="396">
        <f>+'003'!N171</f>
        <v>1276</v>
      </c>
      <c r="M172" s="396">
        <f>+'003'!O171</f>
        <v>1276</v>
      </c>
      <c r="N172" s="396">
        <f>+'003'!P171</f>
        <v>1276</v>
      </c>
      <c r="O172" s="396">
        <f t="shared" si="3"/>
        <v>0</v>
      </c>
    </row>
    <row r="173" spans="1:15">
      <c r="A173" s="394" t="str">
        <f>+'003'!B172</f>
        <v>1.2.1</v>
      </c>
      <c r="B173" s="394" t="str">
        <f>+'003'!C172</f>
        <v>E058-P0850</v>
      </c>
      <c r="C173" s="394">
        <f>+'003'!D172</f>
        <v>1</v>
      </c>
      <c r="D173" s="394" t="str">
        <f>+'003'!E172</f>
        <v>21115-0100</v>
      </c>
      <c r="E173" s="394" t="str">
        <f>+'003'!F172</f>
        <v>1</v>
      </c>
      <c r="F173" s="394" t="str">
        <f>+'003'!G172</f>
        <v>3551</v>
      </c>
      <c r="G173" s="464" t="str">
        <f>+'003'!H172</f>
        <v>1.2.1/E058-P0850/1/21115-0100/1/3551  Mantto Vehíc</v>
      </c>
      <c r="H173" s="396">
        <f>+'003'!J172</f>
        <v>128286.49</v>
      </c>
      <c r="I173" s="396">
        <f>+'003'!K172</f>
        <v>50520.490000000005</v>
      </c>
      <c r="J173" s="396">
        <f>+'003'!L172</f>
        <v>178806.98</v>
      </c>
      <c r="K173" s="396">
        <f>+'003'!M172</f>
        <v>178806.98</v>
      </c>
      <c r="L173" s="396">
        <f>+'003'!N172</f>
        <v>178806.98</v>
      </c>
      <c r="M173" s="396">
        <f>+'003'!O172</f>
        <v>178806.98</v>
      </c>
      <c r="N173" s="396">
        <f>+'003'!P172</f>
        <v>178806.98</v>
      </c>
      <c r="O173" s="396">
        <f t="shared" si="3"/>
        <v>0</v>
      </c>
    </row>
    <row r="174" spans="1:15">
      <c r="A174" s="394" t="str">
        <f>+'003'!B173</f>
        <v>1.2.1</v>
      </c>
      <c r="B174" s="394" t="str">
        <f>+'003'!C173</f>
        <v>E058-P0850</v>
      </c>
      <c r="C174" s="394">
        <f>+'003'!D173</f>
        <v>1</v>
      </c>
      <c r="D174" s="394" t="str">
        <f>+'003'!E173</f>
        <v>21115-0100</v>
      </c>
      <c r="E174" s="394" t="str">
        <f>+'003'!F173</f>
        <v>1</v>
      </c>
      <c r="F174" s="394" t="str">
        <f>+'003'!G173</f>
        <v>3611</v>
      </c>
      <c r="G174" s="464" t="str">
        <f>+'003'!H173</f>
        <v>1.2.1/E058-P0850/1/21115-0100/1/3611  Difusión Activ Gub</v>
      </c>
      <c r="H174" s="396">
        <f>+'003'!J173</f>
        <v>4484756.01</v>
      </c>
      <c r="I174" s="396">
        <f>+'003'!K173</f>
        <v>274161.94</v>
      </c>
      <c r="J174" s="396">
        <f>+'003'!L173</f>
        <v>4758917.95</v>
      </c>
      <c r="K174" s="396">
        <f>+'003'!M173</f>
        <v>4758917.95</v>
      </c>
      <c r="L174" s="396">
        <f>+'003'!N173</f>
        <v>4758917.95</v>
      </c>
      <c r="M174" s="396">
        <f>+'003'!O173</f>
        <v>4758917.95</v>
      </c>
      <c r="N174" s="396">
        <f>+'003'!P173</f>
        <v>4758917.95</v>
      </c>
      <c r="O174" s="396">
        <f t="shared" si="3"/>
        <v>0</v>
      </c>
    </row>
    <row r="175" spans="1:15">
      <c r="A175" s="394" t="str">
        <f>+'003'!B174</f>
        <v>1.2.1</v>
      </c>
      <c r="B175" s="394" t="str">
        <f>+'003'!C174</f>
        <v>E058-P0850</v>
      </c>
      <c r="C175" s="394">
        <f>+'003'!D174</f>
        <v>1</v>
      </c>
      <c r="D175" s="394" t="str">
        <f>+'003'!E174</f>
        <v>21115-0100</v>
      </c>
      <c r="E175" s="394" t="str">
        <f>+'003'!F174</f>
        <v>1</v>
      </c>
      <c r="F175" s="394" t="str">
        <f>+'003'!G174</f>
        <v>3711</v>
      </c>
      <c r="G175" s="464" t="str">
        <f>+'003'!H174</f>
        <v>1.2.1/E058-P0850/1/21115-0100/1/3711  Pasajes aéreos Nac</v>
      </c>
      <c r="H175" s="396">
        <f>+'003'!J174</f>
        <v>143020.44</v>
      </c>
      <c r="I175" s="396">
        <f>+'003'!K174</f>
        <v>-117094.44</v>
      </c>
      <c r="J175" s="396">
        <f>+'003'!L174</f>
        <v>25926</v>
      </c>
      <c r="K175" s="396">
        <f>+'003'!M174</f>
        <v>25926</v>
      </c>
      <c r="L175" s="396">
        <f>+'003'!N174</f>
        <v>25926</v>
      </c>
      <c r="M175" s="396">
        <f>+'003'!O174</f>
        <v>25926</v>
      </c>
      <c r="N175" s="396">
        <f>+'003'!P174</f>
        <v>25926</v>
      </c>
      <c r="O175" s="396">
        <f t="shared" si="3"/>
        <v>0</v>
      </c>
    </row>
    <row r="176" spans="1:15">
      <c r="A176" s="394" t="str">
        <f>+'003'!B175</f>
        <v>1.2.1</v>
      </c>
      <c r="B176" s="394" t="str">
        <f>+'003'!C175</f>
        <v>E058-P0850</v>
      </c>
      <c r="C176" s="394">
        <f>+'003'!D175</f>
        <v>1</v>
      </c>
      <c r="D176" s="394" t="str">
        <f>+'003'!E175</f>
        <v>21115-0100</v>
      </c>
      <c r="E176" s="394" t="str">
        <f>+'003'!F175</f>
        <v>1</v>
      </c>
      <c r="F176" s="394" t="str">
        <f>+'003'!G175</f>
        <v>3721</v>
      </c>
      <c r="G176" s="464" t="str">
        <f>+'003'!H175</f>
        <v>1.2.1/E058-P0850/1/21115-0100/1/3721  Pasajes terr Nac</v>
      </c>
      <c r="H176" s="396">
        <f>+'003'!J175</f>
        <v>128785.53</v>
      </c>
      <c r="I176" s="396">
        <f>+'003'!K175</f>
        <v>-52836.700000000012</v>
      </c>
      <c r="J176" s="396">
        <f>+'003'!L175</f>
        <v>75948.83</v>
      </c>
      <c r="K176" s="396">
        <f>+'003'!M175</f>
        <v>75948.83</v>
      </c>
      <c r="L176" s="396">
        <f>+'003'!N175</f>
        <v>75948.83</v>
      </c>
      <c r="M176" s="396">
        <f>+'003'!O175</f>
        <v>75948.83</v>
      </c>
      <c r="N176" s="396">
        <f>+'003'!P175</f>
        <v>74898.83</v>
      </c>
      <c r="O176" s="396">
        <f t="shared" si="3"/>
        <v>0</v>
      </c>
    </row>
    <row r="177" spans="1:15">
      <c r="A177" s="394" t="str">
        <f>+'003'!B176</f>
        <v>1.2.1</v>
      </c>
      <c r="B177" s="394" t="str">
        <f>+'003'!C176</f>
        <v>E058-P0850</v>
      </c>
      <c r="C177" s="394">
        <f>+'003'!D176</f>
        <v>1</v>
      </c>
      <c r="D177" s="394" t="str">
        <f>+'003'!E176</f>
        <v>21115-0100</v>
      </c>
      <c r="E177" s="394" t="str">
        <f>+'003'!F176</f>
        <v>1</v>
      </c>
      <c r="F177" s="394" t="str">
        <f>+'003'!G176</f>
        <v>3751</v>
      </c>
      <c r="G177" s="464" t="str">
        <f>+'003'!H176</f>
        <v>1.2.1/E058-P0850/1/21115-0100/1/3751  Viáticos nacionales</v>
      </c>
      <c r="H177" s="396">
        <f>+'003'!J176</f>
        <v>62740.57</v>
      </c>
      <c r="I177" s="396">
        <f>+'003'!K176</f>
        <v>-14142.750000000004</v>
      </c>
      <c r="J177" s="396">
        <f>+'003'!L176</f>
        <v>48597.82</v>
      </c>
      <c r="K177" s="396">
        <f>+'003'!M176</f>
        <v>48597.82</v>
      </c>
      <c r="L177" s="396">
        <f>+'003'!N176</f>
        <v>48597.82</v>
      </c>
      <c r="M177" s="396">
        <f>+'003'!O176</f>
        <v>48597.82</v>
      </c>
      <c r="N177" s="396">
        <f>+'003'!P176</f>
        <v>48597.82</v>
      </c>
      <c r="O177" s="396">
        <f t="shared" si="3"/>
        <v>0</v>
      </c>
    </row>
    <row r="178" spans="1:15">
      <c r="A178" s="394" t="str">
        <f>+'003'!B177</f>
        <v>1.2.1</v>
      </c>
      <c r="B178" s="394" t="str">
        <f>+'003'!C177</f>
        <v>E058-P0850</v>
      </c>
      <c r="C178" s="394">
        <f>+'003'!D177</f>
        <v>1</v>
      </c>
      <c r="D178" s="394" t="str">
        <f>+'003'!E177</f>
        <v>21115-0100</v>
      </c>
      <c r="E178" s="394" t="str">
        <f>+'003'!F177</f>
        <v>1</v>
      </c>
      <c r="F178" s="394" t="str">
        <f>+'003'!G177</f>
        <v>3761</v>
      </c>
      <c r="G178" s="464" t="str">
        <f>+'003'!H177</f>
        <v>1.2.1/E058-P0850/1/21115-0100/1/3761  Viáticos Extranjero</v>
      </c>
      <c r="H178" s="396">
        <f>+'003'!J177</f>
        <v>47295.25</v>
      </c>
      <c r="I178" s="396">
        <f>+'003'!K177</f>
        <v>-47295.25</v>
      </c>
      <c r="J178" s="396">
        <f>+'003'!L177</f>
        <v>0</v>
      </c>
      <c r="K178" s="396">
        <f>+'003'!M177</f>
        <v>0</v>
      </c>
      <c r="L178" s="396">
        <f>+'003'!N177</f>
        <v>0</v>
      </c>
      <c r="M178" s="396">
        <f>+'003'!O177</f>
        <v>0</v>
      </c>
      <c r="N178" s="396">
        <f>+'003'!P177</f>
        <v>0</v>
      </c>
      <c r="O178" s="396">
        <f t="shared" si="3"/>
        <v>0</v>
      </c>
    </row>
    <row r="179" spans="1:15">
      <c r="A179" s="394" t="str">
        <f>+'003'!B178</f>
        <v>1.2.1</v>
      </c>
      <c r="B179" s="394" t="str">
        <f>+'003'!C178</f>
        <v>E058-P0850</v>
      </c>
      <c r="C179" s="394">
        <f>+'003'!D178</f>
        <v>1</v>
      </c>
      <c r="D179" s="394" t="str">
        <f>+'003'!E178</f>
        <v>21115-0100</v>
      </c>
      <c r="E179" s="394" t="str">
        <f>+'003'!F178</f>
        <v>1</v>
      </c>
      <c r="F179" s="394" t="str">
        <f>+'003'!G178</f>
        <v>3811</v>
      </c>
      <c r="G179" s="464" t="str">
        <f>+'003'!H178</f>
        <v>1.2.1/E058-P0850/1/21115-0100/1/3811  Gastos de ceremonial</v>
      </c>
      <c r="H179" s="396">
        <f>+'003'!J178</f>
        <v>28511.27</v>
      </c>
      <c r="I179" s="396">
        <f>+'003'!K178</f>
        <v>-28511.269999999997</v>
      </c>
      <c r="J179" s="396">
        <f>+'003'!L178</f>
        <v>0</v>
      </c>
      <c r="K179" s="396">
        <f>+'003'!M178</f>
        <v>0</v>
      </c>
      <c r="L179" s="396">
        <f>+'003'!N178</f>
        <v>0</v>
      </c>
      <c r="M179" s="396">
        <f>+'003'!O178</f>
        <v>0</v>
      </c>
      <c r="N179" s="396">
        <f>+'003'!P178</f>
        <v>0</v>
      </c>
      <c r="O179" s="396">
        <f t="shared" si="3"/>
        <v>0</v>
      </c>
    </row>
    <row r="180" spans="1:15">
      <c r="A180" s="394" t="str">
        <f>+'003'!B179</f>
        <v>1.2.1</v>
      </c>
      <c r="B180" s="394" t="str">
        <f>+'003'!C179</f>
        <v>E058-P0850</v>
      </c>
      <c r="C180" s="394">
        <f>+'003'!D179</f>
        <v>1</v>
      </c>
      <c r="D180" s="394" t="str">
        <f>+'003'!E179</f>
        <v>21115-0100</v>
      </c>
      <c r="E180" s="394" t="str">
        <f>+'003'!F179</f>
        <v>1</v>
      </c>
      <c r="F180" s="394" t="str">
        <f>+'003'!G179</f>
        <v>3831</v>
      </c>
      <c r="G180" s="464" t="str">
        <f>+'003'!H179</f>
        <v>1.2.1/E058-P0850/1/21115-0100/1/3831  Congresos y convenciones</v>
      </c>
      <c r="H180" s="396">
        <f>+'003'!J179</f>
        <v>513250.56</v>
      </c>
      <c r="I180" s="396">
        <f>+'003'!K179</f>
        <v>-508850.56000000006</v>
      </c>
      <c r="J180" s="396">
        <f>+'003'!L179</f>
        <v>4400</v>
      </c>
      <c r="K180" s="396">
        <f>+'003'!M179</f>
        <v>4400</v>
      </c>
      <c r="L180" s="396">
        <f>+'003'!N179</f>
        <v>4400</v>
      </c>
      <c r="M180" s="396">
        <f>+'003'!O179</f>
        <v>4400</v>
      </c>
      <c r="N180" s="396">
        <f>+'003'!P179</f>
        <v>4400</v>
      </c>
      <c r="O180" s="396">
        <f t="shared" si="3"/>
        <v>0</v>
      </c>
    </row>
    <row r="181" spans="1:15">
      <c r="A181" s="394" t="str">
        <f>+'003'!B180</f>
        <v>1.2.1</v>
      </c>
      <c r="B181" s="394" t="str">
        <f>+'003'!C180</f>
        <v>E058-P0850</v>
      </c>
      <c r="C181" s="394">
        <f>+'003'!D180</f>
        <v>1</v>
      </c>
      <c r="D181" s="394" t="str">
        <f>+'003'!E180</f>
        <v>21115-0100</v>
      </c>
      <c r="E181" s="394" t="str">
        <f>+'003'!F180</f>
        <v>1</v>
      </c>
      <c r="F181" s="394" t="str">
        <f>+'003'!G180</f>
        <v>3852</v>
      </c>
      <c r="G181" s="464" t="str">
        <f>+'003'!H180</f>
        <v>1.2.1/E058-P0850/1/21115-0100/1/3852  Gto Oficina SP</v>
      </c>
      <c r="H181" s="396">
        <f>+'003'!J180</f>
        <v>0</v>
      </c>
      <c r="I181" s="396">
        <f>+'003'!K180</f>
        <v>0</v>
      </c>
      <c r="J181" s="396">
        <f>+'003'!L180</f>
        <v>0</v>
      </c>
      <c r="K181" s="396">
        <f>+'003'!M180</f>
        <v>0</v>
      </c>
      <c r="L181" s="396">
        <f>+'003'!N180</f>
        <v>0</v>
      </c>
      <c r="M181" s="396">
        <f>+'003'!O180</f>
        <v>0</v>
      </c>
      <c r="N181" s="396">
        <f>+'003'!P180</f>
        <v>0</v>
      </c>
      <c r="O181" s="396">
        <f t="shared" si="3"/>
        <v>0</v>
      </c>
    </row>
    <row r="182" spans="1:15">
      <c r="A182" s="394" t="str">
        <f>+'003'!B181</f>
        <v>1.2.1</v>
      </c>
      <c r="B182" s="394" t="str">
        <f>+'003'!C181</f>
        <v>E058-P0850</v>
      </c>
      <c r="C182" s="394">
        <f>+'003'!D181</f>
        <v>1</v>
      </c>
      <c r="D182" s="394" t="str">
        <f>+'003'!E181</f>
        <v>21115-0100</v>
      </c>
      <c r="E182" s="394" t="str">
        <f>+'003'!F181</f>
        <v>1</v>
      </c>
      <c r="F182" s="394" t="str">
        <f>+'003'!G181</f>
        <v>3853</v>
      </c>
      <c r="G182" s="464" t="str">
        <f>+'003'!H181</f>
        <v>1.2.1/E058-P0850/1/21115-0100/1/3853  Gastos de representación</v>
      </c>
      <c r="H182" s="396">
        <f>+'003'!J181</f>
        <v>113309.19</v>
      </c>
      <c r="I182" s="396">
        <f>+'003'!K181</f>
        <v>-98253.189999999988</v>
      </c>
      <c r="J182" s="396">
        <f>+'003'!L181</f>
        <v>15056</v>
      </c>
      <c r="K182" s="396">
        <f>+'003'!M181</f>
        <v>15056</v>
      </c>
      <c r="L182" s="396">
        <f>+'003'!N181</f>
        <v>15056</v>
      </c>
      <c r="M182" s="396">
        <f>+'003'!O181</f>
        <v>15056</v>
      </c>
      <c r="N182" s="396">
        <f>+'003'!P181</f>
        <v>15056</v>
      </c>
      <c r="O182" s="396">
        <f t="shared" si="3"/>
        <v>0</v>
      </c>
    </row>
    <row r="183" spans="1:15">
      <c r="A183" s="394" t="str">
        <f>+'003'!B182</f>
        <v>1.2.1</v>
      </c>
      <c r="B183" s="394" t="str">
        <f>+'003'!C182</f>
        <v>E058-P0850</v>
      </c>
      <c r="C183" s="394">
        <f>+'003'!D182</f>
        <v>1</v>
      </c>
      <c r="D183" s="394" t="str">
        <f>+'003'!E182</f>
        <v>21115-0100</v>
      </c>
      <c r="E183" s="394" t="str">
        <f>+'003'!F182</f>
        <v>1</v>
      </c>
      <c r="F183" s="394" t="str">
        <f>+'003'!G182</f>
        <v>3981</v>
      </c>
      <c r="G183" s="464" t="str">
        <f>+'003'!H182</f>
        <v>1.2.1/E058-P0850/1/21115-0100/1/3981  Impuesto sobre nóminas</v>
      </c>
      <c r="H183" s="396">
        <f>+'003'!J182</f>
        <v>683417.93</v>
      </c>
      <c r="I183" s="396">
        <f>+'003'!K182</f>
        <v>119972.07999999999</v>
      </c>
      <c r="J183" s="396">
        <f>+'003'!L182</f>
        <v>803390.01</v>
      </c>
      <c r="K183" s="396">
        <f>+'003'!M182</f>
        <v>803390.01</v>
      </c>
      <c r="L183" s="396">
        <f>+'003'!N182</f>
        <v>803390.01</v>
      </c>
      <c r="M183" s="396">
        <f>+'003'!O182</f>
        <v>803390.01</v>
      </c>
      <c r="N183" s="396">
        <f>+'003'!P182</f>
        <v>803390.01</v>
      </c>
      <c r="O183" s="396">
        <f t="shared" si="3"/>
        <v>0</v>
      </c>
    </row>
    <row r="184" spans="1:15">
      <c r="A184" s="394" t="str">
        <f>+'003'!B183</f>
        <v>1.2.1</v>
      </c>
      <c r="B184" s="394" t="str">
        <f>+'003'!C183</f>
        <v>E058-P0850</v>
      </c>
      <c r="C184" s="394">
        <f>+'003'!D183</f>
        <v>1</v>
      </c>
      <c r="D184" s="394" t="str">
        <f>+'003'!E183</f>
        <v>21115-0100</v>
      </c>
      <c r="E184" s="394" t="str">
        <f>+'003'!F183</f>
        <v>2</v>
      </c>
      <c r="F184" s="394" t="str">
        <f>+'003'!G183</f>
        <v>5111</v>
      </c>
      <c r="G184" s="464" t="str">
        <f>+'003'!H183</f>
        <v>1.2.1/E058-P0850/1/21115-0100/2/5111  Muebles de oficina</v>
      </c>
      <c r="H184" s="396">
        <f>+'003'!J183</f>
        <v>0</v>
      </c>
      <c r="I184" s="396">
        <f>+'003'!K183</f>
        <v>297593.40999999997</v>
      </c>
      <c r="J184" s="396">
        <f>+'003'!L183</f>
        <v>297593.40999999997</v>
      </c>
      <c r="K184" s="396">
        <f>+'003'!M183</f>
        <v>297593.40999999997</v>
      </c>
      <c r="L184" s="396">
        <f>+'003'!N183</f>
        <v>297593.40999999997</v>
      </c>
      <c r="M184" s="396">
        <f>+'003'!O183</f>
        <v>297593.40999999997</v>
      </c>
      <c r="N184" s="396">
        <f>+'003'!P183</f>
        <v>297593.40999999997</v>
      </c>
      <c r="O184" s="396">
        <f t="shared" si="3"/>
        <v>0</v>
      </c>
    </row>
    <row r="185" spans="1:15">
      <c r="A185" s="394" t="str">
        <f>+'003'!B184</f>
        <v>1.2.1</v>
      </c>
      <c r="B185" s="394" t="str">
        <f>+'003'!C184</f>
        <v>E058-P0850</v>
      </c>
      <c r="C185" s="394">
        <f>+'003'!D184</f>
        <v>1</v>
      </c>
      <c r="D185" s="394" t="str">
        <f>+'003'!E184</f>
        <v>21115-0100</v>
      </c>
      <c r="E185" s="394" t="str">
        <f>+'003'!F184</f>
        <v>2</v>
      </c>
      <c r="F185" s="394" t="str">
        <f>+'003'!G184</f>
        <v>5151</v>
      </c>
      <c r="G185" s="464" t="str">
        <f>+'003'!H184</f>
        <v>1.2.1/E058-P0850/1/21115-0100/2/5151  Computadoras</v>
      </c>
      <c r="H185" s="396">
        <f>+'003'!J184</f>
        <v>69902.47</v>
      </c>
      <c r="I185" s="396">
        <f>+'003'!K184</f>
        <v>769349.2</v>
      </c>
      <c r="J185" s="396">
        <f>+'003'!L184</f>
        <v>839251.67</v>
      </c>
      <c r="K185" s="396">
        <f>+'003'!M184</f>
        <v>839251.67</v>
      </c>
      <c r="L185" s="396">
        <f>+'003'!N184</f>
        <v>839251.67</v>
      </c>
      <c r="M185" s="396">
        <f>+'003'!O184</f>
        <v>839251.67</v>
      </c>
      <c r="N185" s="396">
        <f>+'003'!P184</f>
        <v>839251.67</v>
      </c>
      <c r="O185" s="396">
        <f t="shared" si="3"/>
        <v>0</v>
      </c>
    </row>
    <row r="186" spans="1:15">
      <c r="A186" s="394" t="str">
        <f>+'003'!B185</f>
        <v>1.2.1</v>
      </c>
      <c r="B186" s="394" t="str">
        <f>+'003'!C185</f>
        <v>E058-P0850</v>
      </c>
      <c r="C186" s="394">
        <f>+'003'!D185</f>
        <v>1</v>
      </c>
      <c r="D186" s="394" t="str">
        <f>+'003'!E185</f>
        <v>21115-0100</v>
      </c>
      <c r="E186" s="394" t="str">
        <f>+'003'!F185</f>
        <v>2</v>
      </c>
      <c r="F186" s="394" t="str">
        <f>+'003'!G185</f>
        <v>5191</v>
      </c>
      <c r="G186" s="464" t="str">
        <f>+'003'!H185</f>
        <v>1.2.1/E058-P0850/1/21115-0100/2/5191  Otros mobiliarios</v>
      </c>
      <c r="H186" s="396">
        <f>+'003'!J185</f>
        <v>0</v>
      </c>
      <c r="I186" s="396">
        <f>+'003'!K185</f>
        <v>14103.47</v>
      </c>
      <c r="J186" s="396">
        <f>+'003'!L185</f>
        <v>14103.47</v>
      </c>
      <c r="K186" s="396">
        <f>+'003'!M185</f>
        <v>14103.47</v>
      </c>
      <c r="L186" s="396">
        <f>+'003'!N185</f>
        <v>14103.47</v>
      </c>
      <c r="M186" s="396">
        <f>+'003'!O185</f>
        <v>14103.47</v>
      </c>
      <c r="N186" s="396">
        <f>+'003'!P185</f>
        <v>14103.47</v>
      </c>
      <c r="O186" s="396">
        <f t="shared" si="3"/>
        <v>0</v>
      </c>
    </row>
    <row r="187" spans="1:15">
      <c r="A187" s="394" t="str">
        <f>+'003'!B186</f>
        <v>1.2.1</v>
      </c>
      <c r="B187" s="394" t="str">
        <f>+'003'!C186</f>
        <v>E058-P0850</v>
      </c>
      <c r="C187" s="394">
        <f>+'003'!D186</f>
        <v>1</v>
      </c>
      <c r="D187" s="394" t="str">
        <f>+'003'!E186</f>
        <v>21115-0100</v>
      </c>
      <c r="E187" s="394" t="str">
        <f>+'003'!F186</f>
        <v>2</v>
      </c>
      <c r="F187" s="394" t="str">
        <f>+'003'!G186</f>
        <v>5411</v>
      </c>
      <c r="G187" s="464" t="str">
        <f>+'003'!H186</f>
        <v>1.2.1/E058-P0850/1/21115-0100/2/5411  Automóviles y camiones</v>
      </c>
      <c r="H187" s="396">
        <f>+'003'!J186</f>
        <v>424715.35</v>
      </c>
      <c r="I187" s="396">
        <f>+'003'!K186</f>
        <v>443782.65000000014</v>
      </c>
      <c r="J187" s="396">
        <f>+'003'!L186</f>
        <v>868498</v>
      </c>
      <c r="K187" s="396">
        <f>+'003'!M186</f>
        <v>868498</v>
      </c>
      <c r="L187" s="396">
        <f>+'003'!N186</f>
        <v>868498</v>
      </c>
      <c r="M187" s="396">
        <f>+'003'!O186</f>
        <v>868498</v>
      </c>
      <c r="N187" s="396">
        <f>+'003'!P186</f>
        <v>868498</v>
      </c>
      <c r="O187" s="396">
        <f t="shared" si="3"/>
        <v>0</v>
      </c>
    </row>
    <row r="188" spans="1:15">
      <c r="A188" s="394" t="str">
        <f>+'003'!B187</f>
        <v>1.2.1</v>
      </c>
      <c r="B188" s="394" t="str">
        <f>+'003'!C187</f>
        <v>E058-P0850</v>
      </c>
      <c r="C188" s="394">
        <f>+'003'!D187</f>
        <v>1</v>
      </c>
      <c r="D188" s="394" t="str">
        <f>+'003'!E187</f>
        <v>21115-0100</v>
      </c>
      <c r="E188" s="394" t="str">
        <f>+'003'!F187</f>
        <v>2</v>
      </c>
      <c r="F188" s="394" t="str">
        <f>+'003'!G187</f>
        <v>5651</v>
      </c>
      <c r="G188" s="464" t="str">
        <f>+'003'!H187</f>
        <v>1.2.1/E058-P0850/1/21115-0100/2/5651  Eq Comunicación</v>
      </c>
      <c r="H188" s="396">
        <f>+'003'!J187</f>
        <v>0</v>
      </c>
      <c r="I188" s="396">
        <f>+'003'!K187</f>
        <v>4000.84</v>
      </c>
      <c r="J188" s="396">
        <f>+'003'!L187</f>
        <v>4000.84</v>
      </c>
      <c r="K188" s="396">
        <f>+'003'!M187</f>
        <v>4000.84</v>
      </c>
      <c r="L188" s="396">
        <f>+'003'!N187</f>
        <v>4000.84</v>
      </c>
      <c r="M188" s="396">
        <f>+'003'!O187</f>
        <v>4000.84</v>
      </c>
      <c r="N188" s="396">
        <f>+'003'!P187</f>
        <v>4000.84</v>
      </c>
      <c r="O188" s="396">
        <f t="shared" si="3"/>
        <v>0</v>
      </c>
    </row>
    <row r="189" spans="1:15">
      <c r="A189" s="394" t="str">
        <f>+'003'!B188</f>
        <v>1.2.1</v>
      </c>
      <c r="B189" s="394" t="str">
        <f>+'003'!C188</f>
        <v>E058-P0850</v>
      </c>
      <c r="C189" s="394">
        <f>+'003'!D188</f>
        <v>1</v>
      </c>
      <c r="D189" s="394" t="str">
        <f>+'003'!E188</f>
        <v>21115-0105</v>
      </c>
      <c r="E189" s="394" t="str">
        <f>+'003'!F188</f>
        <v>1</v>
      </c>
      <c r="F189" s="394" t="str">
        <f>+'003'!G188</f>
        <v>1321</v>
      </c>
      <c r="G189" s="464" t="str">
        <f>+'003'!H188</f>
        <v>1.2.1/E058-P0850/1/21115-0105/1/1321  Prima Vacacional</v>
      </c>
      <c r="H189" s="396">
        <f>+'003'!J188</f>
        <v>0</v>
      </c>
      <c r="I189" s="396">
        <f>+'003'!K188</f>
        <v>0</v>
      </c>
      <c r="J189" s="396">
        <f>+'003'!L188</f>
        <v>0</v>
      </c>
      <c r="K189" s="396">
        <f>+'003'!M188</f>
        <v>0</v>
      </c>
      <c r="L189" s="396">
        <f>+'003'!N188</f>
        <v>0</v>
      </c>
      <c r="M189" s="396">
        <f>+'003'!O188</f>
        <v>0</v>
      </c>
      <c r="N189" s="396">
        <f>+'003'!P188</f>
        <v>0</v>
      </c>
      <c r="O189" s="396">
        <f t="shared" si="3"/>
        <v>0</v>
      </c>
    </row>
    <row r="190" spans="1:15">
      <c r="A190" s="394" t="str">
        <f>+'003'!B189</f>
        <v>1.2.1</v>
      </c>
      <c r="B190" s="394" t="str">
        <f>+'003'!C189</f>
        <v>E058-P0850</v>
      </c>
      <c r="C190" s="394">
        <f>+'003'!D189</f>
        <v>1</v>
      </c>
      <c r="D190" s="394" t="str">
        <f>+'003'!E189</f>
        <v>21115-0105</v>
      </c>
      <c r="E190" s="394" t="str">
        <f>+'003'!F189</f>
        <v>1</v>
      </c>
      <c r="F190" s="394" t="str">
        <f>+'003'!G189</f>
        <v>2112</v>
      </c>
      <c r="G190" s="464" t="str">
        <f>+'003'!H189</f>
        <v>1.2.1/E058-P0850/1/21115-0105/1/2112  Equipos menores de oficina</v>
      </c>
      <c r="H190" s="396">
        <f>+'003'!J189</f>
        <v>0</v>
      </c>
      <c r="I190" s="396">
        <f>+'003'!K189</f>
        <v>0</v>
      </c>
      <c r="J190" s="396">
        <f>+'003'!L189</f>
        <v>0</v>
      </c>
      <c r="K190" s="396">
        <f>+'003'!M189</f>
        <v>0</v>
      </c>
      <c r="L190" s="396">
        <f>+'003'!N189</f>
        <v>0</v>
      </c>
      <c r="M190" s="396">
        <f>+'003'!O189</f>
        <v>0</v>
      </c>
      <c r="N190" s="396">
        <f>+'003'!P189</f>
        <v>0</v>
      </c>
      <c r="O190" s="396">
        <f t="shared" si="3"/>
        <v>0</v>
      </c>
    </row>
    <row r="191" spans="1:15">
      <c r="A191" s="394" t="str">
        <f>+'003'!B190</f>
        <v>1.2.1</v>
      </c>
      <c r="B191" s="394" t="str">
        <f>+'003'!C190</f>
        <v>E058-P0850</v>
      </c>
      <c r="C191" s="394">
        <f>+'003'!D190</f>
        <v>2</v>
      </c>
      <c r="D191" s="394" t="str">
        <f>+'003'!E190</f>
        <v>21115-0105</v>
      </c>
      <c r="E191" s="394" t="str">
        <f>+'003'!F190</f>
        <v>1</v>
      </c>
      <c r="F191" s="394" t="str">
        <f>+'003'!G190</f>
        <v>3471</v>
      </c>
      <c r="G191" s="464" t="str">
        <f>+'003'!H190</f>
        <v>1.2.1/E058-P0850/2/21115-0105/1/3471  Fletes y maniobras</v>
      </c>
      <c r="H191" s="396">
        <f>+'003'!J190</f>
        <v>0</v>
      </c>
      <c r="I191" s="396">
        <f>+'003'!K190</f>
        <v>0</v>
      </c>
      <c r="J191" s="396">
        <f>+'003'!L190</f>
        <v>0</v>
      </c>
      <c r="K191" s="396">
        <f>+'003'!M190</f>
        <v>0</v>
      </c>
      <c r="L191" s="396">
        <f>+'003'!N190</f>
        <v>0</v>
      </c>
      <c r="M191" s="396">
        <f>+'003'!O190</f>
        <v>0</v>
      </c>
      <c r="N191" s="396">
        <f>+'003'!P190</f>
        <v>0</v>
      </c>
      <c r="O191" s="396">
        <f t="shared" ref="O191:O192" si="4">+J191-L191</f>
        <v>0</v>
      </c>
    </row>
    <row r="192" spans="1:15">
      <c r="A192" s="394" t="str">
        <f>+'003'!B191</f>
        <v>1.2.1</v>
      </c>
      <c r="B192" s="394" t="str">
        <f>+'003'!C191</f>
        <v>E058-P0850</v>
      </c>
      <c r="C192" s="394">
        <f>+'003'!D191</f>
        <v>3</v>
      </c>
      <c r="D192" s="394" t="str">
        <f>+'003'!E191</f>
        <v>21115-0105</v>
      </c>
      <c r="E192" s="394" t="str">
        <f>+'003'!F191</f>
        <v>1</v>
      </c>
      <c r="F192" s="394" t="str">
        <f>+'003'!G191</f>
        <v>3921</v>
      </c>
      <c r="G192" s="464" t="str">
        <f>+'003'!H191</f>
        <v>1.2.1/E058-P0850/3/21115-0105/1/3921  Otros impuestos y derechos</v>
      </c>
      <c r="H192" s="396">
        <f>+'003'!J191</f>
        <v>0</v>
      </c>
      <c r="I192" s="396">
        <f>+'003'!K191</f>
        <v>0</v>
      </c>
      <c r="J192" s="396">
        <f>+'003'!L191</f>
        <v>0</v>
      </c>
      <c r="K192" s="396">
        <f>+'003'!M191</f>
        <v>0</v>
      </c>
      <c r="L192" s="396">
        <f>+'003'!N191</f>
        <v>0</v>
      </c>
      <c r="M192" s="396">
        <f>+'003'!O191</f>
        <v>0</v>
      </c>
      <c r="N192" s="396">
        <f>+'003'!P191</f>
        <v>0</v>
      </c>
      <c r="O192" s="396">
        <f t="shared" si="4"/>
        <v>0</v>
      </c>
    </row>
    <row r="193" spans="1:15">
      <c r="A193" s="394" t="str">
        <f>+'003'!B192</f>
        <v>1.2.1</v>
      </c>
      <c r="B193" s="394" t="str">
        <f>+'003'!C192</f>
        <v>E058-P0850</v>
      </c>
      <c r="C193" s="394">
        <f>+'003'!D192</f>
        <v>5</v>
      </c>
      <c r="D193" s="394" t="str">
        <f>+'003'!E192</f>
        <v>21115-0110</v>
      </c>
      <c r="E193" s="394" t="str">
        <f>+'003'!F192</f>
        <v>1</v>
      </c>
      <c r="F193" s="394" t="str">
        <f>+'003'!G192</f>
        <v>3341</v>
      </c>
      <c r="G193" s="464" t="str">
        <f>+'003'!H192</f>
        <v>1.2.1/E058-P0850/5/21115-0110/1/3341  Servicios de capacitación</v>
      </c>
      <c r="H193" s="396">
        <f>+'003'!J192</f>
        <v>0</v>
      </c>
      <c r="I193" s="396">
        <f>+'003'!K192</f>
        <v>0</v>
      </c>
      <c r="J193" s="396">
        <f>+'003'!L192</f>
        <v>0</v>
      </c>
      <c r="K193" s="396">
        <f>+'003'!M192</f>
        <v>0</v>
      </c>
      <c r="L193" s="396">
        <f>+'003'!N192</f>
        <v>0</v>
      </c>
      <c r="M193" s="396">
        <f>+'003'!O192</f>
        <v>0</v>
      </c>
      <c r="N193" s="396">
        <f>+'003'!P192</f>
        <v>0</v>
      </c>
      <c r="O193" s="396">
        <f t="shared" ref="O193:O203" si="5">+J193-L193</f>
        <v>0</v>
      </c>
    </row>
    <row r="194" spans="1:15">
      <c r="A194" s="394" t="str">
        <f>+'003'!B193</f>
        <v>1.2.1</v>
      </c>
      <c r="B194" s="394" t="str">
        <f>+'003'!C193</f>
        <v>E058-P2039</v>
      </c>
      <c r="C194" s="394">
        <f>+'003'!D193</f>
        <v>10</v>
      </c>
      <c r="D194" s="394" t="str">
        <f>+'003'!E193</f>
        <v>21115-0107</v>
      </c>
      <c r="E194" s="394" t="str">
        <f>+'003'!F193</f>
        <v>1</v>
      </c>
      <c r="F194" s="394" t="str">
        <f>+'003'!G193</f>
        <v>1131</v>
      </c>
      <c r="G194" s="464" t="str">
        <f>+'003'!H193</f>
        <v>1.2.1/E058-P2039/10/21115-0107/1/1131  Sueldos Base</v>
      </c>
      <c r="H194" s="396">
        <f>+'003'!J193</f>
        <v>0</v>
      </c>
      <c r="I194" s="396">
        <f>+'003'!K193</f>
        <v>0</v>
      </c>
      <c r="J194" s="396">
        <f>+'003'!L193</f>
        <v>0</v>
      </c>
      <c r="K194" s="396">
        <f>+'003'!M193</f>
        <v>0</v>
      </c>
      <c r="L194" s="396">
        <f>+'003'!N193</f>
        <v>0</v>
      </c>
      <c r="M194" s="396">
        <f>+'003'!O193</f>
        <v>0</v>
      </c>
      <c r="N194" s="396">
        <f>+'003'!P193</f>
        <v>0</v>
      </c>
      <c r="O194" s="396">
        <f t="shared" si="5"/>
        <v>0</v>
      </c>
    </row>
    <row r="195" spans="1:15">
      <c r="A195" s="394" t="str">
        <f>+'003'!B194</f>
        <v>1.2.1</v>
      </c>
      <c r="B195" s="394" t="str">
        <f>+'003'!C194</f>
        <v>E058-P2039</v>
      </c>
      <c r="C195" s="394">
        <f>+'003'!D194</f>
        <v>11</v>
      </c>
      <c r="D195" s="394" t="str">
        <f>+'003'!E194</f>
        <v>21115-0107</v>
      </c>
      <c r="E195" s="394" t="str">
        <f>+'003'!F194</f>
        <v>1</v>
      </c>
      <c r="F195" s="394" t="str">
        <f>+'003'!G194</f>
        <v>1321</v>
      </c>
      <c r="G195" s="464" t="str">
        <f>+'003'!H194</f>
        <v>1.2.1/E058-P2039/11/21115-0107/1/1321  Prima Vacacional</v>
      </c>
      <c r="H195" s="396">
        <f>+'003'!J194</f>
        <v>0</v>
      </c>
      <c r="I195" s="396">
        <f>+'003'!K194</f>
        <v>0</v>
      </c>
      <c r="J195" s="396">
        <f>+'003'!L194</f>
        <v>0</v>
      </c>
      <c r="K195" s="396">
        <f>+'003'!M194</f>
        <v>0</v>
      </c>
      <c r="L195" s="396">
        <f>+'003'!N194</f>
        <v>0</v>
      </c>
      <c r="M195" s="396">
        <f>+'003'!O194</f>
        <v>0</v>
      </c>
      <c r="N195" s="396">
        <f>+'003'!P194</f>
        <v>0</v>
      </c>
      <c r="O195" s="396">
        <f t="shared" si="5"/>
        <v>0</v>
      </c>
    </row>
    <row r="196" spans="1:15">
      <c r="A196" s="394" t="str">
        <f>+'003'!B195</f>
        <v>1.2.1</v>
      </c>
      <c r="B196" s="394" t="str">
        <f>+'003'!C195</f>
        <v>E058-P2039</v>
      </c>
      <c r="C196" s="394">
        <f>+'003'!D195</f>
        <v>12</v>
      </c>
      <c r="D196" s="394" t="str">
        <f>+'003'!E195</f>
        <v>21115-0107</v>
      </c>
      <c r="E196" s="394" t="str">
        <f>+'003'!F195</f>
        <v>1</v>
      </c>
      <c r="F196" s="394" t="str">
        <f>+'003'!G195</f>
        <v>1323</v>
      </c>
      <c r="G196" s="464" t="str">
        <f>+'003'!H195</f>
        <v>1.2.1/E058-P2039/12/21115-0107/1/1323  Gratificación de fin de año</v>
      </c>
      <c r="H196" s="396">
        <f>+'003'!J195</f>
        <v>0</v>
      </c>
      <c r="I196" s="396">
        <f>+'003'!K195</f>
        <v>0</v>
      </c>
      <c r="J196" s="396">
        <f>+'003'!L195</f>
        <v>0</v>
      </c>
      <c r="K196" s="396">
        <f>+'003'!M195</f>
        <v>0</v>
      </c>
      <c r="L196" s="396">
        <f>+'003'!N195</f>
        <v>0</v>
      </c>
      <c r="M196" s="396">
        <f>+'003'!O195</f>
        <v>0</v>
      </c>
      <c r="N196" s="396">
        <f>+'003'!P195</f>
        <v>0</v>
      </c>
      <c r="O196" s="396">
        <f t="shared" si="5"/>
        <v>0</v>
      </c>
    </row>
    <row r="197" spans="1:15">
      <c r="A197" s="394" t="str">
        <f>+'003'!B196</f>
        <v>1.2.1</v>
      </c>
      <c r="B197" s="394" t="str">
        <f>+'003'!C196</f>
        <v>E058-P2039</v>
      </c>
      <c r="C197" s="394">
        <f>+'003'!D196</f>
        <v>13</v>
      </c>
      <c r="D197" s="394" t="str">
        <f>+'003'!E196</f>
        <v>21115-0107</v>
      </c>
      <c r="E197" s="394" t="str">
        <f>+'003'!F196</f>
        <v>1</v>
      </c>
      <c r="F197" s="394" t="str">
        <f>+'003'!G196</f>
        <v>1342</v>
      </c>
      <c r="G197" s="464" t="str">
        <f>+'003'!H196</f>
        <v>1.2.1/E058-P2039/13/21115-0107/1/1342  Compensaciones por servicios</v>
      </c>
      <c r="H197" s="396">
        <f>+'003'!J196</f>
        <v>0</v>
      </c>
      <c r="I197" s="396">
        <f>+'003'!K196</f>
        <v>10957.559999999998</v>
      </c>
      <c r="J197" s="396">
        <f>+'003'!L196</f>
        <v>10957.56</v>
      </c>
      <c r="K197" s="396">
        <f>+'003'!M196</f>
        <v>10957.56</v>
      </c>
      <c r="L197" s="396">
        <f>+'003'!N196</f>
        <v>10957.56</v>
      </c>
      <c r="M197" s="396">
        <f>+'003'!O196</f>
        <v>10957.56</v>
      </c>
      <c r="N197" s="396">
        <f>+'003'!P196</f>
        <v>10957.56</v>
      </c>
      <c r="O197" s="396">
        <f t="shared" si="5"/>
        <v>0</v>
      </c>
    </row>
    <row r="198" spans="1:15">
      <c r="A198" s="394" t="str">
        <f>+'003'!B197</f>
        <v>1.2.1</v>
      </c>
      <c r="B198" s="394" t="str">
        <f>+'003'!C197</f>
        <v>E058-P2039</v>
      </c>
      <c r="C198" s="394">
        <f>+'003'!D197</f>
        <v>14</v>
      </c>
      <c r="D198" s="394" t="str">
        <f>+'003'!E197</f>
        <v>21115-0107</v>
      </c>
      <c r="E198" s="394" t="str">
        <f>+'003'!F197</f>
        <v>1</v>
      </c>
      <c r="F198" s="394" t="str">
        <f>+'003'!G197</f>
        <v>1411</v>
      </c>
      <c r="G198" s="464" t="str">
        <f>+'003'!H197</f>
        <v>1.2.1/E058-P2039/14/21115-0107/1/1411  Aportaciones al ISSEG</v>
      </c>
      <c r="H198" s="396">
        <f>+'003'!J197</f>
        <v>0</v>
      </c>
      <c r="I198" s="396">
        <f>+'003'!K197</f>
        <v>0</v>
      </c>
      <c r="J198" s="396">
        <f>+'003'!L197</f>
        <v>0</v>
      </c>
      <c r="K198" s="396">
        <f>+'003'!M197</f>
        <v>0</v>
      </c>
      <c r="L198" s="396">
        <f>+'003'!N197</f>
        <v>0</v>
      </c>
      <c r="M198" s="396">
        <f>+'003'!O197</f>
        <v>0</v>
      </c>
      <c r="N198" s="396">
        <f>+'003'!P197</f>
        <v>0</v>
      </c>
      <c r="O198" s="396">
        <f t="shared" si="5"/>
        <v>0</v>
      </c>
    </row>
    <row r="199" spans="1:15">
      <c r="A199" s="394" t="str">
        <f>+'003'!B198</f>
        <v>1.2.1</v>
      </c>
      <c r="B199" s="394" t="str">
        <f>+'003'!C198</f>
        <v>E058-P2039</v>
      </c>
      <c r="C199" s="394">
        <f>+'003'!D198</f>
        <v>15</v>
      </c>
      <c r="D199" s="394" t="str">
        <f>+'003'!E198</f>
        <v>21115-0107</v>
      </c>
      <c r="E199" s="394" t="str">
        <f>+'003'!F198</f>
        <v>1</v>
      </c>
      <c r="F199" s="394" t="str">
        <f>+'003'!G198</f>
        <v>1412</v>
      </c>
      <c r="G199" s="464" t="str">
        <f>+'003'!H198</f>
        <v>1.2.1/E058-P2039/15/21115-0107/1/1412  Cuotas al ISSSTE</v>
      </c>
      <c r="H199" s="396">
        <f>+'003'!J198</f>
        <v>0</v>
      </c>
      <c r="I199" s="396">
        <f>+'003'!K198</f>
        <v>0</v>
      </c>
      <c r="J199" s="396">
        <f>+'003'!L198</f>
        <v>0</v>
      </c>
      <c r="K199" s="396">
        <f>+'003'!M198</f>
        <v>0</v>
      </c>
      <c r="L199" s="396">
        <f>+'003'!N198</f>
        <v>0</v>
      </c>
      <c r="M199" s="396">
        <f>+'003'!O198</f>
        <v>0</v>
      </c>
      <c r="N199" s="396">
        <f>+'003'!P198</f>
        <v>0</v>
      </c>
      <c r="O199" s="396">
        <f t="shared" si="5"/>
        <v>0</v>
      </c>
    </row>
    <row r="200" spans="1:15">
      <c r="A200" s="394" t="str">
        <f>+'003'!B199</f>
        <v>1.2.1</v>
      </c>
      <c r="B200" s="394" t="str">
        <f>+'003'!C199</f>
        <v>E058-P2039</v>
      </c>
      <c r="C200" s="394">
        <f>+'003'!D199</f>
        <v>16</v>
      </c>
      <c r="D200" s="394" t="str">
        <f>+'003'!E199</f>
        <v>21115-0107</v>
      </c>
      <c r="E200" s="394" t="str">
        <f>+'003'!F199</f>
        <v>1</v>
      </c>
      <c r="F200" s="394" t="str">
        <f>+'003'!G199</f>
        <v>1541</v>
      </c>
      <c r="G200" s="464" t="str">
        <f>+'003'!H199</f>
        <v>1.2.1/E058-P2039/16/21115-0107/1/1541  Prestaciones CGT</v>
      </c>
      <c r="H200" s="396">
        <f>+'003'!J199</f>
        <v>0</v>
      </c>
      <c r="I200" s="396">
        <f>+'003'!K199</f>
        <v>0</v>
      </c>
      <c r="J200" s="396">
        <f>+'003'!L199</f>
        <v>0</v>
      </c>
      <c r="K200" s="396">
        <f>+'003'!M199</f>
        <v>0</v>
      </c>
      <c r="L200" s="396">
        <f>+'003'!N199</f>
        <v>0</v>
      </c>
      <c r="M200" s="396">
        <f>+'003'!O199</f>
        <v>0</v>
      </c>
      <c r="N200" s="396">
        <f>+'003'!P199</f>
        <v>0</v>
      </c>
      <c r="O200" s="396">
        <f t="shared" si="5"/>
        <v>0</v>
      </c>
    </row>
    <row r="201" spans="1:15">
      <c r="A201" s="394" t="str">
        <f>+'003'!B200</f>
        <v>1.2.1</v>
      </c>
      <c r="B201" s="394" t="str">
        <f>+'003'!C200</f>
        <v>E058-P2039</v>
      </c>
      <c r="C201" s="394">
        <f>+'003'!D200</f>
        <v>17</v>
      </c>
      <c r="D201" s="394" t="str">
        <f>+'003'!E200</f>
        <v>21115-0107</v>
      </c>
      <c r="E201" s="394" t="str">
        <f>+'003'!F200</f>
        <v>1</v>
      </c>
      <c r="F201" s="394" t="str">
        <f>+'003'!G200</f>
        <v>1592</v>
      </c>
      <c r="G201" s="464" t="str">
        <f>+'003'!H200</f>
        <v>1.2.1/E058-P2039/17/21115-0107/1/1592  Otras prestaciones</v>
      </c>
      <c r="H201" s="396">
        <f>+'003'!J200</f>
        <v>0</v>
      </c>
      <c r="I201" s="396">
        <f>+'003'!K200</f>
        <v>14850</v>
      </c>
      <c r="J201" s="396">
        <f>+'003'!L200</f>
        <v>14850</v>
      </c>
      <c r="K201" s="396">
        <f>+'003'!M200</f>
        <v>14850</v>
      </c>
      <c r="L201" s="396">
        <f>+'003'!N200</f>
        <v>14850</v>
      </c>
      <c r="M201" s="396">
        <f>+'003'!O200</f>
        <v>14850</v>
      </c>
      <c r="N201" s="396">
        <f>+'003'!P200</f>
        <v>14850</v>
      </c>
      <c r="O201" s="396">
        <f t="shared" si="5"/>
        <v>0</v>
      </c>
    </row>
    <row r="202" spans="1:15">
      <c r="A202" s="394" t="str">
        <f>+'003'!B201</f>
        <v>1.2.1</v>
      </c>
      <c r="B202" s="394" t="str">
        <f>+'003'!C201</f>
        <v>E058-P2039</v>
      </c>
      <c r="C202" s="394">
        <f>+'003'!D201</f>
        <v>18</v>
      </c>
      <c r="D202" s="394" t="str">
        <f>+'003'!E201</f>
        <v>21115-0107</v>
      </c>
      <c r="E202" s="394" t="str">
        <f>+'003'!F201</f>
        <v>1</v>
      </c>
      <c r="F202" s="394" t="str">
        <f>+'003'!G201</f>
        <v>3221</v>
      </c>
      <c r="G202" s="464" t="str">
        <f>+'003'!H201</f>
        <v>1.2.1/E058-P2039/18/21115-0107/1/3221  Arrendam Edificios</v>
      </c>
      <c r="H202" s="396">
        <f>+'003'!J201</f>
        <v>0</v>
      </c>
      <c r="I202" s="396">
        <f>+'003'!K201</f>
        <v>0</v>
      </c>
      <c r="J202" s="396">
        <f>+'003'!L201</f>
        <v>0</v>
      </c>
      <c r="K202" s="396">
        <f>+'003'!M201</f>
        <v>0</v>
      </c>
      <c r="L202" s="396">
        <f>+'003'!N201</f>
        <v>0</v>
      </c>
      <c r="M202" s="396">
        <f>+'003'!O201</f>
        <v>0</v>
      </c>
      <c r="N202" s="396">
        <f>+'003'!P201</f>
        <v>0</v>
      </c>
      <c r="O202" s="396">
        <f t="shared" si="5"/>
        <v>0</v>
      </c>
    </row>
    <row r="203" spans="1:15">
      <c r="A203" s="394" t="str">
        <f>+'003'!B202</f>
        <v>1.2.2</v>
      </c>
      <c r="B203" s="394" t="str">
        <f>+'003'!C202</f>
        <v>E058-P2039</v>
      </c>
      <c r="C203" s="394">
        <f>+'003'!D202</f>
        <v>23</v>
      </c>
      <c r="D203" s="394" t="str">
        <f>+'003'!E202</f>
        <v>21115-0100</v>
      </c>
      <c r="E203" s="394" t="str">
        <f>+'003'!F202</f>
        <v>1</v>
      </c>
      <c r="F203" s="394" t="str">
        <f>+'003'!G202</f>
        <v>1411</v>
      </c>
      <c r="G203" s="464" t="str">
        <f>+'003'!H202</f>
        <v>1.2.2/E058-P2039/23/21115-0100/1/1411  Aportaciones al ISSEG</v>
      </c>
      <c r="H203" s="396">
        <f>+'003'!J202</f>
        <v>0</v>
      </c>
      <c r="I203" s="396">
        <f>+'003'!K202</f>
        <v>0</v>
      </c>
      <c r="J203" s="396">
        <f>+'003'!L202</f>
        <v>0</v>
      </c>
      <c r="K203" s="396">
        <f>+'003'!M202</f>
        <v>0</v>
      </c>
      <c r="L203" s="396">
        <f>+'003'!N202</f>
        <v>0</v>
      </c>
      <c r="M203" s="396">
        <f>+'003'!O202</f>
        <v>0</v>
      </c>
      <c r="N203" s="396">
        <f>+'003'!P202</f>
        <v>0</v>
      </c>
      <c r="O203" s="396">
        <f t="shared" si="5"/>
        <v>0</v>
      </c>
    </row>
    <row r="204" spans="1:15">
      <c r="A204" s="394" t="str">
        <f>+'003'!B203</f>
        <v>1.2.2</v>
      </c>
      <c r="B204" s="394" t="str">
        <f>+'003'!C203</f>
        <v>E058-P2039</v>
      </c>
      <c r="C204" s="394">
        <f>+'003'!D203</f>
        <v>25</v>
      </c>
      <c r="D204" s="394" t="str">
        <f>+'003'!E203</f>
        <v>21115-0107</v>
      </c>
      <c r="E204" s="394" t="str">
        <f>+'003'!F203</f>
        <v>1</v>
      </c>
      <c r="F204" s="394" t="str">
        <f>+'003'!G203</f>
        <v>1131</v>
      </c>
      <c r="G204" s="464" t="str">
        <f>+'003'!H203</f>
        <v>1.2.2/E058-P2039/25/21115-0107/1/1131  Sueldos Base</v>
      </c>
      <c r="H204" s="396">
        <f>+'003'!J203</f>
        <v>1574976.86</v>
      </c>
      <c r="I204" s="396">
        <f>+'003'!K203</f>
        <v>-3090.2900000000373</v>
      </c>
      <c r="J204" s="396">
        <f>+'003'!L203</f>
        <v>1571886.57</v>
      </c>
      <c r="K204" s="396">
        <f>+'003'!M203</f>
        <v>1571886.57</v>
      </c>
      <c r="L204" s="396">
        <f>+'003'!N203</f>
        <v>1571886.57</v>
      </c>
      <c r="M204" s="396">
        <f>+'003'!O203</f>
        <v>1571886.57</v>
      </c>
      <c r="N204" s="396">
        <f>+'003'!P203</f>
        <v>1571886.57</v>
      </c>
      <c r="O204" s="396">
        <f t="shared" ref="O204:O216" si="6">+J204-L204</f>
        <v>0</v>
      </c>
    </row>
    <row r="205" spans="1:15">
      <c r="A205" s="394" t="str">
        <f>+'003'!B204</f>
        <v>1.2.2</v>
      </c>
      <c r="B205" s="394" t="str">
        <f>+'003'!C204</f>
        <v>E058-P2039</v>
      </c>
      <c r="C205" s="394">
        <f>+'003'!D204</f>
        <v>26</v>
      </c>
      <c r="D205" s="394" t="str">
        <f>+'003'!E204</f>
        <v>21115-0107</v>
      </c>
      <c r="E205" s="394" t="str">
        <f>+'003'!F204</f>
        <v>1</v>
      </c>
      <c r="F205" s="394" t="str">
        <f>+'003'!G204</f>
        <v>1212</v>
      </c>
      <c r="G205" s="464" t="str">
        <f>+'003'!H204</f>
        <v>1.2.2/E058-P2039/26/21115-0107/1/1212  Honorarios asimilados</v>
      </c>
      <c r="H205" s="396">
        <f>+'003'!J204</f>
        <v>642642.02</v>
      </c>
      <c r="I205" s="396">
        <f>+'003'!K204</f>
        <v>-68364.790000000037</v>
      </c>
      <c r="J205" s="396">
        <f>+'003'!L204</f>
        <v>574277.23</v>
      </c>
      <c r="K205" s="396">
        <f>+'003'!M204</f>
        <v>574277.23</v>
      </c>
      <c r="L205" s="396">
        <f>+'003'!N204</f>
        <v>574277.23</v>
      </c>
      <c r="M205" s="396">
        <f>+'003'!O204</f>
        <v>574277.23</v>
      </c>
      <c r="N205" s="396">
        <f>+'003'!P204</f>
        <v>574277.23</v>
      </c>
      <c r="O205" s="396">
        <f t="shared" si="6"/>
        <v>0</v>
      </c>
    </row>
    <row r="206" spans="1:15">
      <c r="A206" s="394" t="str">
        <f>+'003'!B205</f>
        <v>1.2.2</v>
      </c>
      <c r="B206" s="394" t="str">
        <f>+'003'!C205</f>
        <v>E058-P2039</v>
      </c>
      <c r="C206" s="394">
        <f>+'003'!D205</f>
        <v>27</v>
      </c>
      <c r="D206" s="394" t="str">
        <f>+'003'!E205</f>
        <v>21115-0107</v>
      </c>
      <c r="E206" s="394" t="str">
        <f>+'003'!F205</f>
        <v>1</v>
      </c>
      <c r="F206" s="394" t="str">
        <f>+'003'!G205</f>
        <v>1311</v>
      </c>
      <c r="G206" s="464" t="str">
        <f>+'003'!H205</f>
        <v>1.2.2/E058-P2039/27/21115-0107/1/1311  Prima quinquenal</v>
      </c>
      <c r="H206" s="396">
        <f>+'003'!J205</f>
        <v>3876</v>
      </c>
      <c r="I206" s="396">
        <f>+'003'!K205</f>
        <v>-85.33</v>
      </c>
      <c r="J206" s="396">
        <f>+'003'!L205</f>
        <v>3790.67</v>
      </c>
      <c r="K206" s="396">
        <f>+'003'!M205</f>
        <v>3790.67</v>
      </c>
      <c r="L206" s="396">
        <f>+'003'!N205</f>
        <v>3790.67</v>
      </c>
      <c r="M206" s="396">
        <f>+'003'!O205</f>
        <v>3790.67</v>
      </c>
      <c r="N206" s="396">
        <f>+'003'!P205</f>
        <v>3790.67</v>
      </c>
      <c r="O206" s="396">
        <f t="shared" si="6"/>
        <v>0</v>
      </c>
    </row>
    <row r="207" spans="1:15">
      <c r="A207" s="394" t="str">
        <f>+'003'!B206</f>
        <v>1.2.2</v>
      </c>
      <c r="B207" s="394" t="str">
        <f>+'003'!C206</f>
        <v>E058-P2039</v>
      </c>
      <c r="C207" s="394">
        <f>+'003'!D206</f>
        <v>28</v>
      </c>
      <c r="D207" s="394" t="str">
        <f>+'003'!E206</f>
        <v>21115-0107</v>
      </c>
      <c r="E207" s="394" t="str">
        <f>+'003'!F206</f>
        <v>1</v>
      </c>
      <c r="F207" s="394" t="str">
        <f>+'003'!G206</f>
        <v>1321</v>
      </c>
      <c r="G207" s="464" t="str">
        <f>+'003'!H206</f>
        <v>1.2.2/E058-P2039/28/21115-0107/1/1321  Prima Vacacional</v>
      </c>
      <c r="H207" s="396">
        <f>+'003'!J206</f>
        <v>128993.1</v>
      </c>
      <c r="I207" s="396">
        <f>+'003'!K206</f>
        <v>-4510.1999999999971</v>
      </c>
      <c r="J207" s="396">
        <f>+'003'!L206</f>
        <v>124482.9</v>
      </c>
      <c r="K207" s="396">
        <f>+'003'!M206</f>
        <v>124482.9</v>
      </c>
      <c r="L207" s="396">
        <f>+'003'!N206</f>
        <v>124482.9</v>
      </c>
      <c r="M207" s="396">
        <f>+'003'!O206</f>
        <v>124482.9</v>
      </c>
      <c r="N207" s="396">
        <f>+'003'!P206</f>
        <v>124482.9</v>
      </c>
      <c r="O207" s="396">
        <f t="shared" si="6"/>
        <v>0</v>
      </c>
    </row>
    <row r="208" spans="1:15">
      <c r="A208" s="394" t="str">
        <f>+'003'!B207</f>
        <v>1.2.2</v>
      </c>
      <c r="B208" s="394" t="str">
        <f>+'003'!C207</f>
        <v>E058-P2039</v>
      </c>
      <c r="C208" s="394">
        <f>+'003'!D207</f>
        <v>29</v>
      </c>
      <c r="D208" s="394" t="str">
        <f>+'003'!E207</f>
        <v>21115-0107</v>
      </c>
      <c r="E208" s="394" t="str">
        <f>+'003'!F207</f>
        <v>1</v>
      </c>
      <c r="F208" s="394" t="str">
        <f>+'003'!G207</f>
        <v>1323</v>
      </c>
      <c r="G208" s="464" t="str">
        <f>+'003'!H207</f>
        <v>1.2.2/E058-P2039/29/21115-0107/1/1323  Gratificación de fin de año</v>
      </c>
      <c r="H208" s="396">
        <f>+'003'!J207</f>
        <v>580442.71</v>
      </c>
      <c r="I208" s="396">
        <f>+'003'!K207</f>
        <v>2274.4599999999919</v>
      </c>
      <c r="J208" s="396">
        <f>+'003'!L207</f>
        <v>582717.17000000004</v>
      </c>
      <c r="K208" s="396">
        <f>+'003'!M207</f>
        <v>582717.17000000004</v>
      </c>
      <c r="L208" s="396">
        <f>+'003'!N207</f>
        <v>582717.17000000004</v>
      </c>
      <c r="M208" s="396">
        <f>+'003'!O207</f>
        <v>582717.17000000004</v>
      </c>
      <c r="N208" s="396">
        <f>+'003'!P207</f>
        <v>582717.17000000004</v>
      </c>
      <c r="O208" s="396">
        <f t="shared" si="6"/>
        <v>0</v>
      </c>
    </row>
    <row r="209" spans="1:15">
      <c r="A209" s="394" t="str">
        <f>+'003'!B208</f>
        <v>1.2.2</v>
      </c>
      <c r="B209" s="394" t="str">
        <f>+'003'!C208</f>
        <v>E058-P2039</v>
      </c>
      <c r="C209" s="394">
        <f>+'003'!D208</f>
        <v>30</v>
      </c>
      <c r="D209" s="394" t="str">
        <f>+'003'!E208</f>
        <v>21115-0107</v>
      </c>
      <c r="E209" s="394" t="str">
        <f>+'003'!F208</f>
        <v>1</v>
      </c>
      <c r="F209" s="394" t="str">
        <f>+'003'!G208</f>
        <v>1342</v>
      </c>
      <c r="G209" s="464" t="str">
        <f>+'003'!H208</f>
        <v>1.2.2/E058-P2039/30/21115-0107/1/1342  Compensaciones por servicios</v>
      </c>
      <c r="H209" s="396">
        <f>+'003'!J208</f>
        <v>85495.99</v>
      </c>
      <c r="I209" s="396">
        <f>+'003'!K208</f>
        <v>49321.299999999988</v>
      </c>
      <c r="J209" s="396">
        <f>+'003'!L208</f>
        <v>134817.29</v>
      </c>
      <c r="K209" s="396">
        <f>+'003'!M208</f>
        <v>134817.29</v>
      </c>
      <c r="L209" s="396">
        <f>+'003'!N208</f>
        <v>134817.29</v>
      </c>
      <c r="M209" s="396">
        <f>+'003'!O208</f>
        <v>134817.29</v>
      </c>
      <c r="N209" s="396">
        <f>+'003'!P208</f>
        <v>134817.29</v>
      </c>
      <c r="O209" s="396">
        <f t="shared" si="6"/>
        <v>0</v>
      </c>
    </row>
    <row r="210" spans="1:15">
      <c r="A210" s="394" t="str">
        <f>+'003'!B209</f>
        <v>1.2.2</v>
      </c>
      <c r="B210" s="394" t="str">
        <f>+'003'!C209</f>
        <v>E058-P2039</v>
      </c>
      <c r="C210" s="394">
        <f>+'003'!D209</f>
        <v>31</v>
      </c>
      <c r="D210" s="394" t="str">
        <f>+'003'!E209</f>
        <v>21115-0107</v>
      </c>
      <c r="E210" s="394" t="str">
        <f>+'003'!F209</f>
        <v>1</v>
      </c>
      <c r="F210" s="394" t="str">
        <f>+'003'!G209</f>
        <v>1411</v>
      </c>
      <c r="G210" s="464" t="str">
        <f>+'003'!H209</f>
        <v>1.2.2/E058-P2039/31/21115-0107/1/1411  Aportaciones al ISSEG</v>
      </c>
      <c r="H210" s="396">
        <f>+'003'!J209</f>
        <v>347202.9</v>
      </c>
      <c r="I210" s="396">
        <f>+'003'!K209</f>
        <v>14331.190000000002</v>
      </c>
      <c r="J210" s="396">
        <f>+'003'!L209</f>
        <v>361534.09</v>
      </c>
      <c r="K210" s="396">
        <f>+'003'!M209</f>
        <v>361534.09</v>
      </c>
      <c r="L210" s="396">
        <f>+'003'!N209</f>
        <v>361534.09</v>
      </c>
      <c r="M210" s="396">
        <f>+'003'!O209</f>
        <v>361534.09</v>
      </c>
      <c r="N210" s="396">
        <f>+'003'!P209</f>
        <v>361534.09</v>
      </c>
      <c r="O210" s="396">
        <f t="shared" si="6"/>
        <v>0</v>
      </c>
    </row>
    <row r="211" spans="1:15">
      <c r="A211" s="394" t="str">
        <f>+'003'!B210</f>
        <v>1.2.2</v>
      </c>
      <c r="B211" s="394" t="str">
        <f>+'003'!C210</f>
        <v>E058-P2039</v>
      </c>
      <c r="C211" s="394">
        <f>+'003'!D210</f>
        <v>32</v>
      </c>
      <c r="D211" s="394" t="str">
        <f>+'003'!E210</f>
        <v>21115-0107</v>
      </c>
      <c r="E211" s="394" t="str">
        <f>+'003'!F210</f>
        <v>1</v>
      </c>
      <c r="F211" s="394" t="str">
        <f>+'003'!G210</f>
        <v>1412</v>
      </c>
      <c r="G211" s="464" t="str">
        <f>+'003'!H210</f>
        <v>1.2.2/E058-P2039/32/21115-0107/1/1412  Cuotas al ISSSTE</v>
      </c>
      <c r="H211" s="396">
        <f>+'003'!J210</f>
        <v>153648</v>
      </c>
      <c r="I211" s="396">
        <f>+'003'!K210</f>
        <v>-39686.089999999997</v>
      </c>
      <c r="J211" s="396">
        <f>+'003'!L210</f>
        <v>113961.91</v>
      </c>
      <c r="K211" s="396">
        <f>+'003'!M210</f>
        <v>113961.91</v>
      </c>
      <c r="L211" s="396">
        <f>+'003'!N210</f>
        <v>113961.91</v>
      </c>
      <c r="M211" s="396">
        <f>+'003'!O210</f>
        <v>113961.91</v>
      </c>
      <c r="N211" s="396">
        <f>+'003'!P210</f>
        <v>113961.91</v>
      </c>
      <c r="O211" s="396">
        <f t="shared" si="6"/>
        <v>0</v>
      </c>
    </row>
    <row r="212" spans="1:15">
      <c r="A212" s="394" t="str">
        <f>+'003'!B211</f>
        <v>1.2.2</v>
      </c>
      <c r="B212" s="394" t="str">
        <f>+'003'!C211</f>
        <v>E058-P2039</v>
      </c>
      <c r="C212" s="394">
        <f>+'003'!D211</f>
        <v>33</v>
      </c>
      <c r="D212" s="394" t="str">
        <f>+'003'!E211</f>
        <v>21115-0107</v>
      </c>
      <c r="E212" s="394" t="str">
        <f>+'003'!F211</f>
        <v>1</v>
      </c>
      <c r="F212" s="394" t="str">
        <f>+'003'!G211</f>
        <v>1541</v>
      </c>
      <c r="G212" s="464" t="str">
        <f>+'003'!H211</f>
        <v>1.2.2/E058-P2039/33/21115-0107/1/1541  Prestaciones CGT</v>
      </c>
      <c r="H212" s="396">
        <f>+'003'!J211</f>
        <v>1512232.08</v>
      </c>
      <c r="I212" s="396">
        <f>+'003'!K211</f>
        <v>99833.19</v>
      </c>
      <c r="J212" s="396">
        <f>+'003'!L211</f>
        <v>1612065.27</v>
      </c>
      <c r="K212" s="396">
        <f>+'003'!M211</f>
        <v>1612065.27</v>
      </c>
      <c r="L212" s="396">
        <f>+'003'!N211</f>
        <v>1612065.27</v>
      </c>
      <c r="M212" s="396">
        <f>+'003'!O211</f>
        <v>1612065.27</v>
      </c>
      <c r="N212" s="396">
        <f>+'003'!P211</f>
        <v>1612065.27</v>
      </c>
      <c r="O212" s="396">
        <f t="shared" si="6"/>
        <v>0</v>
      </c>
    </row>
    <row r="213" spans="1:15">
      <c r="A213" s="394" t="str">
        <f>+'003'!B212</f>
        <v>1.2.2</v>
      </c>
      <c r="B213" s="394" t="str">
        <f>+'003'!C212</f>
        <v>E058-P2039</v>
      </c>
      <c r="C213" s="394">
        <f>+'003'!D212</f>
        <v>34</v>
      </c>
      <c r="D213" s="394" t="str">
        <f>+'003'!E212</f>
        <v>21115-0107</v>
      </c>
      <c r="E213" s="394" t="str">
        <f>+'003'!F212</f>
        <v>1</v>
      </c>
      <c r="F213" s="394" t="str">
        <f>+'003'!G212</f>
        <v>1591</v>
      </c>
      <c r="G213" s="464" t="str">
        <f>+'003'!H212</f>
        <v>1.2.2/E058-P2039/34/21115-0107/1/1591  Asign Adic sueldo</v>
      </c>
      <c r="H213" s="396">
        <f>+'003'!J212</f>
        <v>1552538.41</v>
      </c>
      <c r="I213" s="396">
        <f>+'003'!K212</f>
        <v>-47643</v>
      </c>
      <c r="J213" s="396">
        <f>+'003'!L212</f>
        <v>1504895.41</v>
      </c>
      <c r="K213" s="396">
        <f>+'003'!M212</f>
        <v>1504895.41</v>
      </c>
      <c r="L213" s="396">
        <f>+'003'!N212</f>
        <v>1504895.41</v>
      </c>
      <c r="M213" s="396">
        <f>+'003'!O212</f>
        <v>1504895.41</v>
      </c>
      <c r="N213" s="396">
        <f>+'003'!P212</f>
        <v>1504895.41</v>
      </c>
      <c r="O213" s="396">
        <f t="shared" si="6"/>
        <v>0</v>
      </c>
    </row>
    <row r="214" spans="1:15">
      <c r="A214" s="394" t="str">
        <f>+'003'!B213</f>
        <v>1.2.2</v>
      </c>
      <c r="B214" s="394" t="str">
        <f>+'003'!C213</f>
        <v>E058-P2039</v>
      </c>
      <c r="C214" s="394">
        <f>+'003'!D213</f>
        <v>35</v>
      </c>
      <c r="D214" s="394" t="str">
        <f>+'003'!E213</f>
        <v>21115-0107</v>
      </c>
      <c r="E214" s="394" t="str">
        <f>+'003'!F213</f>
        <v>1</v>
      </c>
      <c r="F214" s="394" t="str">
        <f>+'003'!G213</f>
        <v>1592</v>
      </c>
      <c r="G214" s="464" t="str">
        <f>+'003'!H213</f>
        <v>1.2.2/E058-P2039/35/21115-0107/1/1592  Otras prestaciones</v>
      </c>
      <c r="H214" s="396">
        <f>+'003'!J213</f>
        <v>55656.92</v>
      </c>
      <c r="I214" s="396">
        <f>+'003'!K213</f>
        <v>-21557.949999999997</v>
      </c>
      <c r="J214" s="396">
        <f>+'003'!L213</f>
        <v>34098.97</v>
      </c>
      <c r="K214" s="396">
        <f>+'003'!M213</f>
        <v>34098.97</v>
      </c>
      <c r="L214" s="396">
        <f>+'003'!N213</f>
        <v>34098.97</v>
      </c>
      <c r="M214" s="396">
        <f>+'003'!O213</f>
        <v>34098.97</v>
      </c>
      <c r="N214" s="396">
        <f>+'003'!P213</f>
        <v>34098.97</v>
      </c>
      <c r="O214" s="396">
        <f t="shared" si="6"/>
        <v>0</v>
      </c>
    </row>
    <row r="215" spans="1:15">
      <c r="A215" s="394" t="str">
        <f>+'003'!B214</f>
        <v>1.2.2</v>
      </c>
      <c r="B215" s="394" t="str">
        <f>+'003'!C214</f>
        <v>E058-P2039</v>
      </c>
      <c r="C215" s="394">
        <f>+'003'!D214</f>
        <v>36</v>
      </c>
      <c r="D215" s="394" t="str">
        <f>+'003'!E214</f>
        <v>21115-0107</v>
      </c>
      <c r="E215" s="394" t="str">
        <f>+'003'!F214</f>
        <v>1</v>
      </c>
      <c r="F215" s="394" t="str">
        <f>+'003'!G214</f>
        <v>1611</v>
      </c>
      <c r="G215" s="464" t="str">
        <f>+'003'!H214</f>
        <v>1.2.2/E058-P2039/36/21115-0107/1/1611  Prev de carat labora</v>
      </c>
      <c r="H215" s="396">
        <f>+'003'!J214</f>
        <v>246834.14</v>
      </c>
      <c r="I215" s="396">
        <f>+'003'!K214</f>
        <v>-246834.14</v>
      </c>
      <c r="J215" s="396">
        <f>+'003'!L214</f>
        <v>0</v>
      </c>
      <c r="K215" s="396">
        <f>+'003'!M214</f>
        <v>0</v>
      </c>
      <c r="L215" s="396">
        <f>+'003'!N214</f>
        <v>0</v>
      </c>
      <c r="M215" s="396">
        <f>+'003'!O214</f>
        <v>0</v>
      </c>
      <c r="N215" s="396">
        <f>+'003'!P214</f>
        <v>0</v>
      </c>
      <c r="O215" s="396">
        <f t="shared" si="6"/>
        <v>0</v>
      </c>
    </row>
    <row r="216" spans="1:15">
      <c r="A216" s="394" t="str">
        <f>+'003'!B215</f>
        <v>1.2.2</v>
      </c>
      <c r="B216" s="394" t="str">
        <f>+'003'!C215</f>
        <v>E058-P2039</v>
      </c>
      <c r="C216" s="394">
        <f>+'003'!D215</f>
        <v>37</v>
      </c>
      <c r="D216" s="394" t="str">
        <f>+'003'!E215</f>
        <v>21115-0107</v>
      </c>
      <c r="E216" s="394" t="str">
        <f>+'003'!F215</f>
        <v>1</v>
      </c>
      <c r="F216" s="394" t="str">
        <f>+'003'!G215</f>
        <v>1711</v>
      </c>
      <c r="G216" s="464" t="str">
        <f>+'003'!H215</f>
        <v>1.2.2/E058-P2039/37/21115-0107/1/1711  Estím Productividad</v>
      </c>
      <c r="H216" s="396">
        <f>+'003'!J215</f>
        <v>168774.31</v>
      </c>
      <c r="I216" s="396">
        <f>+'003'!K215</f>
        <v>-6789.3299999999581</v>
      </c>
      <c r="J216" s="396">
        <f>+'003'!L215</f>
        <v>161984.98000000001</v>
      </c>
      <c r="K216" s="396">
        <f>+'003'!M215</f>
        <v>161984.98000000001</v>
      </c>
      <c r="L216" s="396">
        <f>+'003'!N215</f>
        <v>161984.98000000001</v>
      </c>
      <c r="M216" s="396">
        <f>+'003'!O215</f>
        <v>161984.98000000001</v>
      </c>
      <c r="N216" s="396">
        <f>+'003'!P215</f>
        <v>161984.98000000001</v>
      </c>
      <c r="O216" s="396">
        <f t="shared" si="6"/>
        <v>0</v>
      </c>
    </row>
    <row r="217" spans="1:15">
      <c r="A217" s="394" t="str">
        <f>+'003'!B216</f>
        <v>1.2.2</v>
      </c>
      <c r="B217" s="394" t="str">
        <f>+'003'!C216</f>
        <v>E058-P2039</v>
      </c>
      <c r="C217" s="394">
        <f>+'003'!D216</f>
        <v>38</v>
      </c>
      <c r="D217" s="394" t="str">
        <f>+'003'!E216</f>
        <v>21115-0107</v>
      </c>
      <c r="E217" s="394" t="str">
        <f>+'003'!F216</f>
        <v>1</v>
      </c>
      <c r="F217" s="394" t="str">
        <f>+'003'!G216</f>
        <v>1712</v>
      </c>
      <c r="G217" s="464" t="str">
        <f>+'003'!H216</f>
        <v>1.2.2/E058-P2039/38/21115-0107/1/1712  Estím Personal Oper</v>
      </c>
      <c r="H217" s="396">
        <f>+'003'!J216</f>
        <v>4077.3</v>
      </c>
      <c r="I217" s="396">
        <f>+'003'!K216</f>
        <v>36.180000000000007</v>
      </c>
      <c r="J217" s="396">
        <f>+'003'!L216</f>
        <v>4113.4799999999996</v>
      </c>
      <c r="K217" s="396">
        <f>+'003'!M216</f>
        <v>4113.4799999999996</v>
      </c>
      <c r="L217" s="396">
        <f>+'003'!N216</f>
        <v>4113.4799999999996</v>
      </c>
      <c r="M217" s="396">
        <f>+'003'!O216</f>
        <v>4113.4799999999996</v>
      </c>
      <c r="N217" s="396">
        <f>+'003'!P216</f>
        <v>4113.4799999999996</v>
      </c>
      <c r="O217" s="396">
        <f t="shared" ref="O217:O223" si="7">+J217-L217</f>
        <v>0</v>
      </c>
    </row>
    <row r="218" spans="1:15">
      <c r="A218" s="394" t="str">
        <f>+'003'!B217</f>
        <v>1.2.2</v>
      </c>
      <c r="B218" s="394" t="str">
        <f>+'003'!C217</f>
        <v>E058-P2039</v>
      </c>
      <c r="C218" s="394">
        <f>+'003'!D217</f>
        <v>39</v>
      </c>
      <c r="D218" s="394" t="str">
        <f>+'003'!E217</f>
        <v>21115-0107</v>
      </c>
      <c r="E218" s="394" t="str">
        <f>+'003'!F217</f>
        <v>1</v>
      </c>
      <c r="F218" s="394" t="str">
        <f>+'003'!G217</f>
        <v>2611</v>
      </c>
      <c r="G218" s="464" t="str">
        <f>+'003'!H217</f>
        <v>1.2.2/E058-P2039/39/21115-0107/1/2611  Combus p Seg pub</v>
      </c>
      <c r="H218" s="396">
        <f>+'003'!J217</f>
        <v>0</v>
      </c>
      <c r="I218" s="396">
        <f>+'003'!K217</f>
        <v>0</v>
      </c>
      <c r="J218" s="396">
        <f>+'003'!L217</f>
        <v>0</v>
      </c>
      <c r="K218" s="396">
        <f>+'003'!M217</f>
        <v>0</v>
      </c>
      <c r="L218" s="396">
        <f>+'003'!N217</f>
        <v>0</v>
      </c>
      <c r="M218" s="396">
        <f>+'003'!O217</f>
        <v>0</v>
      </c>
      <c r="N218" s="396">
        <f>+'003'!P217</f>
        <v>0</v>
      </c>
      <c r="O218" s="396">
        <f t="shared" si="7"/>
        <v>0</v>
      </c>
    </row>
    <row r="219" spans="1:15">
      <c r="A219" s="394" t="str">
        <f>+'003'!B218</f>
        <v>1.2.2</v>
      </c>
      <c r="B219" s="394" t="str">
        <f>+'003'!C218</f>
        <v>E058-P2039</v>
      </c>
      <c r="C219" s="394">
        <f>+'003'!D218</f>
        <v>40</v>
      </c>
      <c r="D219" s="394" t="str">
        <f>+'003'!E218</f>
        <v>21115-0107</v>
      </c>
      <c r="E219" s="394" t="str">
        <f>+'003'!F218</f>
        <v>1</v>
      </c>
      <c r="F219" s="394" t="str">
        <f>+'003'!G218</f>
        <v>2612</v>
      </c>
      <c r="G219" s="464" t="str">
        <f>+'003'!H218</f>
        <v>1.2.2/E058-P2039/40/21115-0107/1/2612  Combus p Serv pub</v>
      </c>
      <c r="H219" s="396">
        <f>+'003'!J218</f>
        <v>184331.32</v>
      </c>
      <c r="I219" s="396">
        <f>+'003'!K218</f>
        <v>-19019.75999999998</v>
      </c>
      <c r="J219" s="396">
        <f>+'003'!L218</f>
        <v>165311.56</v>
      </c>
      <c r="K219" s="396">
        <f>+'003'!M218</f>
        <v>165311.56</v>
      </c>
      <c r="L219" s="396">
        <f>+'003'!N218</f>
        <v>165311.56</v>
      </c>
      <c r="M219" s="396">
        <f>+'003'!O218</f>
        <v>165311.56</v>
      </c>
      <c r="N219" s="396">
        <f>+'003'!P218</f>
        <v>165311.56</v>
      </c>
      <c r="O219" s="396">
        <f t="shared" si="7"/>
        <v>0</v>
      </c>
    </row>
    <row r="220" spans="1:15">
      <c r="A220" s="394" t="str">
        <f>+'003'!B219</f>
        <v>1.2.2</v>
      </c>
      <c r="B220" s="394" t="str">
        <f>+'003'!C219</f>
        <v>E058-P2039</v>
      </c>
      <c r="C220" s="394">
        <f>+'003'!D219</f>
        <v>41</v>
      </c>
      <c r="D220" s="394" t="str">
        <f>+'003'!E219</f>
        <v>21115-0107</v>
      </c>
      <c r="E220" s="394" t="str">
        <f>+'003'!F219</f>
        <v>1</v>
      </c>
      <c r="F220" s="394" t="str">
        <f>+'003'!G219</f>
        <v>3111</v>
      </c>
      <c r="G220" s="464" t="str">
        <f>+'003'!H219</f>
        <v>1.2.2/E058-P2039/41/21115-0107/1/3111  Servicio de energía eléctrica</v>
      </c>
      <c r="H220" s="396">
        <f>+'003'!J219</f>
        <v>32774.89</v>
      </c>
      <c r="I220" s="396">
        <f>+'003'!K219</f>
        <v>-23535.89</v>
      </c>
      <c r="J220" s="396">
        <f>+'003'!L219</f>
        <v>9239</v>
      </c>
      <c r="K220" s="396">
        <f>+'003'!M219</f>
        <v>9239</v>
      </c>
      <c r="L220" s="396">
        <f>+'003'!N219</f>
        <v>9239</v>
      </c>
      <c r="M220" s="396">
        <f>+'003'!O219</f>
        <v>9239</v>
      </c>
      <c r="N220" s="396">
        <f>+'003'!P219</f>
        <v>9239</v>
      </c>
      <c r="O220" s="396">
        <f t="shared" si="7"/>
        <v>0</v>
      </c>
    </row>
    <row r="221" spans="1:15">
      <c r="A221" s="394" t="str">
        <f>+'003'!B220</f>
        <v>1.2.2</v>
      </c>
      <c r="B221" s="394" t="str">
        <f>+'003'!C220</f>
        <v>E058-P2039</v>
      </c>
      <c r="C221" s="394">
        <f>+'003'!D220</f>
        <v>42</v>
      </c>
      <c r="D221" s="394" t="str">
        <f>+'003'!E220</f>
        <v>21115-0107</v>
      </c>
      <c r="E221" s="394" t="str">
        <f>+'003'!F220</f>
        <v>1</v>
      </c>
      <c r="F221" s="394" t="str">
        <f>+'003'!G220</f>
        <v>3221</v>
      </c>
      <c r="G221" s="464" t="str">
        <f>+'003'!H220</f>
        <v>1.2.2/E058-P2039/42/21115-0107/1/3221  Arrendam Edificios</v>
      </c>
      <c r="H221" s="396">
        <f>+'003'!J220</f>
        <v>725011.48</v>
      </c>
      <c r="I221" s="396">
        <f>+'003'!K220</f>
        <v>-48130.780000000028</v>
      </c>
      <c r="J221" s="396">
        <f>+'003'!L220</f>
        <v>676880.7</v>
      </c>
      <c r="K221" s="396">
        <f>+'003'!M220</f>
        <v>676880.7</v>
      </c>
      <c r="L221" s="396">
        <f>+'003'!N220</f>
        <v>676880.7</v>
      </c>
      <c r="M221" s="396">
        <f>+'003'!O220</f>
        <v>676880.7</v>
      </c>
      <c r="N221" s="396">
        <f>+'003'!P220</f>
        <v>676880.7</v>
      </c>
      <c r="O221" s="396">
        <f t="shared" si="7"/>
        <v>0</v>
      </c>
    </row>
    <row r="222" spans="1:15">
      <c r="A222" s="394" t="str">
        <f>+'003'!B221</f>
        <v>1.2.2</v>
      </c>
      <c r="B222" s="394" t="str">
        <f>+'003'!C221</f>
        <v>E058-P2039</v>
      </c>
      <c r="C222" s="394">
        <f>+'003'!D221</f>
        <v>43</v>
      </c>
      <c r="D222" s="394" t="str">
        <f>+'003'!E221</f>
        <v>21115-0107</v>
      </c>
      <c r="E222" s="394" t="str">
        <f>+'003'!F221</f>
        <v>1</v>
      </c>
      <c r="F222" s="394" t="str">
        <f>+'003'!G221</f>
        <v>3551</v>
      </c>
      <c r="G222" s="464" t="str">
        <f>+'003'!H221</f>
        <v>1.2.2/E058-P2039/43/21115-0107/1/3551  Mantto Vehíc</v>
      </c>
      <c r="H222" s="396">
        <f>+'003'!J221</f>
        <v>68244.600000000006</v>
      </c>
      <c r="I222" s="396">
        <f>+'003'!K221</f>
        <v>39830.720000000001</v>
      </c>
      <c r="J222" s="396">
        <f>+'003'!L221</f>
        <v>108075.32</v>
      </c>
      <c r="K222" s="396">
        <f>+'003'!M221</f>
        <v>108075.32</v>
      </c>
      <c r="L222" s="396">
        <f>+'003'!N221</f>
        <v>108075.32</v>
      </c>
      <c r="M222" s="396">
        <f>+'003'!O221</f>
        <v>108075.32</v>
      </c>
      <c r="N222" s="396">
        <f>+'003'!P221</f>
        <v>108075.32</v>
      </c>
      <c r="O222" s="396">
        <f t="shared" si="7"/>
        <v>0</v>
      </c>
    </row>
    <row r="223" spans="1:15">
      <c r="A223" s="394" t="str">
        <f>+'003'!B222</f>
        <v>1.2.2</v>
      </c>
      <c r="B223" s="394" t="str">
        <f>+'003'!C222</f>
        <v>E058-P2039</v>
      </c>
      <c r="C223" s="394">
        <f>+'003'!D222</f>
        <v>44</v>
      </c>
      <c r="D223" s="394" t="str">
        <f>+'003'!E222</f>
        <v>21115-0107</v>
      </c>
      <c r="E223" s="394" t="str">
        <f>+'003'!F222</f>
        <v>1</v>
      </c>
      <c r="F223" s="394" t="str">
        <f>+'003'!G222</f>
        <v>3721</v>
      </c>
      <c r="G223" s="464" t="str">
        <f>+'003'!H222</f>
        <v>1.2.2/E058-P2039/44/21115-0107/1/3721  Pasajes terr Nac</v>
      </c>
      <c r="H223" s="396">
        <f>+'003'!J222</f>
        <v>9756.68</v>
      </c>
      <c r="I223" s="396">
        <f>+'003'!K222</f>
        <v>3851.59</v>
      </c>
      <c r="J223" s="396">
        <f>+'003'!L222</f>
        <v>13608.27</v>
      </c>
      <c r="K223" s="396">
        <f>+'003'!M222</f>
        <v>13608.27</v>
      </c>
      <c r="L223" s="396">
        <f>+'003'!N222</f>
        <v>13608.27</v>
      </c>
      <c r="M223" s="396">
        <f>+'003'!O222</f>
        <v>13608.27</v>
      </c>
      <c r="N223" s="396">
        <f>+'003'!P222</f>
        <v>13608.27</v>
      </c>
      <c r="O223" s="396">
        <f t="shared" si="7"/>
        <v>0</v>
      </c>
    </row>
    <row r="224" spans="1:15">
      <c r="A224" s="394" t="str">
        <f>+'003'!B223</f>
        <v>1.2.2</v>
      </c>
      <c r="B224" s="394" t="str">
        <f>+'003'!C223</f>
        <v>E058-P2039</v>
      </c>
      <c r="C224" s="394">
        <f>+'003'!D223</f>
        <v>45</v>
      </c>
      <c r="D224" s="394" t="str">
        <f>+'003'!E223</f>
        <v>21115-0107</v>
      </c>
      <c r="E224" s="394" t="str">
        <f>+'003'!F223</f>
        <v>1</v>
      </c>
      <c r="F224" s="394" t="str">
        <f>+'003'!G223</f>
        <v>3751</v>
      </c>
      <c r="G224" s="464" t="str">
        <f>+'003'!H223</f>
        <v>1.2.2/E058-P2039/45/21115-0107/1/3751  Viáticos nacionales</v>
      </c>
      <c r="H224" s="396">
        <f>+'003'!J223</f>
        <v>16952.54</v>
      </c>
      <c r="I224" s="396">
        <f>+'003'!K223</f>
        <v>-16952.54</v>
      </c>
      <c r="J224" s="396">
        <f>+'003'!L223</f>
        <v>0</v>
      </c>
      <c r="K224" s="396">
        <f>+'003'!M223</f>
        <v>0</v>
      </c>
      <c r="L224" s="396">
        <f>+'003'!N223</f>
        <v>0</v>
      </c>
      <c r="M224" s="396">
        <f>+'003'!O223</f>
        <v>0</v>
      </c>
      <c r="N224" s="396">
        <f>+'003'!P223</f>
        <v>0</v>
      </c>
      <c r="O224" s="396">
        <f t="shared" ref="O224" si="8">+J224-L224</f>
        <v>0</v>
      </c>
    </row>
    <row r="225" spans="1:15">
      <c r="A225" s="394" t="str">
        <f>+'003'!B224</f>
        <v>1.2.2</v>
      </c>
      <c r="B225" s="394" t="str">
        <f>+'003'!C224</f>
        <v>E058-P2039</v>
      </c>
      <c r="C225" s="394">
        <f>+'003'!D224</f>
        <v>46</v>
      </c>
      <c r="D225" s="394" t="str">
        <f>+'003'!E224</f>
        <v>21115-0107</v>
      </c>
      <c r="E225" s="394" t="str">
        <f>+'003'!F224</f>
        <v>1</v>
      </c>
      <c r="F225" s="394" t="str">
        <f>+'003'!G224</f>
        <v>3981</v>
      </c>
      <c r="G225" s="464" t="str">
        <f>+'003'!H224</f>
        <v>1.2.2/E058-P2039/46/21115-0107/1/3981  Impuesto sobre nóminas</v>
      </c>
      <c r="H225" s="396">
        <f>+'003'!J224</f>
        <v>119200.71</v>
      </c>
      <c r="I225" s="396">
        <f>+'003'!K224</f>
        <v>649.02000000000407</v>
      </c>
      <c r="J225" s="396">
        <f>+'003'!L224</f>
        <v>119849.73</v>
      </c>
      <c r="K225" s="396">
        <f>+'003'!M224</f>
        <v>119849.73</v>
      </c>
      <c r="L225" s="396">
        <f>+'003'!N224</f>
        <v>119849.73</v>
      </c>
      <c r="M225" s="396">
        <f>+'003'!O224</f>
        <v>119849.73</v>
      </c>
      <c r="N225" s="396">
        <f>+'003'!P224</f>
        <v>119849.73</v>
      </c>
      <c r="O225" s="396">
        <f t="shared" ref="O225" si="9">+J225-L225</f>
        <v>0</v>
      </c>
    </row>
  </sheetData>
  <sheetProtection insertRows="0" deleteRows="0" autoFilter="0"/>
  <mergeCells count="1">
    <mergeCell ref="A1:O1"/>
  </mergeCells>
  <dataValidations count="15">
    <dataValidation allowBlank="1" showInputMessage="1" showErrorMessage="1" prompt="Para el llenado de este formato se debe utilizar la Clasificación por Tipo de Gasto aprobado por el CONAC identificando el ejercicio presupuestal de gasto corriente, gasto de capital y el de amortización de la deuda y disminución de pasivos..."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220 JA65220 SW65220 ACS65220 AMO65220 AWK65220 BGG65220 BQC65220 BZY65220 CJU65220 CTQ65220 DDM65220 DNI65220 DXE65220 EHA65220 EQW65220 FAS65220 FKO65220 FUK65220 GEG65220 GOC65220 GXY65220 HHU65220 HRQ65220 IBM65220 ILI65220 IVE65220 JFA65220 JOW65220 JYS65220 KIO65220 KSK65220 LCG65220 LMC65220 LVY65220 MFU65220 MPQ65220 MZM65220 NJI65220 NTE65220 ODA65220 OMW65220 OWS65220 PGO65220 PQK65220 QAG65220 QKC65220 QTY65220 RDU65220 RNQ65220 RXM65220 SHI65220 SRE65220 TBA65220 TKW65220 TUS65220 UEO65220 UOK65220 UYG65220 VIC65220 VRY65220 WBU65220 WLQ65220 WVM65220 E130756 JA130756 SW130756 ACS130756 AMO130756 AWK130756 BGG130756 BQC130756 BZY130756 CJU130756 CTQ130756 DDM130756 DNI130756 DXE130756 EHA130756 EQW130756 FAS130756 FKO130756 FUK130756 GEG130756 GOC130756 GXY130756 HHU130756 HRQ130756 IBM130756 ILI130756 IVE130756 JFA130756 JOW130756 JYS130756 KIO130756 KSK130756 LCG130756 LMC130756 LVY130756 MFU130756 MPQ130756 MZM130756 NJI130756 NTE130756 ODA130756 OMW130756 OWS130756 PGO130756 PQK130756 QAG130756 QKC130756 QTY130756 RDU130756 RNQ130756 RXM130756 SHI130756 SRE130756 TBA130756 TKW130756 TUS130756 UEO130756 UOK130756 UYG130756 VIC130756 VRY130756 WBU130756 WLQ130756 WVM130756 E196292 JA196292 SW196292 ACS196292 AMO196292 AWK196292 BGG196292 BQC196292 BZY196292 CJU196292 CTQ196292 DDM196292 DNI196292 DXE196292 EHA196292 EQW196292 FAS196292 FKO196292 FUK196292 GEG196292 GOC196292 GXY196292 HHU196292 HRQ196292 IBM196292 ILI196292 IVE196292 JFA196292 JOW196292 JYS196292 KIO196292 KSK196292 LCG196292 LMC196292 LVY196292 MFU196292 MPQ196292 MZM196292 NJI196292 NTE196292 ODA196292 OMW196292 OWS196292 PGO196292 PQK196292 QAG196292 QKC196292 QTY196292 RDU196292 RNQ196292 RXM196292 SHI196292 SRE196292 TBA196292 TKW196292 TUS196292 UEO196292 UOK196292 UYG196292 VIC196292 VRY196292 WBU196292 WLQ196292 WVM196292 E261828 JA261828 SW261828 ACS261828 AMO261828 AWK261828 BGG261828 BQC261828 BZY261828 CJU261828 CTQ261828 DDM261828 DNI261828 DXE261828 EHA261828 EQW261828 FAS261828 FKO261828 FUK261828 GEG261828 GOC261828 GXY261828 HHU261828 HRQ261828 IBM261828 ILI261828 IVE261828 JFA261828 JOW261828 JYS261828 KIO261828 KSK261828 LCG261828 LMC261828 LVY261828 MFU261828 MPQ261828 MZM261828 NJI261828 NTE261828 ODA261828 OMW261828 OWS261828 PGO261828 PQK261828 QAG261828 QKC261828 QTY261828 RDU261828 RNQ261828 RXM261828 SHI261828 SRE261828 TBA261828 TKW261828 TUS261828 UEO261828 UOK261828 UYG261828 VIC261828 VRY261828 WBU261828 WLQ261828 WVM261828 E327364 JA327364 SW327364 ACS327364 AMO327364 AWK327364 BGG327364 BQC327364 BZY327364 CJU327364 CTQ327364 DDM327364 DNI327364 DXE327364 EHA327364 EQW327364 FAS327364 FKO327364 FUK327364 GEG327364 GOC327364 GXY327364 HHU327364 HRQ327364 IBM327364 ILI327364 IVE327364 JFA327364 JOW327364 JYS327364 KIO327364 KSK327364 LCG327364 LMC327364 LVY327364 MFU327364 MPQ327364 MZM327364 NJI327364 NTE327364 ODA327364 OMW327364 OWS327364 PGO327364 PQK327364 QAG327364 QKC327364 QTY327364 RDU327364 RNQ327364 RXM327364 SHI327364 SRE327364 TBA327364 TKW327364 TUS327364 UEO327364 UOK327364 UYG327364 VIC327364 VRY327364 WBU327364 WLQ327364 WVM327364 E392900 JA392900 SW392900 ACS392900 AMO392900 AWK392900 BGG392900 BQC392900 BZY392900 CJU392900 CTQ392900 DDM392900 DNI392900 DXE392900 EHA392900 EQW392900 FAS392900 FKO392900 FUK392900 GEG392900 GOC392900 GXY392900 HHU392900 HRQ392900 IBM392900 ILI392900 IVE392900 JFA392900 JOW392900 JYS392900 KIO392900 KSK392900 LCG392900 LMC392900 LVY392900 MFU392900 MPQ392900 MZM392900 NJI392900 NTE392900 ODA392900 OMW392900 OWS392900 PGO392900 PQK392900 QAG392900 QKC392900 QTY392900 RDU392900 RNQ392900 RXM392900 SHI392900 SRE392900 TBA392900 TKW392900 TUS392900 UEO392900 UOK392900 UYG392900 VIC392900 VRY392900 WBU392900 WLQ392900 WVM392900 E458436 JA458436 SW458436 ACS458436 AMO458436 AWK458436 BGG458436 BQC458436 BZY458436 CJU458436 CTQ458436 DDM458436 DNI458436 DXE458436 EHA458436 EQW458436 FAS458436 FKO458436 FUK458436 GEG458436 GOC458436 GXY458436 HHU458436 HRQ458436 IBM458436 ILI458436 IVE458436 JFA458436 JOW458436 JYS458436 KIO458436 KSK458436 LCG458436 LMC458436 LVY458436 MFU458436 MPQ458436 MZM458436 NJI458436 NTE458436 ODA458436 OMW458436 OWS458436 PGO458436 PQK458436 QAG458436 QKC458436 QTY458436 RDU458436 RNQ458436 RXM458436 SHI458436 SRE458436 TBA458436 TKW458436 TUS458436 UEO458436 UOK458436 UYG458436 VIC458436 VRY458436 WBU458436 WLQ458436 WVM458436 E523972 JA523972 SW523972 ACS523972 AMO523972 AWK523972 BGG523972 BQC523972 BZY523972 CJU523972 CTQ523972 DDM523972 DNI523972 DXE523972 EHA523972 EQW523972 FAS523972 FKO523972 FUK523972 GEG523972 GOC523972 GXY523972 HHU523972 HRQ523972 IBM523972 ILI523972 IVE523972 JFA523972 JOW523972 JYS523972 KIO523972 KSK523972 LCG523972 LMC523972 LVY523972 MFU523972 MPQ523972 MZM523972 NJI523972 NTE523972 ODA523972 OMW523972 OWS523972 PGO523972 PQK523972 QAG523972 QKC523972 QTY523972 RDU523972 RNQ523972 RXM523972 SHI523972 SRE523972 TBA523972 TKW523972 TUS523972 UEO523972 UOK523972 UYG523972 VIC523972 VRY523972 WBU523972 WLQ523972 WVM523972 E589508 JA589508 SW589508 ACS589508 AMO589508 AWK589508 BGG589508 BQC589508 BZY589508 CJU589508 CTQ589508 DDM589508 DNI589508 DXE589508 EHA589508 EQW589508 FAS589508 FKO589508 FUK589508 GEG589508 GOC589508 GXY589508 HHU589508 HRQ589508 IBM589508 ILI589508 IVE589508 JFA589508 JOW589508 JYS589508 KIO589508 KSK589508 LCG589508 LMC589508 LVY589508 MFU589508 MPQ589508 MZM589508 NJI589508 NTE589508 ODA589508 OMW589508 OWS589508 PGO589508 PQK589508 QAG589508 QKC589508 QTY589508 RDU589508 RNQ589508 RXM589508 SHI589508 SRE589508 TBA589508 TKW589508 TUS589508 UEO589508 UOK589508 UYG589508 VIC589508 VRY589508 WBU589508 WLQ589508 WVM589508 E655044 JA655044 SW655044 ACS655044 AMO655044 AWK655044 BGG655044 BQC655044 BZY655044 CJU655044 CTQ655044 DDM655044 DNI655044 DXE655044 EHA655044 EQW655044 FAS655044 FKO655044 FUK655044 GEG655044 GOC655044 GXY655044 HHU655044 HRQ655044 IBM655044 ILI655044 IVE655044 JFA655044 JOW655044 JYS655044 KIO655044 KSK655044 LCG655044 LMC655044 LVY655044 MFU655044 MPQ655044 MZM655044 NJI655044 NTE655044 ODA655044 OMW655044 OWS655044 PGO655044 PQK655044 QAG655044 QKC655044 QTY655044 RDU655044 RNQ655044 RXM655044 SHI655044 SRE655044 TBA655044 TKW655044 TUS655044 UEO655044 UOK655044 UYG655044 VIC655044 VRY655044 WBU655044 WLQ655044 WVM655044 E720580 JA720580 SW720580 ACS720580 AMO720580 AWK720580 BGG720580 BQC720580 BZY720580 CJU720580 CTQ720580 DDM720580 DNI720580 DXE720580 EHA720580 EQW720580 FAS720580 FKO720580 FUK720580 GEG720580 GOC720580 GXY720580 HHU720580 HRQ720580 IBM720580 ILI720580 IVE720580 JFA720580 JOW720580 JYS720580 KIO720580 KSK720580 LCG720580 LMC720580 LVY720580 MFU720580 MPQ720580 MZM720580 NJI720580 NTE720580 ODA720580 OMW720580 OWS720580 PGO720580 PQK720580 QAG720580 QKC720580 QTY720580 RDU720580 RNQ720580 RXM720580 SHI720580 SRE720580 TBA720580 TKW720580 TUS720580 UEO720580 UOK720580 UYG720580 VIC720580 VRY720580 WBU720580 WLQ720580 WVM720580 E786116 JA786116 SW786116 ACS786116 AMO786116 AWK786116 BGG786116 BQC786116 BZY786116 CJU786116 CTQ786116 DDM786116 DNI786116 DXE786116 EHA786116 EQW786116 FAS786116 FKO786116 FUK786116 GEG786116 GOC786116 GXY786116 HHU786116 HRQ786116 IBM786116 ILI786116 IVE786116 JFA786116 JOW786116 JYS786116 KIO786116 KSK786116 LCG786116 LMC786116 LVY786116 MFU786116 MPQ786116 MZM786116 NJI786116 NTE786116 ODA786116 OMW786116 OWS786116 PGO786116 PQK786116 QAG786116 QKC786116 QTY786116 RDU786116 RNQ786116 RXM786116 SHI786116 SRE786116 TBA786116 TKW786116 TUS786116 UEO786116 UOK786116 UYG786116 VIC786116 VRY786116 WBU786116 WLQ786116 WVM786116 E851652 JA851652 SW851652 ACS851652 AMO851652 AWK851652 BGG851652 BQC851652 BZY851652 CJU851652 CTQ851652 DDM851652 DNI851652 DXE851652 EHA851652 EQW851652 FAS851652 FKO851652 FUK851652 GEG851652 GOC851652 GXY851652 HHU851652 HRQ851652 IBM851652 ILI851652 IVE851652 JFA851652 JOW851652 JYS851652 KIO851652 KSK851652 LCG851652 LMC851652 LVY851652 MFU851652 MPQ851652 MZM851652 NJI851652 NTE851652 ODA851652 OMW851652 OWS851652 PGO851652 PQK851652 QAG851652 QKC851652 QTY851652 RDU851652 RNQ851652 RXM851652 SHI851652 SRE851652 TBA851652 TKW851652 TUS851652 UEO851652 UOK851652 UYG851652 VIC851652 VRY851652 WBU851652 WLQ851652 WVM851652 E917188 JA917188 SW917188 ACS917188 AMO917188 AWK917188 BGG917188 BQC917188 BZY917188 CJU917188 CTQ917188 DDM917188 DNI917188 DXE917188 EHA917188 EQW917188 FAS917188 FKO917188 FUK917188 GEG917188 GOC917188 GXY917188 HHU917188 HRQ917188 IBM917188 ILI917188 IVE917188 JFA917188 JOW917188 JYS917188 KIO917188 KSK917188 LCG917188 LMC917188 LVY917188 MFU917188 MPQ917188 MZM917188 NJI917188 NTE917188 ODA917188 OMW917188 OWS917188 PGO917188 PQK917188 QAG917188 QKC917188 QTY917188 RDU917188 RNQ917188 RXM917188 SHI917188 SRE917188 TBA917188 TKW917188 TUS917188 UEO917188 UOK917188 UYG917188 VIC917188 VRY917188 WBU917188 WLQ917188 WVM917188 E982724 JA982724 SW982724 ACS982724 AMO982724 AWK982724 BGG982724 BQC982724 BZY982724 CJU982724 CTQ982724 DDM982724 DNI982724 DXE982724 EHA982724 EQW982724 FAS982724 FKO982724 FUK982724 GEG982724 GOC982724 GXY982724 HHU982724 HRQ982724 IBM982724 ILI982724 IVE982724 JFA982724 JOW982724 JYS982724 KIO982724 KSK982724 LCG982724 LMC982724 LVY982724 MFU982724 MPQ982724 MZM982724 NJI982724 NTE982724 ODA982724 OMW982724 OWS982724 PGO982724 PQK982724 QAG982724 QKC982724 QTY982724 RDU982724 RNQ982724 RXM982724 SHI982724 SRE982724 TBA982724 TKW982724 TUS982724 UEO982724 UOK982724 UYG982724 VIC982724 VRY982724 WBU982724 WLQ982724 WVM982724"/>
    <dataValidation allowBlank="1" showInputMessage="1" showErrorMessage="1" prompt="Modificado menos devengado" sqref="O2 JK2 TG2 ADC2 AMY2 AWU2 BGQ2 BQM2 CAI2 CKE2 CUA2 DDW2 DNS2 DXO2 EHK2 ERG2 FBC2 FKY2 FUU2 GEQ2 GOM2 GYI2 HIE2 HSA2 IBW2 ILS2 IVO2 JFK2 JPG2 JZC2 KIY2 KSU2 LCQ2 LMM2 LWI2 MGE2 MQA2 MZW2 NJS2 NTO2 ODK2 ONG2 OXC2 PGY2 PQU2 QAQ2 QKM2 QUI2 REE2 ROA2 RXW2 SHS2 SRO2 TBK2 TLG2 TVC2 UEY2 UOU2 UYQ2 VIM2 VSI2 WCE2 WMA2 WVW2 O65220 JK65220 TG65220 ADC65220 AMY65220 AWU65220 BGQ65220 BQM65220 CAI65220 CKE65220 CUA65220 DDW65220 DNS65220 DXO65220 EHK65220 ERG65220 FBC65220 FKY65220 FUU65220 GEQ65220 GOM65220 GYI65220 HIE65220 HSA65220 IBW65220 ILS65220 IVO65220 JFK65220 JPG65220 JZC65220 KIY65220 KSU65220 LCQ65220 LMM65220 LWI65220 MGE65220 MQA65220 MZW65220 NJS65220 NTO65220 ODK65220 ONG65220 OXC65220 PGY65220 PQU65220 QAQ65220 QKM65220 QUI65220 REE65220 ROA65220 RXW65220 SHS65220 SRO65220 TBK65220 TLG65220 TVC65220 UEY65220 UOU65220 UYQ65220 VIM65220 VSI65220 WCE65220 WMA65220 WVW65220 O130756 JK130756 TG130756 ADC130756 AMY130756 AWU130756 BGQ130756 BQM130756 CAI130756 CKE130756 CUA130756 DDW130756 DNS130756 DXO130756 EHK130756 ERG130756 FBC130756 FKY130756 FUU130756 GEQ130756 GOM130756 GYI130756 HIE130756 HSA130756 IBW130756 ILS130756 IVO130756 JFK130756 JPG130756 JZC130756 KIY130756 KSU130756 LCQ130756 LMM130756 LWI130756 MGE130756 MQA130756 MZW130756 NJS130756 NTO130756 ODK130756 ONG130756 OXC130756 PGY130756 PQU130756 QAQ130756 QKM130756 QUI130756 REE130756 ROA130756 RXW130756 SHS130756 SRO130756 TBK130756 TLG130756 TVC130756 UEY130756 UOU130756 UYQ130756 VIM130756 VSI130756 WCE130756 WMA130756 WVW130756 O196292 JK196292 TG196292 ADC196292 AMY196292 AWU196292 BGQ196292 BQM196292 CAI196292 CKE196292 CUA196292 DDW196292 DNS196292 DXO196292 EHK196292 ERG196292 FBC196292 FKY196292 FUU196292 GEQ196292 GOM196292 GYI196292 HIE196292 HSA196292 IBW196292 ILS196292 IVO196292 JFK196292 JPG196292 JZC196292 KIY196292 KSU196292 LCQ196292 LMM196292 LWI196292 MGE196292 MQA196292 MZW196292 NJS196292 NTO196292 ODK196292 ONG196292 OXC196292 PGY196292 PQU196292 QAQ196292 QKM196292 QUI196292 REE196292 ROA196292 RXW196292 SHS196292 SRO196292 TBK196292 TLG196292 TVC196292 UEY196292 UOU196292 UYQ196292 VIM196292 VSI196292 WCE196292 WMA196292 WVW196292 O261828 JK261828 TG261828 ADC261828 AMY261828 AWU261828 BGQ261828 BQM261828 CAI261828 CKE261828 CUA261828 DDW261828 DNS261828 DXO261828 EHK261828 ERG261828 FBC261828 FKY261828 FUU261828 GEQ261828 GOM261828 GYI261828 HIE261828 HSA261828 IBW261828 ILS261828 IVO261828 JFK261828 JPG261828 JZC261828 KIY261828 KSU261828 LCQ261828 LMM261828 LWI261828 MGE261828 MQA261828 MZW261828 NJS261828 NTO261828 ODK261828 ONG261828 OXC261828 PGY261828 PQU261828 QAQ261828 QKM261828 QUI261828 REE261828 ROA261828 RXW261828 SHS261828 SRO261828 TBK261828 TLG261828 TVC261828 UEY261828 UOU261828 UYQ261828 VIM261828 VSI261828 WCE261828 WMA261828 WVW261828 O327364 JK327364 TG327364 ADC327364 AMY327364 AWU327364 BGQ327364 BQM327364 CAI327364 CKE327364 CUA327364 DDW327364 DNS327364 DXO327364 EHK327364 ERG327364 FBC327364 FKY327364 FUU327364 GEQ327364 GOM327364 GYI327364 HIE327364 HSA327364 IBW327364 ILS327364 IVO327364 JFK327364 JPG327364 JZC327364 KIY327364 KSU327364 LCQ327364 LMM327364 LWI327364 MGE327364 MQA327364 MZW327364 NJS327364 NTO327364 ODK327364 ONG327364 OXC327364 PGY327364 PQU327364 QAQ327364 QKM327364 QUI327364 REE327364 ROA327364 RXW327364 SHS327364 SRO327364 TBK327364 TLG327364 TVC327364 UEY327364 UOU327364 UYQ327364 VIM327364 VSI327364 WCE327364 WMA327364 WVW327364 O392900 JK392900 TG392900 ADC392900 AMY392900 AWU392900 BGQ392900 BQM392900 CAI392900 CKE392900 CUA392900 DDW392900 DNS392900 DXO392900 EHK392900 ERG392900 FBC392900 FKY392900 FUU392900 GEQ392900 GOM392900 GYI392900 HIE392900 HSA392900 IBW392900 ILS392900 IVO392900 JFK392900 JPG392900 JZC392900 KIY392900 KSU392900 LCQ392900 LMM392900 LWI392900 MGE392900 MQA392900 MZW392900 NJS392900 NTO392900 ODK392900 ONG392900 OXC392900 PGY392900 PQU392900 QAQ392900 QKM392900 QUI392900 REE392900 ROA392900 RXW392900 SHS392900 SRO392900 TBK392900 TLG392900 TVC392900 UEY392900 UOU392900 UYQ392900 VIM392900 VSI392900 WCE392900 WMA392900 WVW392900 O458436 JK458436 TG458436 ADC458436 AMY458436 AWU458436 BGQ458436 BQM458436 CAI458436 CKE458436 CUA458436 DDW458436 DNS458436 DXO458436 EHK458436 ERG458436 FBC458436 FKY458436 FUU458436 GEQ458436 GOM458436 GYI458436 HIE458436 HSA458436 IBW458436 ILS458436 IVO458436 JFK458436 JPG458436 JZC458436 KIY458436 KSU458436 LCQ458436 LMM458436 LWI458436 MGE458436 MQA458436 MZW458436 NJS458436 NTO458436 ODK458436 ONG458436 OXC458436 PGY458436 PQU458436 QAQ458436 QKM458436 QUI458436 REE458436 ROA458436 RXW458436 SHS458436 SRO458436 TBK458436 TLG458436 TVC458436 UEY458436 UOU458436 UYQ458436 VIM458436 VSI458436 WCE458436 WMA458436 WVW458436 O523972 JK523972 TG523972 ADC523972 AMY523972 AWU523972 BGQ523972 BQM523972 CAI523972 CKE523972 CUA523972 DDW523972 DNS523972 DXO523972 EHK523972 ERG523972 FBC523972 FKY523972 FUU523972 GEQ523972 GOM523972 GYI523972 HIE523972 HSA523972 IBW523972 ILS523972 IVO523972 JFK523972 JPG523972 JZC523972 KIY523972 KSU523972 LCQ523972 LMM523972 LWI523972 MGE523972 MQA523972 MZW523972 NJS523972 NTO523972 ODK523972 ONG523972 OXC523972 PGY523972 PQU523972 QAQ523972 QKM523972 QUI523972 REE523972 ROA523972 RXW523972 SHS523972 SRO523972 TBK523972 TLG523972 TVC523972 UEY523972 UOU523972 UYQ523972 VIM523972 VSI523972 WCE523972 WMA523972 WVW523972 O589508 JK589508 TG589508 ADC589508 AMY589508 AWU589508 BGQ589508 BQM589508 CAI589508 CKE589508 CUA589508 DDW589508 DNS589508 DXO589508 EHK589508 ERG589508 FBC589508 FKY589508 FUU589508 GEQ589508 GOM589508 GYI589508 HIE589508 HSA589508 IBW589508 ILS589508 IVO589508 JFK589508 JPG589508 JZC589508 KIY589508 KSU589508 LCQ589508 LMM589508 LWI589508 MGE589508 MQA589508 MZW589508 NJS589508 NTO589508 ODK589508 ONG589508 OXC589508 PGY589508 PQU589508 QAQ589508 QKM589508 QUI589508 REE589508 ROA589508 RXW589508 SHS589508 SRO589508 TBK589508 TLG589508 TVC589508 UEY589508 UOU589508 UYQ589508 VIM589508 VSI589508 WCE589508 WMA589508 WVW589508 O655044 JK655044 TG655044 ADC655044 AMY655044 AWU655044 BGQ655044 BQM655044 CAI655044 CKE655044 CUA655044 DDW655044 DNS655044 DXO655044 EHK655044 ERG655044 FBC655044 FKY655044 FUU655044 GEQ655044 GOM655044 GYI655044 HIE655044 HSA655044 IBW655044 ILS655044 IVO655044 JFK655044 JPG655044 JZC655044 KIY655044 KSU655044 LCQ655044 LMM655044 LWI655044 MGE655044 MQA655044 MZW655044 NJS655044 NTO655044 ODK655044 ONG655044 OXC655044 PGY655044 PQU655044 QAQ655044 QKM655044 QUI655044 REE655044 ROA655044 RXW655044 SHS655044 SRO655044 TBK655044 TLG655044 TVC655044 UEY655044 UOU655044 UYQ655044 VIM655044 VSI655044 WCE655044 WMA655044 WVW655044 O720580 JK720580 TG720580 ADC720580 AMY720580 AWU720580 BGQ720580 BQM720580 CAI720580 CKE720580 CUA720580 DDW720580 DNS720580 DXO720580 EHK720580 ERG720580 FBC720580 FKY720580 FUU720580 GEQ720580 GOM720580 GYI720580 HIE720580 HSA720580 IBW720580 ILS720580 IVO720580 JFK720580 JPG720580 JZC720580 KIY720580 KSU720580 LCQ720580 LMM720580 LWI720580 MGE720580 MQA720580 MZW720580 NJS720580 NTO720580 ODK720580 ONG720580 OXC720580 PGY720580 PQU720580 QAQ720580 QKM720580 QUI720580 REE720580 ROA720580 RXW720580 SHS720580 SRO720580 TBK720580 TLG720580 TVC720580 UEY720580 UOU720580 UYQ720580 VIM720580 VSI720580 WCE720580 WMA720580 WVW720580 O786116 JK786116 TG786116 ADC786116 AMY786116 AWU786116 BGQ786116 BQM786116 CAI786116 CKE786116 CUA786116 DDW786116 DNS786116 DXO786116 EHK786116 ERG786116 FBC786116 FKY786116 FUU786116 GEQ786116 GOM786116 GYI786116 HIE786116 HSA786116 IBW786116 ILS786116 IVO786116 JFK786116 JPG786116 JZC786116 KIY786116 KSU786116 LCQ786116 LMM786116 LWI786116 MGE786116 MQA786116 MZW786116 NJS786116 NTO786116 ODK786116 ONG786116 OXC786116 PGY786116 PQU786116 QAQ786116 QKM786116 QUI786116 REE786116 ROA786116 RXW786116 SHS786116 SRO786116 TBK786116 TLG786116 TVC786116 UEY786116 UOU786116 UYQ786116 VIM786116 VSI786116 WCE786116 WMA786116 WVW786116 O851652 JK851652 TG851652 ADC851652 AMY851652 AWU851652 BGQ851652 BQM851652 CAI851652 CKE851652 CUA851652 DDW851652 DNS851652 DXO851652 EHK851652 ERG851652 FBC851652 FKY851652 FUU851652 GEQ851652 GOM851652 GYI851652 HIE851652 HSA851652 IBW851652 ILS851652 IVO851652 JFK851652 JPG851652 JZC851652 KIY851652 KSU851652 LCQ851652 LMM851652 LWI851652 MGE851652 MQA851652 MZW851652 NJS851652 NTO851652 ODK851652 ONG851652 OXC851652 PGY851652 PQU851652 QAQ851652 QKM851652 QUI851652 REE851652 ROA851652 RXW851652 SHS851652 SRO851652 TBK851652 TLG851652 TVC851652 UEY851652 UOU851652 UYQ851652 VIM851652 VSI851652 WCE851652 WMA851652 WVW851652 O917188 JK917188 TG917188 ADC917188 AMY917188 AWU917188 BGQ917188 BQM917188 CAI917188 CKE917188 CUA917188 DDW917188 DNS917188 DXO917188 EHK917188 ERG917188 FBC917188 FKY917188 FUU917188 GEQ917188 GOM917188 GYI917188 HIE917188 HSA917188 IBW917188 ILS917188 IVO917188 JFK917188 JPG917188 JZC917188 KIY917188 KSU917188 LCQ917188 LMM917188 LWI917188 MGE917188 MQA917188 MZW917188 NJS917188 NTO917188 ODK917188 ONG917188 OXC917188 PGY917188 PQU917188 QAQ917188 QKM917188 QUI917188 REE917188 ROA917188 RXW917188 SHS917188 SRO917188 TBK917188 TLG917188 TVC917188 UEY917188 UOU917188 UYQ917188 VIM917188 VSI917188 WCE917188 WMA917188 WVW917188 O982724 JK982724 TG982724 ADC982724 AMY982724 AWU982724 BGQ982724 BQM982724 CAI982724 CKE982724 CUA982724 DDW982724 DNS982724 DXO982724 EHK982724 ERG982724 FBC982724 FKY982724 FUU982724 GEQ982724 GOM982724 GYI982724 HIE982724 HSA982724 IBW982724 ILS982724 IVO982724 JFK982724 JPG982724 JZC982724 KIY982724 KSU982724 LCQ982724 LMM982724 LWI982724 MGE982724 MQA982724 MZW982724 NJS982724 NTO982724 ODK982724 ONG982724 OXC982724 PGY982724 PQU982724 QAQ982724 QKM982724 QUI982724 REE982724 ROA982724 RXW982724 SHS982724 SRO982724 TBK982724 TLG982724 TVC982724 UEY982724 UOU982724 UYQ982724 VIM982724 VSI982724 WCE982724 WMA982724 WVW982724"/>
    <dataValidation allowBlank="1" showInputMessage="1" showErrorMessage="1" prompt="Clasificación Programática de acuerdo al emitido por el CONAC (DOF 8-ago-13). Letra y número."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220 IX65220 ST65220 ACP65220 AML65220 AWH65220 BGD65220 BPZ65220 BZV65220 CJR65220 CTN65220 DDJ65220 DNF65220 DXB65220 EGX65220 EQT65220 FAP65220 FKL65220 FUH65220 GED65220 GNZ65220 GXV65220 HHR65220 HRN65220 IBJ65220 ILF65220 IVB65220 JEX65220 JOT65220 JYP65220 KIL65220 KSH65220 LCD65220 LLZ65220 LVV65220 MFR65220 MPN65220 MZJ65220 NJF65220 NTB65220 OCX65220 OMT65220 OWP65220 PGL65220 PQH65220 QAD65220 QJZ65220 QTV65220 RDR65220 RNN65220 RXJ65220 SHF65220 SRB65220 TAX65220 TKT65220 TUP65220 UEL65220 UOH65220 UYD65220 VHZ65220 VRV65220 WBR65220 WLN65220 WVJ65220 B130756 IX130756 ST130756 ACP130756 AML130756 AWH130756 BGD130756 BPZ130756 BZV130756 CJR130756 CTN130756 DDJ130756 DNF130756 DXB130756 EGX130756 EQT130756 FAP130756 FKL130756 FUH130756 GED130756 GNZ130756 GXV130756 HHR130756 HRN130756 IBJ130756 ILF130756 IVB130756 JEX130756 JOT130756 JYP130756 KIL130756 KSH130756 LCD130756 LLZ130756 LVV130756 MFR130756 MPN130756 MZJ130756 NJF130756 NTB130756 OCX130756 OMT130756 OWP130756 PGL130756 PQH130756 QAD130756 QJZ130756 QTV130756 RDR130756 RNN130756 RXJ130756 SHF130756 SRB130756 TAX130756 TKT130756 TUP130756 UEL130756 UOH130756 UYD130756 VHZ130756 VRV130756 WBR130756 WLN130756 WVJ130756 B196292 IX196292 ST196292 ACP196292 AML196292 AWH196292 BGD196292 BPZ196292 BZV196292 CJR196292 CTN196292 DDJ196292 DNF196292 DXB196292 EGX196292 EQT196292 FAP196292 FKL196292 FUH196292 GED196292 GNZ196292 GXV196292 HHR196292 HRN196292 IBJ196292 ILF196292 IVB196292 JEX196292 JOT196292 JYP196292 KIL196292 KSH196292 LCD196292 LLZ196292 LVV196292 MFR196292 MPN196292 MZJ196292 NJF196292 NTB196292 OCX196292 OMT196292 OWP196292 PGL196292 PQH196292 QAD196292 QJZ196292 QTV196292 RDR196292 RNN196292 RXJ196292 SHF196292 SRB196292 TAX196292 TKT196292 TUP196292 UEL196292 UOH196292 UYD196292 VHZ196292 VRV196292 WBR196292 WLN196292 WVJ196292 B261828 IX261828 ST261828 ACP261828 AML261828 AWH261828 BGD261828 BPZ261828 BZV261828 CJR261828 CTN261828 DDJ261828 DNF261828 DXB261828 EGX261828 EQT261828 FAP261828 FKL261828 FUH261828 GED261828 GNZ261828 GXV261828 HHR261828 HRN261828 IBJ261828 ILF261828 IVB261828 JEX261828 JOT261828 JYP261828 KIL261828 KSH261828 LCD261828 LLZ261828 LVV261828 MFR261828 MPN261828 MZJ261828 NJF261828 NTB261828 OCX261828 OMT261828 OWP261828 PGL261828 PQH261828 QAD261828 QJZ261828 QTV261828 RDR261828 RNN261828 RXJ261828 SHF261828 SRB261828 TAX261828 TKT261828 TUP261828 UEL261828 UOH261828 UYD261828 VHZ261828 VRV261828 WBR261828 WLN261828 WVJ261828 B327364 IX327364 ST327364 ACP327364 AML327364 AWH327364 BGD327364 BPZ327364 BZV327364 CJR327364 CTN327364 DDJ327364 DNF327364 DXB327364 EGX327364 EQT327364 FAP327364 FKL327364 FUH327364 GED327364 GNZ327364 GXV327364 HHR327364 HRN327364 IBJ327364 ILF327364 IVB327364 JEX327364 JOT327364 JYP327364 KIL327364 KSH327364 LCD327364 LLZ327364 LVV327364 MFR327364 MPN327364 MZJ327364 NJF327364 NTB327364 OCX327364 OMT327364 OWP327364 PGL327364 PQH327364 QAD327364 QJZ327364 QTV327364 RDR327364 RNN327364 RXJ327364 SHF327364 SRB327364 TAX327364 TKT327364 TUP327364 UEL327364 UOH327364 UYD327364 VHZ327364 VRV327364 WBR327364 WLN327364 WVJ327364 B392900 IX392900 ST392900 ACP392900 AML392900 AWH392900 BGD392900 BPZ392900 BZV392900 CJR392900 CTN392900 DDJ392900 DNF392900 DXB392900 EGX392900 EQT392900 FAP392900 FKL392900 FUH392900 GED392900 GNZ392900 GXV392900 HHR392900 HRN392900 IBJ392900 ILF392900 IVB392900 JEX392900 JOT392900 JYP392900 KIL392900 KSH392900 LCD392900 LLZ392900 LVV392900 MFR392900 MPN392900 MZJ392900 NJF392900 NTB392900 OCX392900 OMT392900 OWP392900 PGL392900 PQH392900 QAD392900 QJZ392900 QTV392900 RDR392900 RNN392900 RXJ392900 SHF392900 SRB392900 TAX392900 TKT392900 TUP392900 UEL392900 UOH392900 UYD392900 VHZ392900 VRV392900 WBR392900 WLN392900 WVJ392900 B458436 IX458436 ST458436 ACP458436 AML458436 AWH458436 BGD458436 BPZ458436 BZV458436 CJR458436 CTN458436 DDJ458436 DNF458436 DXB458436 EGX458436 EQT458436 FAP458436 FKL458436 FUH458436 GED458436 GNZ458436 GXV458436 HHR458436 HRN458436 IBJ458436 ILF458436 IVB458436 JEX458436 JOT458436 JYP458436 KIL458436 KSH458436 LCD458436 LLZ458436 LVV458436 MFR458436 MPN458436 MZJ458436 NJF458436 NTB458436 OCX458436 OMT458436 OWP458436 PGL458436 PQH458436 QAD458436 QJZ458436 QTV458436 RDR458436 RNN458436 RXJ458436 SHF458436 SRB458436 TAX458436 TKT458436 TUP458436 UEL458436 UOH458436 UYD458436 VHZ458436 VRV458436 WBR458436 WLN458436 WVJ458436 B523972 IX523972 ST523972 ACP523972 AML523972 AWH523972 BGD523972 BPZ523972 BZV523972 CJR523972 CTN523972 DDJ523972 DNF523972 DXB523972 EGX523972 EQT523972 FAP523972 FKL523972 FUH523972 GED523972 GNZ523972 GXV523972 HHR523972 HRN523972 IBJ523972 ILF523972 IVB523972 JEX523972 JOT523972 JYP523972 KIL523972 KSH523972 LCD523972 LLZ523972 LVV523972 MFR523972 MPN523972 MZJ523972 NJF523972 NTB523972 OCX523972 OMT523972 OWP523972 PGL523972 PQH523972 QAD523972 QJZ523972 QTV523972 RDR523972 RNN523972 RXJ523972 SHF523972 SRB523972 TAX523972 TKT523972 TUP523972 UEL523972 UOH523972 UYD523972 VHZ523972 VRV523972 WBR523972 WLN523972 WVJ523972 B589508 IX589508 ST589508 ACP589508 AML589508 AWH589508 BGD589508 BPZ589508 BZV589508 CJR589508 CTN589508 DDJ589508 DNF589508 DXB589508 EGX589508 EQT589508 FAP589508 FKL589508 FUH589508 GED589508 GNZ589508 GXV589508 HHR589508 HRN589508 IBJ589508 ILF589508 IVB589508 JEX589508 JOT589508 JYP589508 KIL589508 KSH589508 LCD589508 LLZ589508 LVV589508 MFR589508 MPN589508 MZJ589508 NJF589508 NTB589508 OCX589508 OMT589508 OWP589508 PGL589508 PQH589508 QAD589508 QJZ589508 QTV589508 RDR589508 RNN589508 RXJ589508 SHF589508 SRB589508 TAX589508 TKT589508 TUP589508 UEL589508 UOH589508 UYD589508 VHZ589508 VRV589508 WBR589508 WLN589508 WVJ589508 B655044 IX655044 ST655044 ACP655044 AML655044 AWH655044 BGD655044 BPZ655044 BZV655044 CJR655044 CTN655044 DDJ655044 DNF655044 DXB655044 EGX655044 EQT655044 FAP655044 FKL655044 FUH655044 GED655044 GNZ655044 GXV655044 HHR655044 HRN655044 IBJ655044 ILF655044 IVB655044 JEX655044 JOT655044 JYP655044 KIL655044 KSH655044 LCD655044 LLZ655044 LVV655044 MFR655044 MPN655044 MZJ655044 NJF655044 NTB655044 OCX655044 OMT655044 OWP655044 PGL655044 PQH655044 QAD655044 QJZ655044 QTV655044 RDR655044 RNN655044 RXJ655044 SHF655044 SRB655044 TAX655044 TKT655044 TUP655044 UEL655044 UOH655044 UYD655044 VHZ655044 VRV655044 WBR655044 WLN655044 WVJ655044 B720580 IX720580 ST720580 ACP720580 AML720580 AWH720580 BGD720580 BPZ720580 BZV720580 CJR720580 CTN720580 DDJ720580 DNF720580 DXB720580 EGX720580 EQT720580 FAP720580 FKL720580 FUH720580 GED720580 GNZ720580 GXV720580 HHR720580 HRN720580 IBJ720580 ILF720580 IVB720580 JEX720580 JOT720580 JYP720580 KIL720580 KSH720580 LCD720580 LLZ720580 LVV720580 MFR720580 MPN720580 MZJ720580 NJF720580 NTB720580 OCX720580 OMT720580 OWP720580 PGL720580 PQH720580 QAD720580 QJZ720580 QTV720580 RDR720580 RNN720580 RXJ720580 SHF720580 SRB720580 TAX720580 TKT720580 TUP720580 UEL720580 UOH720580 UYD720580 VHZ720580 VRV720580 WBR720580 WLN720580 WVJ720580 B786116 IX786116 ST786116 ACP786116 AML786116 AWH786116 BGD786116 BPZ786116 BZV786116 CJR786116 CTN786116 DDJ786116 DNF786116 DXB786116 EGX786116 EQT786116 FAP786116 FKL786116 FUH786116 GED786116 GNZ786116 GXV786116 HHR786116 HRN786116 IBJ786116 ILF786116 IVB786116 JEX786116 JOT786116 JYP786116 KIL786116 KSH786116 LCD786116 LLZ786116 LVV786116 MFR786116 MPN786116 MZJ786116 NJF786116 NTB786116 OCX786116 OMT786116 OWP786116 PGL786116 PQH786116 QAD786116 QJZ786116 QTV786116 RDR786116 RNN786116 RXJ786116 SHF786116 SRB786116 TAX786116 TKT786116 TUP786116 UEL786116 UOH786116 UYD786116 VHZ786116 VRV786116 WBR786116 WLN786116 WVJ786116 B851652 IX851652 ST851652 ACP851652 AML851652 AWH851652 BGD851652 BPZ851652 BZV851652 CJR851652 CTN851652 DDJ851652 DNF851652 DXB851652 EGX851652 EQT851652 FAP851652 FKL851652 FUH851652 GED851652 GNZ851652 GXV851652 HHR851652 HRN851652 IBJ851652 ILF851652 IVB851652 JEX851652 JOT851652 JYP851652 KIL851652 KSH851652 LCD851652 LLZ851652 LVV851652 MFR851652 MPN851652 MZJ851652 NJF851652 NTB851652 OCX851652 OMT851652 OWP851652 PGL851652 PQH851652 QAD851652 QJZ851652 QTV851652 RDR851652 RNN851652 RXJ851652 SHF851652 SRB851652 TAX851652 TKT851652 TUP851652 UEL851652 UOH851652 UYD851652 VHZ851652 VRV851652 WBR851652 WLN851652 WVJ851652 B917188 IX917188 ST917188 ACP917188 AML917188 AWH917188 BGD917188 BPZ917188 BZV917188 CJR917188 CTN917188 DDJ917188 DNF917188 DXB917188 EGX917188 EQT917188 FAP917188 FKL917188 FUH917188 GED917188 GNZ917188 GXV917188 HHR917188 HRN917188 IBJ917188 ILF917188 IVB917188 JEX917188 JOT917188 JYP917188 KIL917188 KSH917188 LCD917188 LLZ917188 LVV917188 MFR917188 MPN917188 MZJ917188 NJF917188 NTB917188 OCX917188 OMT917188 OWP917188 PGL917188 PQH917188 QAD917188 QJZ917188 QTV917188 RDR917188 RNN917188 RXJ917188 SHF917188 SRB917188 TAX917188 TKT917188 TUP917188 UEL917188 UOH917188 UYD917188 VHZ917188 VRV917188 WBR917188 WLN917188 WVJ917188 B982724 IX982724 ST982724 ACP982724 AML982724 AWH982724 BGD982724 BPZ982724 BZV982724 CJR982724 CTN982724 DDJ982724 DNF982724 DXB982724 EGX982724 EQT982724 FAP982724 FKL982724 FUH982724 GED982724 GNZ982724 GXV982724 HHR982724 HRN982724 IBJ982724 ILF982724 IVB982724 JEX982724 JOT982724 JYP982724 KIL982724 KSH982724 LCD982724 LLZ982724 LVV982724 MFR982724 MPN982724 MZJ982724 NJF982724 NTB982724 OCX982724 OMT982724 OWP982724 PGL982724 PQH982724 QAD982724 QJZ982724 QTV982724 RDR982724 RNN982724 RXJ982724 SHF982724 SRB982724 TAX982724 TKT982724 TUP982724 UEL982724 UOH982724 UYD982724 VHZ982724 VRV982724 WBR982724 WLN982724 WVJ982724"/>
    <dataValidation allowBlank="1" showInputMessage="1" showErrorMessage="1" prompt="Es el momento que refleja la cancelación total o parcial de las obligaciones de pago, que se concreta mediante el desembolso de efectivo o cualquier otro medio de pago." sqref="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220 JJ65220 TF65220 ADB65220 AMX65220 AWT65220 BGP65220 BQL65220 CAH65220 CKD65220 CTZ65220 DDV65220 DNR65220 DXN65220 EHJ65220 ERF65220 FBB65220 FKX65220 FUT65220 GEP65220 GOL65220 GYH65220 HID65220 HRZ65220 IBV65220 ILR65220 IVN65220 JFJ65220 JPF65220 JZB65220 KIX65220 KST65220 LCP65220 LML65220 LWH65220 MGD65220 MPZ65220 MZV65220 NJR65220 NTN65220 ODJ65220 ONF65220 OXB65220 PGX65220 PQT65220 QAP65220 QKL65220 QUH65220 RED65220 RNZ65220 RXV65220 SHR65220 SRN65220 TBJ65220 TLF65220 TVB65220 UEX65220 UOT65220 UYP65220 VIL65220 VSH65220 WCD65220 WLZ65220 WVV65220 N130756 JJ130756 TF130756 ADB130756 AMX130756 AWT130756 BGP130756 BQL130756 CAH130756 CKD130756 CTZ130756 DDV130756 DNR130756 DXN130756 EHJ130756 ERF130756 FBB130756 FKX130756 FUT130756 GEP130756 GOL130756 GYH130756 HID130756 HRZ130756 IBV130756 ILR130756 IVN130756 JFJ130756 JPF130756 JZB130756 KIX130756 KST130756 LCP130756 LML130756 LWH130756 MGD130756 MPZ130756 MZV130756 NJR130756 NTN130756 ODJ130756 ONF130756 OXB130756 PGX130756 PQT130756 QAP130756 QKL130756 QUH130756 RED130756 RNZ130756 RXV130756 SHR130756 SRN130756 TBJ130756 TLF130756 TVB130756 UEX130756 UOT130756 UYP130756 VIL130756 VSH130756 WCD130756 WLZ130756 WVV130756 N196292 JJ196292 TF196292 ADB196292 AMX196292 AWT196292 BGP196292 BQL196292 CAH196292 CKD196292 CTZ196292 DDV196292 DNR196292 DXN196292 EHJ196292 ERF196292 FBB196292 FKX196292 FUT196292 GEP196292 GOL196292 GYH196292 HID196292 HRZ196292 IBV196292 ILR196292 IVN196292 JFJ196292 JPF196292 JZB196292 KIX196292 KST196292 LCP196292 LML196292 LWH196292 MGD196292 MPZ196292 MZV196292 NJR196292 NTN196292 ODJ196292 ONF196292 OXB196292 PGX196292 PQT196292 QAP196292 QKL196292 QUH196292 RED196292 RNZ196292 RXV196292 SHR196292 SRN196292 TBJ196292 TLF196292 TVB196292 UEX196292 UOT196292 UYP196292 VIL196292 VSH196292 WCD196292 WLZ196292 WVV196292 N261828 JJ261828 TF261828 ADB261828 AMX261828 AWT261828 BGP261828 BQL261828 CAH261828 CKD261828 CTZ261828 DDV261828 DNR261828 DXN261828 EHJ261828 ERF261828 FBB261828 FKX261828 FUT261828 GEP261828 GOL261828 GYH261828 HID261828 HRZ261828 IBV261828 ILR261828 IVN261828 JFJ261828 JPF261828 JZB261828 KIX261828 KST261828 LCP261828 LML261828 LWH261828 MGD261828 MPZ261828 MZV261828 NJR261828 NTN261828 ODJ261828 ONF261828 OXB261828 PGX261828 PQT261828 QAP261828 QKL261828 QUH261828 RED261828 RNZ261828 RXV261828 SHR261828 SRN261828 TBJ261828 TLF261828 TVB261828 UEX261828 UOT261828 UYP261828 VIL261828 VSH261828 WCD261828 WLZ261828 WVV261828 N327364 JJ327364 TF327364 ADB327364 AMX327364 AWT327364 BGP327364 BQL327364 CAH327364 CKD327364 CTZ327364 DDV327364 DNR327364 DXN327364 EHJ327364 ERF327364 FBB327364 FKX327364 FUT327364 GEP327364 GOL327364 GYH327364 HID327364 HRZ327364 IBV327364 ILR327364 IVN327364 JFJ327364 JPF327364 JZB327364 KIX327364 KST327364 LCP327364 LML327364 LWH327364 MGD327364 MPZ327364 MZV327364 NJR327364 NTN327364 ODJ327364 ONF327364 OXB327364 PGX327364 PQT327364 QAP327364 QKL327364 QUH327364 RED327364 RNZ327364 RXV327364 SHR327364 SRN327364 TBJ327364 TLF327364 TVB327364 UEX327364 UOT327364 UYP327364 VIL327364 VSH327364 WCD327364 WLZ327364 WVV327364 N392900 JJ392900 TF392900 ADB392900 AMX392900 AWT392900 BGP392900 BQL392900 CAH392900 CKD392900 CTZ392900 DDV392900 DNR392900 DXN392900 EHJ392900 ERF392900 FBB392900 FKX392900 FUT392900 GEP392900 GOL392900 GYH392900 HID392900 HRZ392900 IBV392900 ILR392900 IVN392900 JFJ392900 JPF392900 JZB392900 KIX392900 KST392900 LCP392900 LML392900 LWH392900 MGD392900 MPZ392900 MZV392900 NJR392900 NTN392900 ODJ392900 ONF392900 OXB392900 PGX392900 PQT392900 QAP392900 QKL392900 QUH392900 RED392900 RNZ392900 RXV392900 SHR392900 SRN392900 TBJ392900 TLF392900 TVB392900 UEX392900 UOT392900 UYP392900 VIL392900 VSH392900 WCD392900 WLZ392900 WVV392900 N458436 JJ458436 TF458436 ADB458436 AMX458436 AWT458436 BGP458436 BQL458436 CAH458436 CKD458436 CTZ458436 DDV458436 DNR458436 DXN458436 EHJ458436 ERF458436 FBB458436 FKX458436 FUT458436 GEP458436 GOL458436 GYH458436 HID458436 HRZ458436 IBV458436 ILR458436 IVN458436 JFJ458436 JPF458436 JZB458436 KIX458436 KST458436 LCP458436 LML458436 LWH458436 MGD458436 MPZ458436 MZV458436 NJR458436 NTN458436 ODJ458436 ONF458436 OXB458436 PGX458436 PQT458436 QAP458436 QKL458436 QUH458436 RED458436 RNZ458436 RXV458436 SHR458436 SRN458436 TBJ458436 TLF458436 TVB458436 UEX458436 UOT458436 UYP458436 VIL458436 VSH458436 WCD458436 WLZ458436 WVV458436 N523972 JJ523972 TF523972 ADB523972 AMX523972 AWT523972 BGP523972 BQL523972 CAH523972 CKD523972 CTZ523972 DDV523972 DNR523972 DXN523972 EHJ523972 ERF523972 FBB523972 FKX523972 FUT523972 GEP523972 GOL523972 GYH523972 HID523972 HRZ523972 IBV523972 ILR523972 IVN523972 JFJ523972 JPF523972 JZB523972 KIX523972 KST523972 LCP523972 LML523972 LWH523972 MGD523972 MPZ523972 MZV523972 NJR523972 NTN523972 ODJ523972 ONF523972 OXB523972 PGX523972 PQT523972 QAP523972 QKL523972 QUH523972 RED523972 RNZ523972 RXV523972 SHR523972 SRN523972 TBJ523972 TLF523972 TVB523972 UEX523972 UOT523972 UYP523972 VIL523972 VSH523972 WCD523972 WLZ523972 WVV523972 N589508 JJ589508 TF589508 ADB589508 AMX589508 AWT589508 BGP589508 BQL589508 CAH589508 CKD589508 CTZ589508 DDV589508 DNR589508 DXN589508 EHJ589508 ERF589508 FBB589508 FKX589508 FUT589508 GEP589508 GOL589508 GYH589508 HID589508 HRZ589508 IBV589508 ILR589508 IVN589508 JFJ589508 JPF589508 JZB589508 KIX589508 KST589508 LCP589508 LML589508 LWH589508 MGD589508 MPZ589508 MZV589508 NJR589508 NTN589508 ODJ589508 ONF589508 OXB589508 PGX589508 PQT589508 QAP589508 QKL589508 QUH589508 RED589508 RNZ589508 RXV589508 SHR589508 SRN589508 TBJ589508 TLF589508 TVB589508 UEX589508 UOT589508 UYP589508 VIL589508 VSH589508 WCD589508 WLZ589508 WVV589508 N655044 JJ655044 TF655044 ADB655044 AMX655044 AWT655044 BGP655044 BQL655044 CAH655044 CKD655044 CTZ655044 DDV655044 DNR655044 DXN655044 EHJ655044 ERF655044 FBB655044 FKX655044 FUT655044 GEP655044 GOL655044 GYH655044 HID655044 HRZ655044 IBV655044 ILR655044 IVN655044 JFJ655044 JPF655044 JZB655044 KIX655044 KST655044 LCP655044 LML655044 LWH655044 MGD655044 MPZ655044 MZV655044 NJR655044 NTN655044 ODJ655044 ONF655044 OXB655044 PGX655044 PQT655044 QAP655044 QKL655044 QUH655044 RED655044 RNZ655044 RXV655044 SHR655044 SRN655044 TBJ655044 TLF655044 TVB655044 UEX655044 UOT655044 UYP655044 VIL655044 VSH655044 WCD655044 WLZ655044 WVV655044 N720580 JJ720580 TF720580 ADB720580 AMX720580 AWT720580 BGP720580 BQL720580 CAH720580 CKD720580 CTZ720580 DDV720580 DNR720580 DXN720580 EHJ720580 ERF720580 FBB720580 FKX720580 FUT720580 GEP720580 GOL720580 GYH720580 HID720580 HRZ720580 IBV720580 ILR720580 IVN720580 JFJ720580 JPF720580 JZB720580 KIX720580 KST720580 LCP720580 LML720580 LWH720580 MGD720580 MPZ720580 MZV720580 NJR720580 NTN720580 ODJ720580 ONF720580 OXB720580 PGX720580 PQT720580 QAP720580 QKL720580 QUH720580 RED720580 RNZ720580 RXV720580 SHR720580 SRN720580 TBJ720580 TLF720580 TVB720580 UEX720580 UOT720580 UYP720580 VIL720580 VSH720580 WCD720580 WLZ720580 WVV720580 N786116 JJ786116 TF786116 ADB786116 AMX786116 AWT786116 BGP786116 BQL786116 CAH786116 CKD786116 CTZ786116 DDV786116 DNR786116 DXN786116 EHJ786116 ERF786116 FBB786116 FKX786116 FUT786116 GEP786116 GOL786116 GYH786116 HID786116 HRZ786116 IBV786116 ILR786116 IVN786116 JFJ786116 JPF786116 JZB786116 KIX786116 KST786116 LCP786116 LML786116 LWH786116 MGD786116 MPZ786116 MZV786116 NJR786116 NTN786116 ODJ786116 ONF786116 OXB786116 PGX786116 PQT786116 QAP786116 QKL786116 QUH786116 RED786116 RNZ786116 RXV786116 SHR786116 SRN786116 TBJ786116 TLF786116 TVB786116 UEX786116 UOT786116 UYP786116 VIL786116 VSH786116 WCD786116 WLZ786116 WVV786116 N851652 JJ851652 TF851652 ADB851652 AMX851652 AWT851652 BGP851652 BQL851652 CAH851652 CKD851652 CTZ851652 DDV851652 DNR851652 DXN851652 EHJ851652 ERF851652 FBB851652 FKX851652 FUT851652 GEP851652 GOL851652 GYH851652 HID851652 HRZ851652 IBV851652 ILR851652 IVN851652 JFJ851652 JPF851652 JZB851652 KIX851652 KST851652 LCP851652 LML851652 LWH851652 MGD851652 MPZ851652 MZV851652 NJR851652 NTN851652 ODJ851652 ONF851652 OXB851652 PGX851652 PQT851652 QAP851652 QKL851652 QUH851652 RED851652 RNZ851652 RXV851652 SHR851652 SRN851652 TBJ851652 TLF851652 TVB851652 UEX851652 UOT851652 UYP851652 VIL851652 VSH851652 WCD851652 WLZ851652 WVV851652 N917188 JJ917188 TF917188 ADB917188 AMX917188 AWT917188 BGP917188 BQL917188 CAH917188 CKD917188 CTZ917188 DDV917188 DNR917188 DXN917188 EHJ917188 ERF917188 FBB917188 FKX917188 FUT917188 GEP917188 GOL917188 GYH917188 HID917188 HRZ917188 IBV917188 ILR917188 IVN917188 JFJ917188 JPF917188 JZB917188 KIX917188 KST917188 LCP917188 LML917188 LWH917188 MGD917188 MPZ917188 MZV917188 NJR917188 NTN917188 ODJ917188 ONF917188 OXB917188 PGX917188 PQT917188 QAP917188 QKL917188 QUH917188 RED917188 RNZ917188 RXV917188 SHR917188 SRN917188 TBJ917188 TLF917188 TVB917188 UEX917188 UOT917188 UYP917188 VIL917188 VSH917188 WCD917188 WLZ917188 WVV917188 N982724 JJ982724 TF982724 ADB982724 AMX982724 AWT982724 BGP982724 BQL982724 CAH982724 CKD982724 CTZ982724 DDV982724 DNR982724 DXN982724 EHJ982724 ERF982724 FBB982724 FKX982724 FUT982724 GEP982724 GOL982724 GYH982724 HID982724 HRZ982724 IBV982724 ILR982724 IVN982724 JFJ982724 JPF982724 JZB982724 KIX982724 KST982724 LCP982724 LML982724 LWH982724 MGD982724 MPZ982724 MZV982724 NJR982724 NTN982724 ODJ982724 ONF982724 OXB982724 PGX982724 PQT982724 QAP982724 QKL982724 QUH982724 RED982724 RNZ982724 RXV982724 SHR982724 SRN982724 TBJ982724 TLF982724 TVB982724 UEX982724 UOT982724 UYP982724 VIL982724 VSH982724 WCD982724 WLZ982724 WVV982724"/>
    <dataValidation allowBlank="1" showInputMessage="1" showErrorMessage="1" prompt="En esta columna deben registrarse los &quot;cargos&quot; del ejercido. Este momento refleja la emisión de una cuenta por liquidar certificada o documento equivalente (solicitud de pago) debidamente aprobado por la autoridad competente." sqref="M2 JI2 TE2 ADA2 AMW2 AWS2 BGO2 BQK2 CAG2 CKC2 CTY2 DDU2 DNQ2 DXM2 EHI2 ERE2 FBA2 FKW2 FUS2 GEO2 GOK2 GYG2 HIC2 HRY2 IBU2 ILQ2 IVM2 JFI2 JPE2 JZA2 KIW2 KSS2 LCO2 LMK2 LWG2 MGC2 MPY2 MZU2 NJQ2 NTM2 ODI2 ONE2 OXA2 PGW2 PQS2 QAO2 QKK2 QUG2 REC2 RNY2 RXU2 SHQ2 SRM2 TBI2 TLE2 TVA2 UEW2 UOS2 UYO2 VIK2 VSG2 WCC2 WLY2 WVU2 M65220 JI65220 TE65220 ADA65220 AMW65220 AWS65220 BGO65220 BQK65220 CAG65220 CKC65220 CTY65220 DDU65220 DNQ65220 DXM65220 EHI65220 ERE65220 FBA65220 FKW65220 FUS65220 GEO65220 GOK65220 GYG65220 HIC65220 HRY65220 IBU65220 ILQ65220 IVM65220 JFI65220 JPE65220 JZA65220 KIW65220 KSS65220 LCO65220 LMK65220 LWG65220 MGC65220 MPY65220 MZU65220 NJQ65220 NTM65220 ODI65220 ONE65220 OXA65220 PGW65220 PQS65220 QAO65220 QKK65220 QUG65220 REC65220 RNY65220 RXU65220 SHQ65220 SRM65220 TBI65220 TLE65220 TVA65220 UEW65220 UOS65220 UYO65220 VIK65220 VSG65220 WCC65220 WLY65220 WVU65220 M130756 JI130756 TE130756 ADA130756 AMW130756 AWS130756 BGO130756 BQK130756 CAG130756 CKC130756 CTY130756 DDU130756 DNQ130756 DXM130756 EHI130756 ERE130756 FBA130756 FKW130756 FUS130756 GEO130756 GOK130756 GYG130756 HIC130756 HRY130756 IBU130756 ILQ130756 IVM130756 JFI130756 JPE130756 JZA130756 KIW130756 KSS130756 LCO130756 LMK130756 LWG130756 MGC130756 MPY130756 MZU130756 NJQ130756 NTM130756 ODI130756 ONE130756 OXA130756 PGW130756 PQS130756 QAO130756 QKK130756 QUG130756 REC130756 RNY130756 RXU130756 SHQ130756 SRM130756 TBI130756 TLE130756 TVA130756 UEW130756 UOS130756 UYO130756 VIK130756 VSG130756 WCC130756 WLY130756 WVU130756 M196292 JI196292 TE196292 ADA196292 AMW196292 AWS196292 BGO196292 BQK196292 CAG196292 CKC196292 CTY196292 DDU196292 DNQ196292 DXM196292 EHI196292 ERE196292 FBA196292 FKW196292 FUS196292 GEO196292 GOK196292 GYG196292 HIC196292 HRY196292 IBU196292 ILQ196292 IVM196292 JFI196292 JPE196292 JZA196292 KIW196292 KSS196292 LCO196292 LMK196292 LWG196292 MGC196292 MPY196292 MZU196292 NJQ196292 NTM196292 ODI196292 ONE196292 OXA196292 PGW196292 PQS196292 QAO196292 QKK196292 QUG196292 REC196292 RNY196292 RXU196292 SHQ196292 SRM196292 TBI196292 TLE196292 TVA196292 UEW196292 UOS196292 UYO196292 VIK196292 VSG196292 WCC196292 WLY196292 WVU196292 M261828 JI261828 TE261828 ADA261828 AMW261828 AWS261828 BGO261828 BQK261828 CAG261828 CKC261828 CTY261828 DDU261828 DNQ261828 DXM261828 EHI261828 ERE261828 FBA261828 FKW261828 FUS261828 GEO261828 GOK261828 GYG261828 HIC261828 HRY261828 IBU261828 ILQ261828 IVM261828 JFI261828 JPE261828 JZA261828 KIW261828 KSS261828 LCO261828 LMK261828 LWG261828 MGC261828 MPY261828 MZU261828 NJQ261828 NTM261828 ODI261828 ONE261828 OXA261828 PGW261828 PQS261828 QAO261828 QKK261828 QUG261828 REC261828 RNY261828 RXU261828 SHQ261828 SRM261828 TBI261828 TLE261828 TVA261828 UEW261828 UOS261828 UYO261828 VIK261828 VSG261828 WCC261828 WLY261828 WVU261828 M327364 JI327364 TE327364 ADA327364 AMW327364 AWS327364 BGO327364 BQK327364 CAG327364 CKC327364 CTY327364 DDU327364 DNQ327364 DXM327364 EHI327364 ERE327364 FBA327364 FKW327364 FUS327364 GEO327364 GOK327364 GYG327364 HIC327364 HRY327364 IBU327364 ILQ327364 IVM327364 JFI327364 JPE327364 JZA327364 KIW327364 KSS327364 LCO327364 LMK327364 LWG327364 MGC327364 MPY327364 MZU327364 NJQ327364 NTM327364 ODI327364 ONE327364 OXA327364 PGW327364 PQS327364 QAO327364 QKK327364 QUG327364 REC327364 RNY327364 RXU327364 SHQ327364 SRM327364 TBI327364 TLE327364 TVA327364 UEW327364 UOS327364 UYO327364 VIK327364 VSG327364 WCC327364 WLY327364 WVU327364 M392900 JI392900 TE392900 ADA392900 AMW392900 AWS392900 BGO392900 BQK392900 CAG392900 CKC392900 CTY392900 DDU392900 DNQ392900 DXM392900 EHI392900 ERE392900 FBA392900 FKW392900 FUS392900 GEO392900 GOK392900 GYG392900 HIC392900 HRY392900 IBU392900 ILQ392900 IVM392900 JFI392900 JPE392900 JZA392900 KIW392900 KSS392900 LCO392900 LMK392900 LWG392900 MGC392900 MPY392900 MZU392900 NJQ392900 NTM392900 ODI392900 ONE392900 OXA392900 PGW392900 PQS392900 QAO392900 QKK392900 QUG392900 REC392900 RNY392900 RXU392900 SHQ392900 SRM392900 TBI392900 TLE392900 TVA392900 UEW392900 UOS392900 UYO392900 VIK392900 VSG392900 WCC392900 WLY392900 WVU392900 M458436 JI458436 TE458436 ADA458436 AMW458436 AWS458436 BGO458436 BQK458436 CAG458436 CKC458436 CTY458436 DDU458436 DNQ458436 DXM458436 EHI458436 ERE458436 FBA458436 FKW458436 FUS458436 GEO458436 GOK458436 GYG458436 HIC458436 HRY458436 IBU458436 ILQ458436 IVM458436 JFI458436 JPE458436 JZA458436 KIW458436 KSS458436 LCO458436 LMK458436 LWG458436 MGC458436 MPY458436 MZU458436 NJQ458436 NTM458436 ODI458436 ONE458436 OXA458436 PGW458436 PQS458436 QAO458436 QKK458436 QUG458436 REC458436 RNY458436 RXU458436 SHQ458436 SRM458436 TBI458436 TLE458436 TVA458436 UEW458436 UOS458436 UYO458436 VIK458436 VSG458436 WCC458436 WLY458436 WVU458436 M523972 JI523972 TE523972 ADA523972 AMW523972 AWS523972 BGO523972 BQK523972 CAG523972 CKC523972 CTY523972 DDU523972 DNQ523972 DXM523972 EHI523972 ERE523972 FBA523972 FKW523972 FUS523972 GEO523972 GOK523972 GYG523972 HIC523972 HRY523972 IBU523972 ILQ523972 IVM523972 JFI523972 JPE523972 JZA523972 KIW523972 KSS523972 LCO523972 LMK523972 LWG523972 MGC523972 MPY523972 MZU523972 NJQ523972 NTM523972 ODI523972 ONE523972 OXA523972 PGW523972 PQS523972 QAO523972 QKK523972 QUG523972 REC523972 RNY523972 RXU523972 SHQ523972 SRM523972 TBI523972 TLE523972 TVA523972 UEW523972 UOS523972 UYO523972 VIK523972 VSG523972 WCC523972 WLY523972 WVU523972 M589508 JI589508 TE589508 ADA589508 AMW589508 AWS589508 BGO589508 BQK589508 CAG589508 CKC589508 CTY589508 DDU589508 DNQ589508 DXM589508 EHI589508 ERE589508 FBA589508 FKW589508 FUS589508 GEO589508 GOK589508 GYG589508 HIC589508 HRY589508 IBU589508 ILQ589508 IVM589508 JFI589508 JPE589508 JZA589508 KIW589508 KSS589508 LCO589508 LMK589508 LWG589508 MGC589508 MPY589508 MZU589508 NJQ589508 NTM589508 ODI589508 ONE589508 OXA589508 PGW589508 PQS589508 QAO589508 QKK589508 QUG589508 REC589508 RNY589508 RXU589508 SHQ589508 SRM589508 TBI589508 TLE589508 TVA589508 UEW589508 UOS589508 UYO589508 VIK589508 VSG589508 WCC589508 WLY589508 WVU589508 M655044 JI655044 TE655044 ADA655044 AMW655044 AWS655044 BGO655044 BQK655044 CAG655044 CKC655044 CTY655044 DDU655044 DNQ655044 DXM655044 EHI655044 ERE655044 FBA655044 FKW655044 FUS655044 GEO655044 GOK655044 GYG655044 HIC655044 HRY655044 IBU655044 ILQ655044 IVM655044 JFI655044 JPE655044 JZA655044 KIW655044 KSS655044 LCO655044 LMK655044 LWG655044 MGC655044 MPY655044 MZU655044 NJQ655044 NTM655044 ODI655044 ONE655044 OXA655044 PGW655044 PQS655044 QAO655044 QKK655044 QUG655044 REC655044 RNY655044 RXU655044 SHQ655044 SRM655044 TBI655044 TLE655044 TVA655044 UEW655044 UOS655044 UYO655044 VIK655044 VSG655044 WCC655044 WLY655044 WVU655044 M720580 JI720580 TE720580 ADA720580 AMW720580 AWS720580 BGO720580 BQK720580 CAG720580 CKC720580 CTY720580 DDU720580 DNQ720580 DXM720580 EHI720580 ERE720580 FBA720580 FKW720580 FUS720580 GEO720580 GOK720580 GYG720580 HIC720580 HRY720580 IBU720580 ILQ720580 IVM720580 JFI720580 JPE720580 JZA720580 KIW720580 KSS720580 LCO720580 LMK720580 LWG720580 MGC720580 MPY720580 MZU720580 NJQ720580 NTM720580 ODI720580 ONE720580 OXA720580 PGW720580 PQS720580 QAO720580 QKK720580 QUG720580 REC720580 RNY720580 RXU720580 SHQ720580 SRM720580 TBI720580 TLE720580 TVA720580 UEW720580 UOS720580 UYO720580 VIK720580 VSG720580 WCC720580 WLY720580 WVU720580 M786116 JI786116 TE786116 ADA786116 AMW786116 AWS786116 BGO786116 BQK786116 CAG786116 CKC786116 CTY786116 DDU786116 DNQ786116 DXM786116 EHI786116 ERE786116 FBA786116 FKW786116 FUS786116 GEO786116 GOK786116 GYG786116 HIC786116 HRY786116 IBU786116 ILQ786116 IVM786116 JFI786116 JPE786116 JZA786116 KIW786116 KSS786116 LCO786116 LMK786116 LWG786116 MGC786116 MPY786116 MZU786116 NJQ786116 NTM786116 ODI786116 ONE786116 OXA786116 PGW786116 PQS786116 QAO786116 QKK786116 QUG786116 REC786116 RNY786116 RXU786116 SHQ786116 SRM786116 TBI786116 TLE786116 TVA786116 UEW786116 UOS786116 UYO786116 VIK786116 VSG786116 WCC786116 WLY786116 WVU786116 M851652 JI851652 TE851652 ADA851652 AMW851652 AWS851652 BGO851652 BQK851652 CAG851652 CKC851652 CTY851652 DDU851652 DNQ851652 DXM851652 EHI851652 ERE851652 FBA851652 FKW851652 FUS851652 GEO851652 GOK851652 GYG851652 HIC851652 HRY851652 IBU851652 ILQ851652 IVM851652 JFI851652 JPE851652 JZA851652 KIW851652 KSS851652 LCO851652 LMK851652 LWG851652 MGC851652 MPY851652 MZU851652 NJQ851652 NTM851652 ODI851652 ONE851652 OXA851652 PGW851652 PQS851652 QAO851652 QKK851652 QUG851652 REC851652 RNY851652 RXU851652 SHQ851652 SRM851652 TBI851652 TLE851652 TVA851652 UEW851652 UOS851652 UYO851652 VIK851652 VSG851652 WCC851652 WLY851652 WVU851652 M917188 JI917188 TE917188 ADA917188 AMW917188 AWS917188 BGO917188 BQK917188 CAG917188 CKC917188 CTY917188 DDU917188 DNQ917188 DXM917188 EHI917188 ERE917188 FBA917188 FKW917188 FUS917188 GEO917188 GOK917188 GYG917188 HIC917188 HRY917188 IBU917188 ILQ917188 IVM917188 JFI917188 JPE917188 JZA917188 KIW917188 KSS917188 LCO917188 LMK917188 LWG917188 MGC917188 MPY917188 MZU917188 NJQ917188 NTM917188 ODI917188 ONE917188 OXA917188 PGW917188 PQS917188 QAO917188 QKK917188 QUG917188 REC917188 RNY917188 RXU917188 SHQ917188 SRM917188 TBI917188 TLE917188 TVA917188 UEW917188 UOS917188 UYO917188 VIK917188 VSG917188 WCC917188 WLY917188 WVU917188 M982724 JI982724 TE982724 ADA982724 AMW982724 AWS982724 BGO982724 BQK982724 CAG982724 CKC982724 CTY982724 DDU982724 DNQ982724 DXM982724 EHI982724 ERE982724 FBA982724 FKW982724 FUS982724 GEO982724 GOK982724 GYG982724 HIC982724 HRY982724 IBU982724 ILQ982724 IVM982724 JFI982724 JPE982724 JZA982724 KIW982724 KSS982724 LCO982724 LMK982724 LWG982724 MGC982724 MPY982724 MZU982724 NJQ982724 NTM982724 ODI982724 ONE982724 OXA982724 PGW982724 PQS982724 QAO982724 QKK982724 QUG982724 REC982724 RNY982724 RXU982724 SHQ982724 SRM982724 TBI982724 TLE982724 TVA982724 UEW982724 UOS982724 UYO982724 VIK982724 VSG982724 WCC982724 WLY982724 WVU982724"/>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220 JH65220 TD65220 ACZ65220 AMV65220 AWR65220 BGN65220 BQJ65220 CAF65220 CKB65220 CTX65220 DDT65220 DNP65220 DXL65220 EHH65220 ERD65220 FAZ65220 FKV65220 FUR65220 GEN65220 GOJ65220 GYF65220 HIB65220 HRX65220 IBT65220 ILP65220 IVL65220 JFH65220 JPD65220 JYZ65220 KIV65220 KSR65220 LCN65220 LMJ65220 LWF65220 MGB65220 MPX65220 MZT65220 NJP65220 NTL65220 ODH65220 OND65220 OWZ65220 PGV65220 PQR65220 QAN65220 QKJ65220 QUF65220 REB65220 RNX65220 RXT65220 SHP65220 SRL65220 TBH65220 TLD65220 TUZ65220 UEV65220 UOR65220 UYN65220 VIJ65220 VSF65220 WCB65220 WLX65220 WVT65220 L130756 JH130756 TD130756 ACZ130756 AMV130756 AWR130756 BGN130756 BQJ130756 CAF130756 CKB130756 CTX130756 DDT130756 DNP130756 DXL130756 EHH130756 ERD130756 FAZ130756 FKV130756 FUR130756 GEN130756 GOJ130756 GYF130756 HIB130756 HRX130756 IBT130756 ILP130756 IVL130756 JFH130756 JPD130756 JYZ130756 KIV130756 KSR130756 LCN130756 LMJ130756 LWF130756 MGB130756 MPX130756 MZT130756 NJP130756 NTL130756 ODH130756 OND130756 OWZ130756 PGV130756 PQR130756 QAN130756 QKJ130756 QUF130756 REB130756 RNX130756 RXT130756 SHP130756 SRL130756 TBH130756 TLD130756 TUZ130756 UEV130756 UOR130756 UYN130756 VIJ130756 VSF130756 WCB130756 WLX130756 WVT130756 L196292 JH196292 TD196292 ACZ196292 AMV196292 AWR196292 BGN196292 BQJ196292 CAF196292 CKB196292 CTX196292 DDT196292 DNP196292 DXL196292 EHH196292 ERD196292 FAZ196292 FKV196292 FUR196292 GEN196292 GOJ196292 GYF196292 HIB196292 HRX196292 IBT196292 ILP196292 IVL196292 JFH196292 JPD196292 JYZ196292 KIV196292 KSR196292 LCN196292 LMJ196292 LWF196292 MGB196292 MPX196292 MZT196292 NJP196292 NTL196292 ODH196292 OND196292 OWZ196292 PGV196292 PQR196292 QAN196292 QKJ196292 QUF196292 REB196292 RNX196292 RXT196292 SHP196292 SRL196292 TBH196292 TLD196292 TUZ196292 UEV196292 UOR196292 UYN196292 VIJ196292 VSF196292 WCB196292 WLX196292 WVT196292 L261828 JH261828 TD261828 ACZ261828 AMV261828 AWR261828 BGN261828 BQJ261828 CAF261828 CKB261828 CTX261828 DDT261828 DNP261828 DXL261828 EHH261828 ERD261828 FAZ261828 FKV261828 FUR261828 GEN261828 GOJ261828 GYF261828 HIB261828 HRX261828 IBT261828 ILP261828 IVL261828 JFH261828 JPD261828 JYZ261828 KIV261828 KSR261828 LCN261828 LMJ261828 LWF261828 MGB261828 MPX261828 MZT261828 NJP261828 NTL261828 ODH261828 OND261828 OWZ261828 PGV261828 PQR261828 QAN261828 QKJ261828 QUF261828 REB261828 RNX261828 RXT261828 SHP261828 SRL261828 TBH261828 TLD261828 TUZ261828 UEV261828 UOR261828 UYN261828 VIJ261828 VSF261828 WCB261828 WLX261828 WVT261828 L327364 JH327364 TD327364 ACZ327364 AMV327364 AWR327364 BGN327364 BQJ327364 CAF327364 CKB327364 CTX327364 DDT327364 DNP327364 DXL327364 EHH327364 ERD327364 FAZ327364 FKV327364 FUR327364 GEN327364 GOJ327364 GYF327364 HIB327364 HRX327364 IBT327364 ILP327364 IVL327364 JFH327364 JPD327364 JYZ327364 KIV327364 KSR327364 LCN327364 LMJ327364 LWF327364 MGB327364 MPX327364 MZT327364 NJP327364 NTL327364 ODH327364 OND327364 OWZ327364 PGV327364 PQR327364 QAN327364 QKJ327364 QUF327364 REB327364 RNX327364 RXT327364 SHP327364 SRL327364 TBH327364 TLD327364 TUZ327364 UEV327364 UOR327364 UYN327364 VIJ327364 VSF327364 WCB327364 WLX327364 WVT327364 L392900 JH392900 TD392900 ACZ392900 AMV392900 AWR392900 BGN392900 BQJ392900 CAF392900 CKB392900 CTX392900 DDT392900 DNP392900 DXL392900 EHH392900 ERD392900 FAZ392900 FKV392900 FUR392900 GEN392900 GOJ392900 GYF392900 HIB392900 HRX392900 IBT392900 ILP392900 IVL392900 JFH392900 JPD392900 JYZ392900 KIV392900 KSR392900 LCN392900 LMJ392900 LWF392900 MGB392900 MPX392900 MZT392900 NJP392900 NTL392900 ODH392900 OND392900 OWZ392900 PGV392900 PQR392900 QAN392900 QKJ392900 QUF392900 REB392900 RNX392900 RXT392900 SHP392900 SRL392900 TBH392900 TLD392900 TUZ392900 UEV392900 UOR392900 UYN392900 VIJ392900 VSF392900 WCB392900 WLX392900 WVT392900 L458436 JH458436 TD458436 ACZ458436 AMV458436 AWR458436 BGN458436 BQJ458436 CAF458436 CKB458436 CTX458436 DDT458436 DNP458436 DXL458436 EHH458436 ERD458436 FAZ458436 FKV458436 FUR458436 GEN458436 GOJ458436 GYF458436 HIB458436 HRX458436 IBT458436 ILP458436 IVL458436 JFH458436 JPD458436 JYZ458436 KIV458436 KSR458436 LCN458436 LMJ458436 LWF458436 MGB458436 MPX458436 MZT458436 NJP458436 NTL458436 ODH458436 OND458436 OWZ458436 PGV458436 PQR458436 QAN458436 QKJ458436 QUF458436 REB458436 RNX458436 RXT458436 SHP458436 SRL458436 TBH458436 TLD458436 TUZ458436 UEV458436 UOR458436 UYN458436 VIJ458436 VSF458436 WCB458436 WLX458436 WVT458436 L523972 JH523972 TD523972 ACZ523972 AMV523972 AWR523972 BGN523972 BQJ523972 CAF523972 CKB523972 CTX523972 DDT523972 DNP523972 DXL523972 EHH523972 ERD523972 FAZ523972 FKV523972 FUR523972 GEN523972 GOJ523972 GYF523972 HIB523972 HRX523972 IBT523972 ILP523972 IVL523972 JFH523972 JPD523972 JYZ523972 KIV523972 KSR523972 LCN523972 LMJ523972 LWF523972 MGB523972 MPX523972 MZT523972 NJP523972 NTL523972 ODH523972 OND523972 OWZ523972 PGV523972 PQR523972 QAN523972 QKJ523972 QUF523972 REB523972 RNX523972 RXT523972 SHP523972 SRL523972 TBH523972 TLD523972 TUZ523972 UEV523972 UOR523972 UYN523972 VIJ523972 VSF523972 WCB523972 WLX523972 WVT523972 L589508 JH589508 TD589508 ACZ589508 AMV589508 AWR589508 BGN589508 BQJ589508 CAF589508 CKB589508 CTX589508 DDT589508 DNP589508 DXL589508 EHH589508 ERD589508 FAZ589508 FKV589508 FUR589508 GEN589508 GOJ589508 GYF589508 HIB589508 HRX589508 IBT589508 ILP589508 IVL589508 JFH589508 JPD589508 JYZ589508 KIV589508 KSR589508 LCN589508 LMJ589508 LWF589508 MGB589508 MPX589508 MZT589508 NJP589508 NTL589508 ODH589508 OND589508 OWZ589508 PGV589508 PQR589508 QAN589508 QKJ589508 QUF589508 REB589508 RNX589508 RXT589508 SHP589508 SRL589508 TBH589508 TLD589508 TUZ589508 UEV589508 UOR589508 UYN589508 VIJ589508 VSF589508 WCB589508 WLX589508 WVT589508 L655044 JH655044 TD655044 ACZ655044 AMV655044 AWR655044 BGN655044 BQJ655044 CAF655044 CKB655044 CTX655044 DDT655044 DNP655044 DXL655044 EHH655044 ERD655044 FAZ655044 FKV655044 FUR655044 GEN655044 GOJ655044 GYF655044 HIB655044 HRX655044 IBT655044 ILP655044 IVL655044 JFH655044 JPD655044 JYZ655044 KIV655044 KSR655044 LCN655044 LMJ655044 LWF655044 MGB655044 MPX655044 MZT655044 NJP655044 NTL655044 ODH655044 OND655044 OWZ655044 PGV655044 PQR655044 QAN655044 QKJ655044 QUF655044 REB655044 RNX655044 RXT655044 SHP655044 SRL655044 TBH655044 TLD655044 TUZ655044 UEV655044 UOR655044 UYN655044 VIJ655044 VSF655044 WCB655044 WLX655044 WVT655044 L720580 JH720580 TD720580 ACZ720580 AMV720580 AWR720580 BGN720580 BQJ720580 CAF720580 CKB720580 CTX720580 DDT720580 DNP720580 DXL720580 EHH720580 ERD720580 FAZ720580 FKV720580 FUR720580 GEN720580 GOJ720580 GYF720580 HIB720580 HRX720580 IBT720580 ILP720580 IVL720580 JFH720580 JPD720580 JYZ720580 KIV720580 KSR720580 LCN720580 LMJ720580 LWF720580 MGB720580 MPX720580 MZT720580 NJP720580 NTL720580 ODH720580 OND720580 OWZ720580 PGV720580 PQR720580 QAN720580 QKJ720580 QUF720580 REB720580 RNX720580 RXT720580 SHP720580 SRL720580 TBH720580 TLD720580 TUZ720580 UEV720580 UOR720580 UYN720580 VIJ720580 VSF720580 WCB720580 WLX720580 WVT720580 L786116 JH786116 TD786116 ACZ786116 AMV786116 AWR786116 BGN786116 BQJ786116 CAF786116 CKB786116 CTX786116 DDT786116 DNP786116 DXL786116 EHH786116 ERD786116 FAZ786116 FKV786116 FUR786116 GEN786116 GOJ786116 GYF786116 HIB786116 HRX786116 IBT786116 ILP786116 IVL786116 JFH786116 JPD786116 JYZ786116 KIV786116 KSR786116 LCN786116 LMJ786116 LWF786116 MGB786116 MPX786116 MZT786116 NJP786116 NTL786116 ODH786116 OND786116 OWZ786116 PGV786116 PQR786116 QAN786116 QKJ786116 QUF786116 REB786116 RNX786116 RXT786116 SHP786116 SRL786116 TBH786116 TLD786116 TUZ786116 UEV786116 UOR786116 UYN786116 VIJ786116 VSF786116 WCB786116 WLX786116 WVT786116 L851652 JH851652 TD851652 ACZ851652 AMV851652 AWR851652 BGN851652 BQJ851652 CAF851652 CKB851652 CTX851652 DDT851652 DNP851652 DXL851652 EHH851652 ERD851652 FAZ851652 FKV851652 FUR851652 GEN851652 GOJ851652 GYF851652 HIB851652 HRX851652 IBT851652 ILP851652 IVL851652 JFH851652 JPD851652 JYZ851652 KIV851652 KSR851652 LCN851652 LMJ851652 LWF851652 MGB851652 MPX851652 MZT851652 NJP851652 NTL851652 ODH851652 OND851652 OWZ851652 PGV851652 PQR851652 QAN851652 QKJ851652 QUF851652 REB851652 RNX851652 RXT851652 SHP851652 SRL851652 TBH851652 TLD851652 TUZ851652 UEV851652 UOR851652 UYN851652 VIJ851652 VSF851652 WCB851652 WLX851652 WVT851652 L917188 JH917188 TD917188 ACZ917188 AMV917188 AWR917188 BGN917188 BQJ917188 CAF917188 CKB917188 CTX917188 DDT917188 DNP917188 DXL917188 EHH917188 ERD917188 FAZ917188 FKV917188 FUR917188 GEN917188 GOJ917188 GYF917188 HIB917188 HRX917188 IBT917188 ILP917188 IVL917188 JFH917188 JPD917188 JYZ917188 KIV917188 KSR917188 LCN917188 LMJ917188 LWF917188 MGB917188 MPX917188 MZT917188 NJP917188 NTL917188 ODH917188 OND917188 OWZ917188 PGV917188 PQR917188 QAN917188 QKJ917188 QUF917188 REB917188 RNX917188 RXT917188 SHP917188 SRL917188 TBH917188 TLD917188 TUZ917188 UEV917188 UOR917188 UYN917188 VIJ917188 VSF917188 WCB917188 WLX917188 WVT917188 L982724 JH982724 TD982724 ACZ982724 AMV982724 AWR982724 BGN982724 BQJ982724 CAF982724 CKB982724 CTX982724 DDT982724 DNP982724 DXL982724 EHH982724 ERD982724 FAZ982724 FKV982724 FUR982724 GEN982724 GOJ982724 GYF982724 HIB982724 HRX982724 IBT982724 ILP982724 IVL982724 JFH982724 JPD982724 JYZ982724 KIV982724 KSR982724 LCN982724 LMJ982724 LWF982724 MGB982724 MPX982724 MZT982724 NJP982724 NTL982724 ODH982724 OND982724 OWZ982724 PGV982724 PQR982724 QAN982724 QKJ982724 QUF982724 REB982724 RNX982724 RXT982724 SHP982724 SRL982724 TBH982724 TLD982724 TUZ982724 UEV982724 UOR982724 UYN982724 VIJ982724 VSF982724 WCB982724 WLX982724 WVT982724"/>
    <dataValidation allowBlank="1" showInputMessage="1" showErrorMessage="1" prompt="En esta columna deben registrarse los &quot;cargos&quot; del comprometido. Éste momento contable del gasto refleja la aprobación por autoridad competente de un acto administrativo, u otro instrumento jurídico que formaliza una relación jurídica..." sqref="K2 JG2 TC2 ACY2 AMU2 AWQ2 BGM2 BQI2 CAE2 CKA2 CTW2 DDS2 DNO2 DXK2 EHG2 ERC2 FAY2 FKU2 FUQ2 GEM2 GOI2 GYE2 HIA2 HRW2 IBS2 ILO2 IVK2 JFG2 JPC2 JYY2 KIU2 KSQ2 LCM2 LMI2 LWE2 MGA2 MPW2 MZS2 NJO2 NTK2 ODG2 ONC2 OWY2 PGU2 PQQ2 QAM2 QKI2 QUE2 REA2 RNW2 RXS2 SHO2 SRK2 TBG2 TLC2 TUY2 UEU2 UOQ2 UYM2 VII2 VSE2 WCA2 WLW2 WVS2 K65220 JG65220 TC65220 ACY65220 AMU65220 AWQ65220 BGM65220 BQI65220 CAE65220 CKA65220 CTW65220 DDS65220 DNO65220 DXK65220 EHG65220 ERC65220 FAY65220 FKU65220 FUQ65220 GEM65220 GOI65220 GYE65220 HIA65220 HRW65220 IBS65220 ILO65220 IVK65220 JFG65220 JPC65220 JYY65220 KIU65220 KSQ65220 LCM65220 LMI65220 LWE65220 MGA65220 MPW65220 MZS65220 NJO65220 NTK65220 ODG65220 ONC65220 OWY65220 PGU65220 PQQ65220 QAM65220 QKI65220 QUE65220 REA65220 RNW65220 RXS65220 SHO65220 SRK65220 TBG65220 TLC65220 TUY65220 UEU65220 UOQ65220 UYM65220 VII65220 VSE65220 WCA65220 WLW65220 WVS65220 K130756 JG130756 TC130756 ACY130756 AMU130756 AWQ130756 BGM130756 BQI130756 CAE130756 CKA130756 CTW130756 DDS130756 DNO130756 DXK130756 EHG130756 ERC130756 FAY130756 FKU130756 FUQ130756 GEM130756 GOI130756 GYE130756 HIA130756 HRW130756 IBS130756 ILO130756 IVK130756 JFG130756 JPC130756 JYY130756 KIU130756 KSQ130756 LCM130756 LMI130756 LWE130756 MGA130756 MPW130756 MZS130756 NJO130756 NTK130756 ODG130756 ONC130756 OWY130756 PGU130756 PQQ130756 QAM130756 QKI130756 QUE130756 REA130756 RNW130756 RXS130756 SHO130756 SRK130756 TBG130756 TLC130756 TUY130756 UEU130756 UOQ130756 UYM130756 VII130756 VSE130756 WCA130756 WLW130756 WVS130756 K196292 JG196292 TC196292 ACY196292 AMU196292 AWQ196292 BGM196292 BQI196292 CAE196292 CKA196292 CTW196292 DDS196292 DNO196292 DXK196292 EHG196292 ERC196292 FAY196292 FKU196292 FUQ196292 GEM196292 GOI196292 GYE196292 HIA196292 HRW196292 IBS196292 ILO196292 IVK196292 JFG196292 JPC196292 JYY196292 KIU196292 KSQ196292 LCM196292 LMI196292 LWE196292 MGA196292 MPW196292 MZS196292 NJO196292 NTK196292 ODG196292 ONC196292 OWY196292 PGU196292 PQQ196292 QAM196292 QKI196292 QUE196292 REA196292 RNW196292 RXS196292 SHO196292 SRK196292 TBG196292 TLC196292 TUY196292 UEU196292 UOQ196292 UYM196292 VII196292 VSE196292 WCA196292 WLW196292 WVS196292 K261828 JG261828 TC261828 ACY261828 AMU261828 AWQ261828 BGM261828 BQI261828 CAE261828 CKA261828 CTW261828 DDS261828 DNO261828 DXK261828 EHG261828 ERC261828 FAY261828 FKU261828 FUQ261828 GEM261828 GOI261828 GYE261828 HIA261828 HRW261828 IBS261828 ILO261828 IVK261828 JFG261828 JPC261828 JYY261828 KIU261828 KSQ261828 LCM261828 LMI261828 LWE261828 MGA261828 MPW261828 MZS261828 NJO261828 NTK261828 ODG261828 ONC261828 OWY261828 PGU261828 PQQ261828 QAM261828 QKI261828 QUE261828 REA261828 RNW261828 RXS261828 SHO261828 SRK261828 TBG261828 TLC261828 TUY261828 UEU261828 UOQ261828 UYM261828 VII261828 VSE261828 WCA261828 WLW261828 WVS261828 K327364 JG327364 TC327364 ACY327364 AMU327364 AWQ327364 BGM327364 BQI327364 CAE327364 CKA327364 CTW327364 DDS327364 DNO327364 DXK327364 EHG327364 ERC327364 FAY327364 FKU327364 FUQ327364 GEM327364 GOI327364 GYE327364 HIA327364 HRW327364 IBS327364 ILO327364 IVK327364 JFG327364 JPC327364 JYY327364 KIU327364 KSQ327364 LCM327364 LMI327364 LWE327364 MGA327364 MPW327364 MZS327364 NJO327364 NTK327364 ODG327364 ONC327364 OWY327364 PGU327364 PQQ327364 QAM327364 QKI327364 QUE327364 REA327364 RNW327364 RXS327364 SHO327364 SRK327364 TBG327364 TLC327364 TUY327364 UEU327364 UOQ327364 UYM327364 VII327364 VSE327364 WCA327364 WLW327364 WVS327364 K392900 JG392900 TC392900 ACY392900 AMU392900 AWQ392900 BGM392900 BQI392900 CAE392900 CKA392900 CTW392900 DDS392900 DNO392900 DXK392900 EHG392900 ERC392900 FAY392900 FKU392900 FUQ392900 GEM392900 GOI392900 GYE392900 HIA392900 HRW392900 IBS392900 ILO392900 IVK392900 JFG392900 JPC392900 JYY392900 KIU392900 KSQ392900 LCM392900 LMI392900 LWE392900 MGA392900 MPW392900 MZS392900 NJO392900 NTK392900 ODG392900 ONC392900 OWY392900 PGU392900 PQQ392900 QAM392900 QKI392900 QUE392900 REA392900 RNW392900 RXS392900 SHO392900 SRK392900 TBG392900 TLC392900 TUY392900 UEU392900 UOQ392900 UYM392900 VII392900 VSE392900 WCA392900 WLW392900 WVS392900 K458436 JG458436 TC458436 ACY458436 AMU458436 AWQ458436 BGM458436 BQI458436 CAE458436 CKA458436 CTW458436 DDS458436 DNO458436 DXK458436 EHG458436 ERC458436 FAY458436 FKU458436 FUQ458436 GEM458436 GOI458436 GYE458436 HIA458436 HRW458436 IBS458436 ILO458436 IVK458436 JFG458436 JPC458436 JYY458436 KIU458436 KSQ458436 LCM458436 LMI458436 LWE458436 MGA458436 MPW458436 MZS458436 NJO458436 NTK458436 ODG458436 ONC458436 OWY458436 PGU458436 PQQ458436 QAM458436 QKI458436 QUE458436 REA458436 RNW458436 RXS458436 SHO458436 SRK458436 TBG458436 TLC458436 TUY458436 UEU458436 UOQ458436 UYM458436 VII458436 VSE458436 WCA458436 WLW458436 WVS458436 K523972 JG523972 TC523972 ACY523972 AMU523972 AWQ523972 BGM523972 BQI523972 CAE523972 CKA523972 CTW523972 DDS523972 DNO523972 DXK523972 EHG523972 ERC523972 FAY523972 FKU523972 FUQ523972 GEM523972 GOI523972 GYE523972 HIA523972 HRW523972 IBS523972 ILO523972 IVK523972 JFG523972 JPC523972 JYY523972 KIU523972 KSQ523972 LCM523972 LMI523972 LWE523972 MGA523972 MPW523972 MZS523972 NJO523972 NTK523972 ODG523972 ONC523972 OWY523972 PGU523972 PQQ523972 QAM523972 QKI523972 QUE523972 REA523972 RNW523972 RXS523972 SHO523972 SRK523972 TBG523972 TLC523972 TUY523972 UEU523972 UOQ523972 UYM523972 VII523972 VSE523972 WCA523972 WLW523972 WVS523972 K589508 JG589508 TC589508 ACY589508 AMU589508 AWQ589508 BGM589508 BQI589508 CAE589508 CKA589508 CTW589508 DDS589508 DNO589508 DXK589508 EHG589508 ERC589508 FAY589508 FKU589508 FUQ589508 GEM589508 GOI589508 GYE589508 HIA589508 HRW589508 IBS589508 ILO589508 IVK589508 JFG589508 JPC589508 JYY589508 KIU589508 KSQ589508 LCM589508 LMI589508 LWE589508 MGA589508 MPW589508 MZS589508 NJO589508 NTK589508 ODG589508 ONC589508 OWY589508 PGU589508 PQQ589508 QAM589508 QKI589508 QUE589508 REA589508 RNW589508 RXS589508 SHO589508 SRK589508 TBG589508 TLC589508 TUY589508 UEU589508 UOQ589508 UYM589508 VII589508 VSE589508 WCA589508 WLW589508 WVS589508 K655044 JG655044 TC655044 ACY655044 AMU655044 AWQ655044 BGM655044 BQI655044 CAE655044 CKA655044 CTW655044 DDS655044 DNO655044 DXK655044 EHG655044 ERC655044 FAY655044 FKU655044 FUQ655044 GEM655044 GOI655044 GYE655044 HIA655044 HRW655044 IBS655044 ILO655044 IVK655044 JFG655044 JPC655044 JYY655044 KIU655044 KSQ655044 LCM655044 LMI655044 LWE655044 MGA655044 MPW655044 MZS655044 NJO655044 NTK655044 ODG655044 ONC655044 OWY655044 PGU655044 PQQ655044 QAM655044 QKI655044 QUE655044 REA655044 RNW655044 RXS655044 SHO655044 SRK655044 TBG655044 TLC655044 TUY655044 UEU655044 UOQ655044 UYM655044 VII655044 VSE655044 WCA655044 WLW655044 WVS655044 K720580 JG720580 TC720580 ACY720580 AMU720580 AWQ720580 BGM720580 BQI720580 CAE720580 CKA720580 CTW720580 DDS720580 DNO720580 DXK720580 EHG720580 ERC720580 FAY720580 FKU720580 FUQ720580 GEM720580 GOI720580 GYE720580 HIA720580 HRW720580 IBS720580 ILO720580 IVK720580 JFG720580 JPC720580 JYY720580 KIU720580 KSQ720580 LCM720580 LMI720580 LWE720580 MGA720580 MPW720580 MZS720580 NJO720580 NTK720580 ODG720580 ONC720580 OWY720580 PGU720580 PQQ720580 QAM720580 QKI720580 QUE720580 REA720580 RNW720580 RXS720580 SHO720580 SRK720580 TBG720580 TLC720580 TUY720580 UEU720580 UOQ720580 UYM720580 VII720580 VSE720580 WCA720580 WLW720580 WVS720580 K786116 JG786116 TC786116 ACY786116 AMU786116 AWQ786116 BGM786116 BQI786116 CAE786116 CKA786116 CTW786116 DDS786116 DNO786116 DXK786116 EHG786116 ERC786116 FAY786116 FKU786116 FUQ786116 GEM786116 GOI786116 GYE786116 HIA786116 HRW786116 IBS786116 ILO786116 IVK786116 JFG786116 JPC786116 JYY786116 KIU786116 KSQ786116 LCM786116 LMI786116 LWE786116 MGA786116 MPW786116 MZS786116 NJO786116 NTK786116 ODG786116 ONC786116 OWY786116 PGU786116 PQQ786116 QAM786116 QKI786116 QUE786116 REA786116 RNW786116 RXS786116 SHO786116 SRK786116 TBG786116 TLC786116 TUY786116 UEU786116 UOQ786116 UYM786116 VII786116 VSE786116 WCA786116 WLW786116 WVS786116 K851652 JG851652 TC851652 ACY851652 AMU851652 AWQ851652 BGM851652 BQI851652 CAE851652 CKA851652 CTW851652 DDS851652 DNO851652 DXK851652 EHG851652 ERC851652 FAY851652 FKU851652 FUQ851652 GEM851652 GOI851652 GYE851652 HIA851652 HRW851652 IBS851652 ILO851652 IVK851652 JFG851652 JPC851652 JYY851652 KIU851652 KSQ851652 LCM851652 LMI851652 LWE851652 MGA851652 MPW851652 MZS851652 NJO851652 NTK851652 ODG851652 ONC851652 OWY851652 PGU851652 PQQ851652 QAM851652 QKI851652 QUE851652 REA851652 RNW851652 RXS851652 SHO851652 SRK851652 TBG851652 TLC851652 TUY851652 UEU851652 UOQ851652 UYM851652 VII851652 VSE851652 WCA851652 WLW851652 WVS851652 K917188 JG917188 TC917188 ACY917188 AMU917188 AWQ917188 BGM917188 BQI917188 CAE917188 CKA917188 CTW917188 DDS917188 DNO917188 DXK917188 EHG917188 ERC917188 FAY917188 FKU917188 FUQ917188 GEM917188 GOI917188 GYE917188 HIA917188 HRW917188 IBS917188 ILO917188 IVK917188 JFG917188 JPC917188 JYY917188 KIU917188 KSQ917188 LCM917188 LMI917188 LWE917188 MGA917188 MPW917188 MZS917188 NJO917188 NTK917188 ODG917188 ONC917188 OWY917188 PGU917188 PQQ917188 QAM917188 QKI917188 QUE917188 REA917188 RNW917188 RXS917188 SHO917188 SRK917188 TBG917188 TLC917188 TUY917188 UEU917188 UOQ917188 UYM917188 VII917188 VSE917188 WCA917188 WLW917188 WVS917188 K982724 JG982724 TC982724 ACY982724 AMU982724 AWQ982724 BGM982724 BQI982724 CAE982724 CKA982724 CTW982724 DDS982724 DNO982724 DXK982724 EHG982724 ERC982724 FAY982724 FKU982724 FUQ982724 GEM982724 GOI982724 GYE982724 HIA982724 HRW982724 IBS982724 ILO982724 IVK982724 JFG982724 JPC982724 JYY982724 KIU982724 KSQ982724 LCM982724 LMI982724 LWE982724 MGA982724 MPW982724 MZS982724 NJO982724 NTK982724 ODG982724 ONC982724 OWY982724 PGU982724 PQQ982724 QAM982724 QKI982724 QUE982724 REA982724 RNW982724 RXS982724 SHO982724 SRK982724 TBG982724 TLC982724 TUY982724 UEU982724 UOQ982724 UYM982724 VII982724 VSE982724 WCA982724 WLW982724 WVS982724"/>
    <dataValidation allowBlank="1" showInputMessage="1" showErrorMessage="1" prompt="Es el momento que refleja la asignación presupuestaria que resulta de incorporar; en su caso, las adecuaciones presupuestarias al presupuesto aprobado." sqref="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220 JF65220 TB65220 ACX65220 AMT65220 AWP65220 BGL65220 BQH65220 CAD65220 CJZ65220 CTV65220 DDR65220 DNN65220 DXJ65220 EHF65220 ERB65220 FAX65220 FKT65220 FUP65220 GEL65220 GOH65220 GYD65220 HHZ65220 HRV65220 IBR65220 ILN65220 IVJ65220 JFF65220 JPB65220 JYX65220 KIT65220 KSP65220 LCL65220 LMH65220 LWD65220 MFZ65220 MPV65220 MZR65220 NJN65220 NTJ65220 ODF65220 ONB65220 OWX65220 PGT65220 PQP65220 QAL65220 QKH65220 QUD65220 RDZ65220 RNV65220 RXR65220 SHN65220 SRJ65220 TBF65220 TLB65220 TUX65220 UET65220 UOP65220 UYL65220 VIH65220 VSD65220 WBZ65220 WLV65220 WVR65220 J130756 JF130756 TB130756 ACX130756 AMT130756 AWP130756 BGL130756 BQH130756 CAD130756 CJZ130756 CTV130756 DDR130756 DNN130756 DXJ130756 EHF130756 ERB130756 FAX130756 FKT130756 FUP130756 GEL130756 GOH130756 GYD130756 HHZ130756 HRV130756 IBR130756 ILN130756 IVJ130756 JFF130756 JPB130756 JYX130756 KIT130756 KSP130756 LCL130756 LMH130756 LWD130756 MFZ130756 MPV130756 MZR130756 NJN130756 NTJ130756 ODF130756 ONB130756 OWX130756 PGT130756 PQP130756 QAL130756 QKH130756 QUD130756 RDZ130756 RNV130756 RXR130756 SHN130756 SRJ130756 TBF130756 TLB130756 TUX130756 UET130756 UOP130756 UYL130756 VIH130756 VSD130756 WBZ130756 WLV130756 WVR130756 J196292 JF196292 TB196292 ACX196292 AMT196292 AWP196292 BGL196292 BQH196292 CAD196292 CJZ196292 CTV196292 DDR196292 DNN196292 DXJ196292 EHF196292 ERB196292 FAX196292 FKT196292 FUP196292 GEL196292 GOH196292 GYD196292 HHZ196292 HRV196292 IBR196292 ILN196292 IVJ196292 JFF196292 JPB196292 JYX196292 KIT196292 KSP196292 LCL196292 LMH196292 LWD196292 MFZ196292 MPV196292 MZR196292 NJN196292 NTJ196292 ODF196292 ONB196292 OWX196292 PGT196292 PQP196292 QAL196292 QKH196292 QUD196292 RDZ196292 RNV196292 RXR196292 SHN196292 SRJ196292 TBF196292 TLB196292 TUX196292 UET196292 UOP196292 UYL196292 VIH196292 VSD196292 WBZ196292 WLV196292 WVR196292 J261828 JF261828 TB261828 ACX261828 AMT261828 AWP261828 BGL261828 BQH261828 CAD261828 CJZ261828 CTV261828 DDR261828 DNN261828 DXJ261828 EHF261828 ERB261828 FAX261828 FKT261828 FUP261828 GEL261828 GOH261828 GYD261828 HHZ261828 HRV261828 IBR261828 ILN261828 IVJ261828 JFF261828 JPB261828 JYX261828 KIT261828 KSP261828 LCL261828 LMH261828 LWD261828 MFZ261828 MPV261828 MZR261828 NJN261828 NTJ261828 ODF261828 ONB261828 OWX261828 PGT261828 PQP261828 QAL261828 QKH261828 QUD261828 RDZ261828 RNV261828 RXR261828 SHN261828 SRJ261828 TBF261828 TLB261828 TUX261828 UET261828 UOP261828 UYL261828 VIH261828 VSD261828 WBZ261828 WLV261828 WVR261828 J327364 JF327364 TB327364 ACX327364 AMT327364 AWP327364 BGL327364 BQH327364 CAD327364 CJZ327364 CTV327364 DDR327364 DNN327364 DXJ327364 EHF327364 ERB327364 FAX327364 FKT327364 FUP327364 GEL327364 GOH327364 GYD327364 HHZ327364 HRV327364 IBR327364 ILN327364 IVJ327364 JFF327364 JPB327364 JYX327364 KIT327364 KSP327364 LCL327364 LMH327364 LWD327364 MFZ327364 MPV327364 MZR327364 NJN327364 NTJ327364 ODF327364 ONB327364 OWX327364 PGT327364 PQP327364 QAL327364 QKH327364 QUD327364 RDZ327364 RNV327364 RXR327364 SHN327364 SRJ327364 TBF327364 TLB327364 TUX327364 UET327364 UOP327364 UYL327364 VIH327364 VSD327364 WBZ327364 WLV327364 WVR327364 J392900 JF392900 TB392900 ACX392900 AMT392900 AWP392900 BGL392900 BQH392900 CAD392900 CJZ392900 CTV392900 DDR392900 DNN392900 DXJ392900 EHF392900 ERB392900 FAX392900 FKT392900 FUP392900 GEL392900 GOH392900 GYD392900 HHZ392900 HRV392900 IBR392900 ILN392900 IVJ392900 JFF392900 JPB392900 JYX392900 KIT392900 KSP392900 LCL392900 LMH392900 LWD392900 MFZ392900 MPV392900 MZR392900 NJN392900 NTJ392900 ODF392900 ONB392900 OWX392900 PGT392900 PQP392900 QAL392900 QKH392900 QUD392900 RDZ392900 RNV392900 RXR392900 SHN392900 SRJ392900 TBF392900 TLB392900 TUX392900 UET392900 UOP392900 UYL392900 VIH392900 VSD392900 WBZ392900 WLV392900 WVR392900 J458436 JF458436 TB458436 ACX458436 AMT458436 AWP458436 BGL458436 BQH458436 CAD458436 CJZ458436 CTV458436 DDR458436 DNN458436 DXJ458436 EHF458436 ERB458436 FAX458436 FKT458436 FUP458436 GEL458436 GOH458436 GYD458436 HHZ458436 HRV458436 IBR458436 ILN458436 IVJ458436 JFF458436 JPB458436 JYX458436 KIT458436 KSP458436 LCL458436 LMH458436 LWD458436 MFZ458436 MPV458436 MZR458436 NJN458436 NTJ458436 ODF458436 ONB458436 OWX458436 PGT458436 PQP458436 QAL458436 QKH458436 QUD458436 RDZ458436 RNV458436 RXR458436 SHN458436 SRJ458436 TBF458436 TLB458436 TUX458436 UET458436 UOP458436 UYL458436 VIH458436 VSD458436 WBZ458436 WLV458436 WVR458436 J523972 JF523972 TB523972 ACX523972 AMT523972 AWP523972 BGL523972 BQH523972 CAD523972 CJZ523972 CTV523972 DDR523972 DNN523972 DXJ523972 EHF523972 ERB523972 FAX523972 FKT523972 FUP523972 GEL523972 GOH523972 GYD523972 HHZ523972 HRV523972 IBR523972 ILN523972 IVJ523972 JFF523972 JPB523972 JYX523972 KIT523972 KSP523972 LCL523972 LMH523972 LWD523972 MFZ523972 MPV523972 MZR523972 NJN523972 NTJ523972 ODF523972 ONB523972 OWX523972 PGT523972 PQP523972 QAL523972 QKH523972 QUD523972 RDZ523972 RNV523972 RXR523972 SHN523972 SRJ523972 TBF523972 TLB523972 TUX523972 UET523972 UOP523972 UYL523972 VIH523972 VSD523972 WBZ523972 WLV523972 WVR523972 J589508 JF589508 TB589508 ACX589508 AMT589508 AWP589508 BGL589508 BQH589508 CAD589508 CJZ589508 CTV589508 DDR589508 DNN589508 DXJ589508 EHF589508 ERB589508 FAX589508 FKT589508 FUP589508 GEL589508 GOH589508 GYD589508 HHZ589508 HRV589508 IBR589508 ILN589508 IVJ589508 JFF589508 JPB589508 JYX589508 KIT589508 KSP589508 LCL589508 LMH589508 LWD589508 MFZ589508 MPV589508 MZR589508 NJN589508 NTJ589508 ODF589508 ONB589508 OWX589508 PGT589508 PQP589508 QAL589508 QKH589508 QUD589508 RDZ589508 RNV589508 RXR589508 SHN589508 SRJ589508 TBF589508 TLB589508 TUX589508 UET589508 UOP589508 UYL589508 VIH589508 VSD589508 WBZ589508 WLV589508 WVR589508 J655044 JF655044 TB655044 ACX655044 AMT655044 AWP655044 BGL655044 BQH655044 CAD655044 CJZ655044 CTV655044 DDR655044 DNN655044 DXJ655044 EHF655044 ERB655044 FAX655044 FKT655044 FUP655044 GEL655044 GOH655044 GYD655044 HHZ655044 HRV655044 IBR655044 ILN655044 IVJ655044 JFF655044 JPB655044 JYX655044 KIT655044 KSP655044 LCL655044 LMH655044 LWD655044 MFZ655044 MPV655044 MZR655044 NJN655044 NTJ655044 ODF655044 ONB655044 OWX655044 PGT655044 PQP655044 QAL655044 QKH655044 QUD655044 RDZ655044 RNV655044 RXR655044 SHN655044 SRJ655044 TBF655044 TLB655044 TUX655044 UET655044 UOP655044 UYL655044 VIH655044 VSD655044 WBZ655044 WLV655044 WVR655044 J720580 JF720580 TB720580 ACX720580 AMT720580 AWP720580 BGL720580 BQH720580 CAD720580 CJZ720580 CTV720580 DDR720580 DNN720580 DXJ720580 EHF720580 ERB720580 FAX720580 FKT720580 FUP720580 GEL720580 GOH720580 GYD720580 HHZ720580 HRV720580 IBR720580 ILN720580 IVJ720580 JFF720580 JPB720580 JYX720580 KIT720580 KSP720580 LCL720580 LMH720580 LWD720580 MFZ720580 MPV720580 MZR720580 NJN720580 NTJ720580 ODF720580 ONB720580 OWX720580 PGT720580 PQP720580 QAL720580 QKH720580 QUD720580 RDZ720580 RNV720580 RXR720580 SHN720580 SRJ720580 TBF720580 TLB720580 TUX720580 UET720580 UOP720580 UYL720580 VIH720580 VSD720580 WBZ720580 WLV720580 WVR720580 J786116 JF786116 TB786116 ACX786116 AMT786116 AWP786116 BGL786116 BQH786116 CAD786116 CJZ786116 CTV786116 DDR786116 DNN786116 DXJ786116 EHF786116 ERB786116 FAX786116 FKT786116 FUP786116 GEL786116 GOH786116 GYD786116 HHZ786116 HRV786116 IBR786116 ILN786116 IVJ786116 JFF786116 JPB786116 JYX786116 KIT786116 KSP786116 LCL786116 LMH786116 LWD786116 MFZ786116 MPV786116 MZR786116 NJN786116 NTJ786116 ODF786116 ONB786116 OWX786116 PGT786116 PQP786116 QAL786116 QKH786116 QUD786116 RDZ786116 RNV786116 RXR786116 SHN786116 SRJ786116 TBF786116 TLB786116 TUX786116 UET786116 UOP786116 UYL786116 VIH786116 VSD786116 WBZ786116 WLV786116 WVR786116 J851652 JF851652 TB851652 ACX851652 AMT851652 AWP851652 BGL851652 BQH851652 CAD851652 CJZ851652 CTV851652 DDR851652 DNN851652 DXJ851652 EHF851652 ERB851652 FAX851652 FKT851652 FUP851652 GEL851652 GOH851652 GYD851652 HHZ851652 HRV851652 IBR851652 ILN851652 IVJ851652 JFF851652 JPB851652 JYX851652 KIT851652 KSP851652 LCL851652 LMH851652 LWD851652 MFZ851652 MPV851652 MZR851652 NJN851652 NTJ851652 ODF851652 ONB851652 OWX851652 PGT851652 PQP851652 QAL851652 QKH851652 QUD851652 RDZ851652 RNV851652 RXR851652 SHN851652 SRJ851652 TBF851652 TLB851652 TUX851652 UET851652 UOP851652 UYL851652 VIH851652 VSD851652 WBZ851652 WLV851652 WVR851652 J917188 JF917188 TB917188 ACX917188 AMT917188 AWP917188 BGL917188 BQH917188 CAD917188 CJZ917188 CTV917188 DDR917188 DNN917188 DXJ917188 EHF917188 ERB917188 FAX917188 FKT917188 FUP917188 GEL917188 GOH917188 GYD917188 HHZ917188 HRV917188 IBR917188 ILN917188 IVJ917188 JFF917188 JPB917188 JYX917188 KIT917188 KSP917188 LCL917188 LMH917188 LWD917188 MFZ917188 MPV917188 MZR917188 NJN917188 NTJ917188 ODF917188 ONB917188 OWX917188 PGT917188 PQP917188 QAL917188 QKH917188 QUD917188 RDZ917188 RNV917188 RXR917188 SHN917188 SRJ917188 TBF917188 TLB917188 TUX917188 UET917188 UOP917188 UYL917188 VIH917188 VSD917188 WBZ917188 WLV917188 WVR917188 J982724 JF982724 TB982724 ACX982724 AMT982724 AWP982724 BGL982724 BQH982724 CAD982724 CJZ982724 CTV982724 DDR982724 DNN982724 DXJ982724 EHF982724 ERB982724 FAX982724 FKT982724 FUP982724 GEL982724 GOH982724 GYD982724 HHZ982724 HRV982724 IBR982724 ILN982724 IVJ982724 JFF982724 JPB982724 JYX982724 KIT982724 KSP982724 LCL982724 LMH982724 LWD982724 MFZ982724 MPV982724 MZR982724 NJN982724 NTJ982724 ODF982724 ONB982724 OWX982724 PGT982724 PQP982724 QAL982724 QKH982724 QUD982724 RDZ982724 RNV982724 RXR982724 SHN982724 SRJ982724 TBF982724 TLB982724 TUX982724 UET982724 UOP982724 UYL982724 VIH982724 VSD982724 WBZ982724 WLV982724 WVR982724"/>
    <dataValidation allowBlank="1" showInputMessage="1" showErrorMessage="1" prompt="Refleja las asignaciones presupuestarias anuales comprometidas en el Presupuesto de Egresos."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220 JD65220 SZ65220 ACV65220 AMR65220 AWN65220 BGJ65220 BQF65220 CAB65220 CJX65220 CTT65220 DDP65220 DNL65220 DXH65220 EHD65220 EQZ65220 FAV65220 FKR65220 FUN65220 GEJ65220 GOF65220 GYB65220 HHX65220 HRT65220 IBP65220 ILL65220 IVH65220 JFD65220 JOZ65220 JYV65220 KIR65220 KSN65220 LCJ65220 LMF65220 LWB65220 MFX65220 MPT65220 MZP65220 NJL65220 NTH65220 ODD65220 OMZ65220 OWV65220 PGR65220 PQN65220 QAJ65220 QKF65220 QUB65220 RDX65220 RNT65220 RXP65220 SHL65220 SRH65220 TBD65220 TKZ65220 TUV65220 UER65220 UON65220 UYJ65220 VIF65220 VSB65220 WBX65220 WLT65220 WVP65220 H130756 JD130756 SZ130756 ACV130756 AMR130756 AWN130756 BGJ130756 BQF130756 CAB130756 CJX130756 CTT130756 DDP130756 DNL130756 DXH130756 EHD130756 EQZ130756 FAV130756 FKR130756 FUN130756 GEJ130756 GOF130756 GYB130756 HHX130756 HRT130756 IBP130756 ILL130756 IVH130756 JFD130756 JOZ130756 JYV130756 KIR130756 KSN130756 LCJ130756 LMF130756 LWB130756 MFX130756 MPT130756 MZP130756 NJL130756 NTH130756 ODD130756 OMZ130756 OWV130756 PGR130756 PQN130756 QAJ130756 QKF130756 QUB130756 RDX130756 RNT130756 RXP130756 SHL130756 SRH130756 TBD130756 TKZ130756 TUV130756 UER130756 UON130756 UYJ130756 VIF130756 VSB130756 WBX130756 WLT130756 WVP130756 H196292 JD196292 SZ196292 ACV196292 AMR196292 AWN196292 BGJ196292 BQF196292 CAB196292 CJX196292 CTT196292 DDP196292 DNL196292 DXH196292 EHD196292 EQZ196292 FAV196292 FKR196292 FUN196292 GEJ196292 GOF196292 GYB196292 HHX196292 HRT196292 IBP196292 ILL196292 IVH196292 JFD196292 JOZ196292 JYV196292 KIR196292 KSN196292 LCJ196292 LMF196292 LWB196292 MFX196292 MPT196292 MZP196292 NJL196292 NTH196292 ODD196292 OMZ196292 OWV196292 PGR196292 PQN196292 QAJ196292 QKF196292 QUB196292 RDX196292 RNT196292 RXP196292 SHL196292 SRH196292 TBD196292 TKZ196292 TUV196292 UER196292 UON196292 UYJ196292 VIF196292 VSB196292 WBX196292 WLT196292 WVP196292 H261828 JD261828 SZ261828 ACV261828 AMR261828 AWN261828 BGJ261828 BQF261828 CAB261828 CJX261828 CTT261828 DDP261828 DNL261828 DXH261828 EHD261828 EQZ261828 FAV261828 FKR261828 FUN261828 GEJ261828 GOF261828 GYB261828 HHX261828 HRT261828 IBP261828 ILL261828 IVH261828 JFD261828 JOZ261828 JYV261828 KIR261828 KSN261828 LCJ261828 LMF261828 LWB261828 MFX261828 MPT261828 MZP261828 NJL261828 NTH261828 ODD261828 OMZ261828 OWV261828 PGR261828 PQN261828 QAJ261828 QKF261828 QUB261828 RDX261828 RNT261828 RXP261828 SHL261828 SRH261828 TBD261828 TKZ261828 TUV261828 UER261828 UON261828 UYJ261828 VIF261828 VSB261828 WBX261828 WLT261828 WVP261828 H327364 JD327364 SZ327364 ACV327364 AMR327364 AWN327364 BGJ327364 BQF327364 CAB327364 CJX327364 CTT327364 DDP327364 DNL327364 DXH327364 EHD327364 EQZ327364 FAV327364 FKR327364 FUN327364 GEJ327364 GOF327364 GYB327364 HHX327364 HRT327364 IBP327364 ILL327364 IVH327364 JFD327364 JOZ327364 JYV327364 KIR327364 KSN327364 LCJ327364 LMF327364 LWB327364 MFX327364 MPT327364 MZP327364 NJL327364 NTH327364 ODD327364 OMZ327364 OWV327364 PGR327364 PQN327364 QAJ327364 QKF327364 QUB327364 RDX327364 RNT327364 RXP327364 SHL327364 SRH327364 TBD327364 TKZ327364 TUV327364 UER327364 UON327364 UYJ327364 VIF327364 VSB327364 WBX327364 WLT327364 WVP327364 H392900 JD392900 SZ392900 ACV392900 AMR392900 AWN392900 BGJ392900 BQF392900 CAB392900 CJX392900 CTT392900 DDP392900 DNL392900 DXH392900 EHD392900 EQZ392900 FAV392900 FKR392900 FUN392900 GEJ392900 GOF392900 GYB392900 HHX392900 HRT392900 IBP392900 ILL392900 IVH392900 JFD392900 JOZ392900 JYV392900 KIR392900 KSN392900 LCJ392900 LMF392900 LWB392900 MFX392900 MPT392900 MZP392900 NJL392900 NTH392900 ODD392900 OMZ392900 OWV392900 PGR392900 PQN392900 QAJ392900 QKF392900 QUB392900 RDX392900 RNT392900 RXP392900 SHL392900 SRH392900 TBD392900 TKZ392900 TUV392900 UER392900 UON392900 UYJ392900 VIF392900 VSB392900 WBX392900 WLT392900 WVP392900 H458436 JD458436 SZ458436 ACV458436 AMR458436 AWN458436 BGJ458436 BQF458436 CAB458436 CJX458436 CTT458436 DDP458436 DNL458436 DXH458436 EHD458436 EQZ458436 FAV458436 FKR458436 FUN458436 GEJ458436 GOF458436 GYB458436 HHX458436 HRT458436 IBP458436 ILL458436 IVH458436 JFD458436 JOZ458436 JYV458436 KIR458436 KSN458436 LCJ458436 LMF458436 LWB458436 MFX458436 MPT458436 MZP458436 NJL458436 NTH458436 ODD458436 OMZ458436 OWV458436 PGR458436 PQN458436 QAJ458436 QKF458436 QUB458436 RDX458436 RNT458436 RXP458436 SHL458436 SRH458436 TBD458436 TKZ458436 TUV458436 UER458436 UON458436 UYJ458436 VIF458436 VSB458436 WBX458436 WLT458436 WVP458436 H523972 JD523972 SZ523972 ACV523972 AMR523972 AWN523972 BGJ523972 BQF523972 CAB523972 CJX523972 CTT523972 DDP523972 DNL523972 DXH523972 EHD523972 EQZ523972 FAV523972 FKR523972 FUN523972 GEJ523972 GOF523972 GYB523972 HHX523972 HRT523972 IBP523972 ILL523972 IVH523972 JFD523972 JOZ523972 JYV523972 KIR523972 KSN523972 LCJ523972 LMF523972 LWB523972 MFX523972 MPT523972 MZP523972 NJL523972 NTH523972 ODD523972 OMZ523972 OWV523972 PGR523972 PQN523972 QAJ523972 QKF523972 QUB523972 RDX523972 RNT523972 RXP523972 SHL523972 SRH523972 TBD523972 TKZ523972 TUV523972 UER523972 UON523972 UYJ523972 VIF523972 VSB523972 WBX523972 WLT523972 WVP523972 H589508 JD589508 SZ589508 ACV589508 AMR589508 AWN589508 BGJ589508 BQF589508 CAB589508 CJX589508 CTT589508 DDP589508 DNL589508 DXH589508 EHD589508 EQZ589508 FAV589508 FKR589508 FUN589508 GEJ589508 GOF589508 GYB589508 HHX589508 HRT589508 IBP589508 ILL589508 IVH589508 JFD589508 JOZ589508 JYV589508 KIR589508 KSN589508 LCJ589508 LMF589508 LWB589508 MFX589508 MPT589508 MZP589508 NJL589508 NTH589508 ODD589508 OMZ589508 OWV589508 PGR589508 PQN589508 QAJ589508 QKF589508 QUB589508 RDX589508 RNT589508 RXP589508 SHL589508 SRH589508 TBD589508 TKZ589508 TUV589508 UER589508 UON589508 UYJ589508 VIF589508 VSB589508 WBX589508 WLT589508 WVP589508 H655044 JD655044 SZ655044 ACV655044 AMR655044 AWN655044 BGJ655044 BQF655044 CAB655044 CJX655044 CTT655044 DDP655044 DNL655044 DXH655044 EHD655044 EQZ655044 FAV655044 FKR655044 FUN655044 GEJ655044 GOF655044 GYB655044 HHX655044 HRT655044 IBP655044 ILL655044 IVH655044 JFD655044 JOZ655044 JYV655044 KIR655044 KSN655044 LCJ655044 LMF655044 LWB655044 MFX655044 MPT655044 MZP655044 NJL655044 NTH655044 ODD655044 OMZ655044 OWV655044 PGR655044 PQN655044 QAJ655044 QKF655044 QUB655044 RDX655044 RNT655044 RXP655044 SHL655044 SRH655044 TBD655044 TKZ655044 TUV655044 UER655044 UON655044 UYJ655044 VIF655044 VSB655044 WBX655044 WLT655044 WVP655044 H720580 JD720580 SZ720580 ACV720580 AMR720580 AWN720580 BGJ720580 BQF720580 CAB720580 CJX720580 CTT720580 DDP720580 DNL720580 DXH720580 EHD720580 EQZ720580 FAV720580 FKR720580 FUN720580 GEJ720580 GOF720580 GYB720580 HHX720580 HRT720580 IBP720580 ILL720580 IVH720580 JFD720580 JOZ720580 JYV720580 KIR720580 KSN720580 LCJ720580 LMF720580 LWB720580 MFX720580 MPT720580 MZP720580 NJL720580 NTH720580 ODD720580 OMZ720580 OWV720580 PGR720580 PQN720580 QAJ720580 QKF720580 QUB720580 RDX720580 RNT720580 RXP720580 SHL720580 SRH720580 TBD720580 TKZ720580 TUV720580 UER720580 UON720580 UYJ720580 VIF720580 VSB720580 WBX720580 WLT720580 WVP720580 H786116 JD786116 SZ786116 ACV786116 AMR786116 AWN786116 BGJ786116 BQF786116 CAB786116 CJX786116 CTT786116 DDP786116 DNL786116 DXH786116 EHD786116 EQZ786116 FAV786116 FKR786116 FUN786116 GEJ786116 GOF786116 GYB786116 HHX786116 HRT786116 IBP786116 ILL786116 IVH786116 JFD786116 JOZ786116 JYV786116 KIR786116 KSN786116 LCJ786116 LMF786116 LWB786116 MFX786116 MPT786116 MZP786116 NJL786116 NTH786116 ODD786116 OMZ786116 OWV786116 PGR786116 PQN786116 QAJ786116 QKF786116 QUB786116 RDX786116 RNT786116 RXP786116 SHL786116 SRH786116 TBD786116 TKZ786116 TUV786116 UER786116 UON786116 UYJ786116 VIF786116 VSB786116 WBX786116 WLT786116 WVP786116 H851652 JD851652 SZ851652 ACV851652 AMR851652 AWN851652 BGJ851652 BQF851652 CAB851652 CJX851652 CTT851652 DDP851652 DNL851652 DXH851652 EHD851652 EQZ851652 FAV851652 FKR851652 FUN851652 GEJ851652 GOF851652 GYB851652 HHX851652 HRT851652 IBP851652 ILL851652 IVH851652 JFD851652 JOZ851652 JYV851652 KIR851652 KSN851652 LCJ851652 LMF851652 LWB851652 MFX851652 MPT851652 MZP851652 NJL851652 NTH851652 ODD851652 OMZ851652 OWV851652 PGR851652 PQN851652 QAJ851652 QKF851652 QUB851652 RDX851652 RNT851652 RXP851652 SHL851652 SRH851652 TBD851652 TKZ851652 TUV851652 UER851652 UON851652 UYJ851652 VIF851652 VSB851652 WBX851652 WLT851652 WVP851652 H917188 JD917188 SZ917188 ACV917188 AMR917188 AWN917188 BGJ917188 BQF917188 CAB917188 CJX917188 CTT917188 DDP917188 DNL917188 DXH917188 EHD917188 EQZ917188 FAV917188 FKR917188 FUN917188 GEJ917188 GOF917188 GYB917188 HHX917188 HRT917188 IBP917188 ILL917188 IVH917188 JFD917188 JOZ917188 JYV917188 KIR917188 KSN917188 LCJ917188 LMF917188 LWB917188 MFX917188 MPT917188 MZP917188 NJL917188 NTH917188 ODD917188 OMZ917188 OWV917188 PGR917188 PQN917188 QAJ917188 QKF917188 QUB917188 RDX917188 RNT917188 RXP917188 SHL917188 SRH917188 TBD917188 TKZ917188 TUV917188 UER917188 UON917188 UYJ917188 VIF917188 VSB917188 WBX917188 WLT917188 WVP917188 H982724 JD982724 SZ982724 ACV982724 AMR982724 AWN982724 BGJ982724 BQF982724 CAB982724 CJX982724 CTT982724 DDP982724 DNL982724 DXH982724 EHD982724 EQZ982724 FAV982724 FKR982724 FUN982724 GEJ982724 GOF982724 GYB982724 HHX982724 HRT982724 IBP982724 ILL982724 IVH982724 JFD982724 JOZ982724 JYV982724 KIR982724 KSN982724 LCJ982724 LMF982724 LWB982724 MFX982724 MPT982724 MZP982724 NJL982724 NTH982724 ODD982724 OMZ982724 OWV982724 PGR982724 PQN982724 QAJ982724 QKF982724 QUB982724 RDX982724 RNT982724 RXP982724 SHL982724 SRH982724 TBD982724 TKZ982724 TUV982724 UER982724 UON982724 UYJ982724 VIF982724 VSB982724 WBX982724 WLT982724 WVP982724"/>
    <dataValidation allowBlank="1" showInputMessage="1" showErrorMessage="1" prompt="Se refiere al nombre que se asigna a cada uno de los desagregados que se señalan."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220 JC65220 SY65220 ACU65220 AMQ65220 AWM65220 BGI65220 BQE65220 CAA65220 CJW65220 CTS65220 DDO65220 DNK65220 DXG65220 EHC65220 EQY65220 FAU65220 FKQ65220 FUM65220 GEI65220 GOE65220 GYA65220 HHW65220 HRS65220 IBO65220 ILK65220 IVG65220 JFC65220 JOY65220 JYU65220 KIQ65220 KSM65220 LCI65220 LME65220 LWA65220 MFW65220 MPS65220 MZO65220 NJK65220 NTG65220 ODC65220 OMY65220 OWU65220 PGQ65220 PQM65220 QAI65220 QKE65220 QUA65220 RDW65220 RNS65220 RXO65220 SHK65220 SRG65220 TBC65220 TKY65220 TUU65220 UEQ65220 UOM65220 UYI65220 VIE65220 VSA65220 WBW65220 WLS65220 WVO65220 G130756 JC130756 SY130756 ACU130756 AMQ130756 AWM130756 BGI130756 BQE130756 CAA130756 CJW130756 CTS130756 DDO130756 DNK130756 DXG130756 EHC130756 EQY130756 FAU130756 FKQ130756 FUM130756 GEI130756 GOE130756 GYA130756 HHW130756 HRS130756 IBO130756 ILK130756 IVG130756 JFC130756 JOY130756 JYU130756 KIQ130756 KSM130756 LCI130756 LME130756 LWA130756 MFW130756 MPS130756 MZO130756 NJK130756 NTG130756 ODC130756 OMY130756 OWU130756 PGQ130756 PQM130756 QAI130756 QKE130756 QUA130756 RDW130756 RNS130756 RXO130756 SHK130756 SRG130756 TBC130756 TKY130756 TUU130756 UEQ130756 UOM130756 UYI130756 VIE130756 VSA130756 WBW130756 WLS130756 WVO130756 G196292 JC196292 SY196292 ACU196292 AMQ196292 AWM196292 BGI196292 BQE196292 CAA196292 CJW196292 CTS196292 DDO196292 DNK196292 DXG196292 EHC196292 EQY196292 FAU196292 FKQ196292 FUM196292 GEI196292 GOE196292 GYA196292 HHW196292 HRS196292 IBO196292 ILK196292 IVG196292 JFC196292 JOY196292 JYU196292 KIQ196292 KSM196292 LCI196292 LME196292 LWA196292 MFW196292 MPS196292 MZO196292 NJK196292 NTG196292 ODC196292 OMY196292 OWU196292 PGQ196292 PQM196292 QAI196292 QKE196292 QUA196292 RDW196292 RNS196292 RXO196292 SHK196292 SRG196292 TBC196292 TKY196292 TUU196292 UEQ196292 UOM196292 UYI196292 VIE196292 VSA196292 WBW196292 WLS196292 WVO196292 G261828 JC261828 SY261828 ACU261828 AMQ261828 AWM261828 BGI261828 BQE261828 CAA261828 CJW261828 CTS261828 DDO261828 DNK261828 DXG261828 EHC261828 EQY261828 FAU261828 FKQ261828 FUM261828 GEI261828 GOE261828 GYA261828 HHW261828 HRS261828 IBO261828 ILK261828 IVG261828 JFC261828 JOY261828 JYU261828 KIQ261828 KSM261828 LCI261828 LME261828 LWA261828 MFW261828 MPS261828 MZO261828 NJK261828 NTG261828 ODC261828 OMY261828 OWU261828 PGQ261828 PQM261828 QAI261828 QKE261828 QUA261828 RDW261828 RNS261828 RXO261828 SHK261828 SRG261828 TBC261828 TKY261828 TUU261828 UEQ261828 UOM261828 UYI261828 VIE261828 VSA261828 WBW261828 WLS261828 WVO261828 G327364 JC327364 SY327364 ACU327364 AMQ327364 AWM327364 BGI327364 BQE327364 CAA327364 CJW327364 CTS327364 DDO327364 DNK327364 DXG327364 EHC327364 EQY327364 FAU327364 FKQ327364 FUM327364 GEI327364 GOE327364 GYA327364 HHW327364 HRS327364 IBO327364 ILK327364 IVG327364 JFC327364 JOY327364 JYU327364 KIQ327364 KSM327364 LCI327364 LME327364 LWA327364 MFW327364 MPS327364 MZO327364 NJK327364 NTG327364 ODC327364 OMY327364 OWU327364 PGQ327364 PQM327364 QAI327364 QKE327364 QUA327364 RDW327364 RNS327364 RXO327364 SHK327364 SRG327364 TBC327364 TKY327364 TUU327364 UEQ327364 UOM327364 UYI327364 VIE327364 VSA327364 WBW327364 WLS327364 WVO327364 G392900 JC392900 SY392900 ACU392900 AMQ392900 AWM392900 BGI392900 BQE392900 CAA392900 CJW392900 CTS392900 DDO392900 DNK392900 DXG392900 EHC392900 EQY392900 FAU392900 FKQ392900 FUM392900 GEI392900 GOE392900 GYA392900 HHW392900 HRS392900 IBO392900 ILK392900 IVG392900 JFC392900 JOY392900 JYU392900 KIQ392900 KSM392900 LCI392900 LME392900 LWA392900 MFW392900 MPS392900 MZO392900 NJK392900 NTG392900 ODC392900 OMY392900 OWU392900 PGQ392900 PQM392900 QAI392900 QKE392900 QUA392900 RDW392900 RNS392900 RXO392900 SHK392900 SRG392900 TBC392900 TKY392900 TUU392900 UEQ392900 UOM392900 UYI392900 VIE392900 VSA392900 WBW392900 WLS392900 WVO392900 G458436 JC458436 SY458436 ACU458436 AMQ458436 AWM458436 BGI458436 BQE458436 CAA458436 CJW458436 CTS458436 DDO458436 DNK458436 DXG458436 EHC458436 EQY458436 FAU458436 FKQ458436 FUM458436 GEI458436 GOE458436 GYA458436 HHW458436 HRS458436 IBO458436 ILK458436 IVG458436 JFC458436 JOY458436 JYU458436 KIQ458436 KSM458436 LCI458436 LME458436 LWA458436 MFW458436 MPS458436 MZO458436 NJK458436 NTG458436 ODC458436 OMY458436 OWU458436 PGQ458436 PQM458436 QAI458436 QKE458436 QUA458436 RDW458436 RNS458436 RXO458436 SHK458436 SRG458436 TBC458436 TKY458436 TUU458436 UEQ458436 UOM458436 UYI458436 VIE458436 VSA458436 WBW458436 WLS458436 WVO458436 G523972 JC523972 SY523972 ACU523972 AMQ523972 AWM523972 BGI523972 BQE523972 CAA523972 CJW523972 CTS523972 DDO523972 DNK523972 DXG523972 EHC523972 EQY523972 FAU523972 FKQ523972 FUM523972 GEI523972 GOE523972 GYA523972 HHW523972 HRS523972 IBO523972 ILK523972 IVG523972 JFC523972 JOY523972 JYU523972 KIQ523972 KSM523972 LCI523972 LME523972 LWA523972 MFW523972 MPS523972 MZO523972 NJK523972 NTG523972 ODC523972 OMY523972 OWU523972 PGQ523972 PQM523972 QAI523972 QKE523972 QUA523972 RDW523972 RNS523972 RXO523972 SHK523972 SRG523972 TBC523972 TKY523972 TUU523972 UEQ523972 UOM523972 UYI523972 VIE523972 VSA523972 WBW523972 WLS523972 WVO523972 G589508 JC589508 SY589508 ACU589508 AMQ589508 AWM589508 BGI589508 BQE589508 CAA589508 CJW589508 CTS589508 DDO589508 DNK589508 DXG589508 EHC589508 EQY589508 FAU589508 FKQ589508 FUM589508 GEI589508 GOE589508 GYA589508 HHW589508 HRS589508 IBO589508 ILK589508 IVG589508 JFC589508 JOY589508 JYU589508 KIQ589508 KSM589508 LCI589508 LME589508 LWA589508 MFW589508 MPS589508 MZO589508 NJK589508 NTG589508 ODC589508 OMY589508 OWU589508 PGQ589508 PQM589508 QAI589508 QKE589508 QUA589508 RDW589508 RNS589508 RXO589508 SHK589508 SRG589508 TBC589508 TKY589508 TUU589508 UEQ589508 UOM589508 UYI589508 VIE589508 VSA589508 WBW589508 WLS589508 WVO589508 G655044 JC655044 SY655044 ACU655044 AMQ655044 AWM655044 BGI655044 BQE655044 CAA655044 CJW655044 CTS655044 DDO655044 DNK655044 DXG655044 EHC655044 EQY655044 FAU655044 FKQ655044 FUM655044 GEI655044 GOE655044 GYA655044 HHW655044 HRS655044 IBO655044 ILK655044 IVG655044 JFC655044 JOY655044 JYU655044 KIQ655044 KSM655044 LCI655044 LME655044 LWA655044 MFW655044 MPS655044 MZO655044 NJK655044 NTG655044 ODC655044 OMY655044 OWU655044 PGQ655044 PQM655044 QAI655044 QKE655044 QUA655044 RDW655044 RNS655044 RXO655044 SHK655044 SRG655044 TBC655044 TKY655044 TUU655044 UEQ655044 UOM655044 UYI655044 VIE655044 VSA655044 WBW655044 WLS655044 WVO655044 G720580 JC720580 SY720580 ACU720580 AMQ720580 AWM720580 BGI720580 BQE720580 CAA720580 CJW720580 CTS720580 DDO720580 DNK720580 DXG720580 EHC720580 EQY720580 FAU720580 FKQ720580 FUM720580 GEI720580 GOE720580 GYA720580 HHW720580 HRS720580 IBO720580 ILK720580 IVG720580 JFC720580 JOY720580 JYU720580 KIQ720580 KSM720580 LCI720580 LME720580 LWA720580 MFW720580 MPS720580 MZO720580 NJK720580 NTG720580 ODC720580 OMY720580 OWU720580 PGQ720580 PQM720580 QAI720580 QKE720580 QUA720580 RDW720580 RNS720580 RXO720580 SHK720580 SRG720580 TBC720580 TKY720580 TUU720580 UEQ720580 UOM720580 UYI720580 VIE720580 VSA720580 WBW720580 WLS720580 WVO720580 G786116 JC786116 SY786116 ACU786116 AMQ786116 AWM786116 BGI786116 BQE786116 CAA786116 CJW786116 CTS786116 DDO786116 DNK786116 DXG786116 EHC786116 EQY786116 FAU786116 FKQ786116 FUM786116 GEI786116 GOE786116 GYA786116 HHW786116 HRS786116 IBO786116 ILK786116 IVG786116 JFC786116 JOY786116 JYU786116 KIQ786116 KSM786116 LCI786116 LME786116 LWA786116 MFW786116 MPS786116 MZO786116 NJK786116 NTG786116 ODC786116 OMY786116 OWU786116 PGQ786116 PQM786116 QAI786116 QKE786116 QUA786116 RDW786116 RNS786116 RXO786116 SHK786116 SRG786116 TBC786116 TKY786116 TUU786116 UEQ786116 UOM786116 UYI786116 VIE786116 VSA786116 WBW786116 WLS786116 WVO786116 G851652 JC851652 SY851652 ACU851652 AMQ851652 AWM851652 BGI851652 BQE851652 CAA851652 CJW851652 CTS851652 DDO851652 DNK851652 DXG851652 EHC851652 EQY851652 FAU851652 FKQ851652 FUM851652 GEI851652 GOE851652 GYA851652 HHW851652 HRS851652 IBO851652 ILK851652 IVG851652 JFC851652 JOY851652 JYU851652 KIQ851652 KSM851652 LCI851652 LME851652 LWA851652 MFW851652 MPS851652 MZO851652 NJK851652 NTG851652 ODC851652 OMY851652 OWU851652 PGQ851652 PQM851652 QAI851652 QKE851652 QUA851652 RDW851652 RNS851652 RXO851652 SHK851652 SRG851652 TBC851652 TKY851652 TUU851652 UEQ851652 UOM851652 UYI851652 VIE851652 VSA851652 WBW851652 WLS851652 WVO851652 G917188 JC917188 SY917188 ACU917188 AMQ917188 AWM917188 BGI917188 BQE917188 CAA917188 CJW917188 CTS917188 DDO917188 DNK917188 DXG917188 EHC917188 EQY917188 FAU917188 FKQ917188 FUM917188 GEI917188 GOE917188 GYA917188 HHW917188 HRS917188 IBO917188 ILK917188 IVG917188 JFC917188 JOY917188 JYU917188 KIQ917188 KSM917188 LCI917188 LME917188 LWA917188 MFW917188 MPS917188 MZO917188 NJK917188 NTG917188 ODC917188 OMY917188 OWU917188 PGQ917188 PQM917188 QAI917188 QKE917188 QUA917188 RDW917188 RNS917188 RXO917188 SHK917188 SRG917188 TBC917188 TKY917188 TUU917188 UEQ917188 UOM917188 UYI917188 VIE917188 VSA917188 WBW917188 WLS917188 WVO917188 G982724 JC982724 SY982724 ACU982724 AMQ982724 AWM982724 BGI982724 BQE982724 CAA982724 CJW982724 CTS982724 DDO982724 DNK982724 DXG982724 EHC982724 EQY982724 FAU982724 FKQ982724 FUM982724 GEI982724 GOE982724 GYA982724 HHW982724 HRS982724 IBO982724 ILK982724 IVG982724 JFC982724 JOY982724 JYU982724 KIQ982724 KSM982724 LCI982724 LME982724 LWA982724 MFW982724 MPS982724 MZO982724 NJK982724 NTG982724 ODC982724 OMY982724 OWU982724 PGQ982724 PQM982724 QAI982724 QKE982724 QUA982724 RDW982724 RNS982724 RXO982724 SHK982724 SRG982724 TBC982724 TKY982724 TUU982724 UEQ982724 UOM982724 UYI982724 VIE982724 VSA982724 WBW982724 WLS982724 WVO982724"/>
    <dataValidation allowBlank="1" showInputMessage="1" showErrorMessage="1" prompt="De acuerdo al Clasificador por objeto del gasto (capítulo, concepto; partida genérica y especifica), publicadas en el DOF el 22 de diciembre de 2014. A cuatro digitos."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220 JB65220 SX65220 ACT65220 AMP65220 AWL65220 BGH65220 BQD65220 BZZ65220 CJV65220 CTR65220 DDN65220 DNJ65220 DXF65220 EHB65220 EQX65220 FAT65220 FKP65220 FUL65220 GEH65220 GOD65220 GXZ65220 HHV65220 HRR65220 IBN65220 ILJ65220 IVF65220 JFB65220 JOX65220 JYT65220 KIP65220 KSL65220 LCH65220 LMD65220 LVZ65220 MFV65220 MPR65220 MZN65220 NJJ65220 NTF65220 ODB65220 OMX65220 OWT65220 PGP65220 PQL65220 QAH65220 QKD65220 QTZ65220 RDV65220 RNR65220 RXN65220 SHJ65220 SRF65220 TBB65220 TKX65220 TUT65220 UEP65220 UOL65220 UYH65220 VID65220 VRZ65220 WBV65220 WLR65220 WVN65220 F130756 JB130756 SX130756 ACT130756 AMP130756 AWL130756 BGH130756 BQD130756 BZZ130756 CJV130756 CTR130756 DDN130756 DNJ130756 DXF130756 EHB130756 EQX130756 FAT130756 FKP130756 FUL130756 GEH130756 GOD130756 GXZ130756 HHV130756 HRR130756 IBN130756 ILJ130756 IVF130756 JFB130756 JOX130756 JYT130756 KIP130756 KSL130756 LCH130756 LMD130756 LVZ130756 MFV130756 MPR130756 MZN130756 NJJ130756 NTF130756 ODB130756 OMX130756 OWT130756 PGP130756 PQL130756 QAH130756 QKD130756 QTZ130756 RDV130756 RNR130756 RXN130756 SHJ130756 SRF130756 TBB130756 TKX130756 TUT130756 UEP130756 UOL130756 UYH130756 VID130756 VRZ130756 WBV130756 WLR130756 WVN130756 F196292 JB196292 SX196292 ACT196292 AMP196292 AWL196292 BGH196292 BQD196292 BZZ196292 CJV196292 CTR196292 DDN196292 DNJ196292 DXF196292 EHB196292 EQX196292 FAT196292 FKP196292 FUL196292 GEH196292 GOD196292 GXZ196292 HHV196292 HRR196292 IBN196292 ILJ196292 IVF196292 JFB196292 JOX196292 JYT196292 KIP196292 KSL196292 LCH196292 LMD196292 LVZ196292 MFV196292 MPR196292 MZN196292 NJJ196292 NTF196292 ODB196292 OMX196292 OWT196292 PGP196292 PQL196292 QAH196292 QKD196292 QTZ196292 RDV196292 RNR196292 RXN196292 SHJ196292 SRF196292 TBB196292 TKX196292 TUT196292 UEP196292 UOL196292 UYH196292 VID196292 VRZ196292 WBV196292 WLR196292 WVN196292 F261828 JB261828 SX261828 ACT261828 AMP261828 AWL261828 BGH261828 BQD261828 BZZ261828 CJV261828 CTR261828 DDN261828 DNJ261828 DXF261828 EHB261828 EQX261828 FAT261828 FKP261828 FUL261828 GEH261828 GOD261828 GXZ261828 HHV261828 HRR261828 IBN261828 ILJ261828 IVF261828 JFB261828 JOX261828 JYT261828 KIP261828 KSL261828 LCH261828 LMD261828 LVZ261828 MFV261828 MPR261828 MZN261828 NJJ261828 NTF261828 ODB261828 OMX261828 OWT261828 PGP261828 PQL261828 QAH261828 QKD261828 QTZ261828 RDV261828 RNR261828 RXN261828 SHJ261828 SRF261828 TBB261828 TKX261828 TUT261828 UEP261828 UOL261828 UYH261828 VID261828 VRZ261828 WBV261828 WLR261828 WVN261828 F327364 JB327364 SX327364 ACT327364 AMP327364 AWL327364 BGH327364 BQD327364 BZZ327364 CJV327364 CTR327364 DDN327364 DNJ327364 DXF327364 EHB327364 EQX327364 FAT327364 FKP327364 FUL327364 GEH327364 GOD327364 GXZ327364 HHV327364 HRR327364 IBN327364 ILJ327364 IVF327364 JFB327364 JOX327364 JYT327364 KIP327364 KSL327364 LCH327364 LMD327364 LVZ327364 MFV327364 MPR327364 MZN327364 NJJ327364 NTF327364 ODB327364 OMX327364 OWT327364 PGP327364 PQL327364 QAH327364 QKD327364 QTZ327364 RDV327364 RNR327364 RXN327364 SHJ327364 SRF327364 TBB327364 TKX327364 TUT327364 UEP327364 UOL327364 UYH327364 VID327364 VRZ327364 WBV327364 WLR327364 WVN327364 F392900 JB392900 SX392900 ACT392900 AMP392900 AWL392900 BGH392900 BQD392900 BZZ392900 CJV392900 CTR392900 DDN392900 DNJ392900 DXF392900 EHB392900 EQX392900 FAT392900 FKP392900 FUL392900 GEH392900 GOD392900 GXZ392900 HHV392900 HRR392900 IBN392900 ILJ392900 IVF392900 JFB392900 JOX392900 JYT392900 KIP392900 KSL392900 LCH392900 LMD392900 LVZ392900 MFV392900 MPR392900 MZN392900 NJJ392900 NTF392900 ODB392900 OMX392900 OWT392900 PGP392900 PQL392900 QAH392900 QKD392900 QTZ392900 RDV392900 RNR392900 RXN392900 SHJ392900 SRF392900 TBB392900 TKX392900 TUT392900 UEP392900 UOL392900 UYH392900 VID392900 VRZ392900 WBV392900 WLR392900 WVN392900 F458436 JB458436 SX458436 ACT458436 AMP458436 AWL458436 BGH458436 BQD458436 BZZ458436 CJV458436 CTR458436 DDN458436 DNJ458436 DXF458436 EHB458436 EQX458436 FAT458436 FKP458436 FUL458436 GEH458436 GOD458436 GXZ458436 HHV458436 HRR458436 IBN458436 ILJ458436 IVF458436 JFB458436 JOX458436 JYT458436 KIP458436 KSL458436 LCH458436 LMD458436 LVZ458436 MFV458436 MPR458436 MZN458436 NJJ458436 NTF458436 ODB458436 OMX458436 OWT458436 PGP458436 PQL458436 QAH458436 QKD458436 QTZ458436 RDV458436 RNR458436 RXN458436 SHJ458436 SRF458436 TBB458436 TKX458436 TUT458436 UEP458436 UOL458436 UYH458436 VID458436 VRZ458436 WBV458436 WLR458436 WVN458436 F523972 JB523972 SX523972 ACT523972 AMP523972 AWL523972 BGH523972 BQD523972 BZZ523972 CJV523972 CTR523972 DDN523972 DNJ523972 DXF523972 EHB523972 EQX523972 FAT523972 FKP523972 FUL523972 GEH523972 GOD523972 GXZ523972 HHV523972 HRR523972 IBN523972 ILJ523972 IVF523972 JFB523972 JOX523972 JYT523972 KIP523972 KSL523972 LCH523972 LMD523972 LVZ523972 MFV523972 MPR523972 MZN523972 NJJ523972 NTF523972 ODB523972 OMX523972 OWT523972 PGP523972 PQL523972 QAH523972 QKD523972 QTZ523972 RDV523972 RNR523972 RXN523972 SHJ523972 SRF523972 TBB523972 TKX523972 TUT523972 UEP523972 UOL523972 UYH523972 VID523972 VRZ523972 WBV523972 WLR523972 WVN523972 F589508 JB589508 SX589508 ACT589508 AMP589508 AWL589508 BGH589508 BQD589508 BZZ589508 CJV589508 CTR589508 DDN589508 DNJ589508 DXF589508 EHB589508 EQX589508 FAT589508 FKP589508 FUL589508 GEH589508 GOD589508 GXZ589508 HHV589508 HRR589508 IBN589508 ILJ589508 IVF589508 JFB589508 JOX589508 JYT589508 KIP589508 KSL589508 LCH589508 LMD589508 LVZ589508 MFV589508 MPR589508 MZN589508 NJJ589508 NTF589508 ODB589508 OMX589508 OWT589508 PGP589508 PQL589508 QAH589508 QKD589508 QTZ589508 RDV589508 RNR589508 RXN589508 SHJ589508 SRF589508 TBB589508 TKX589508 TUT589508 UEP589508 UOL589508 UYH589508 VID589508 VRZ589508 WBV589508 WLR589508 WVN589508 F655044 JB655044 SX655044 ACT655044 AMP655044 AWL655044 BGH655044 BQD655044 BZZ655044 CJV655044 CTR655044 DDN655044 DNJ655044 DXF655044 EHB655044 EQX655044 FAT655044 FKP655044 FUL655044 GEH655044 GOD655044 GXZ655044 HHV655044 HRR655044 IBN655044 ILJ655044 IVF655044 JFB655044 JOX655044 JYT655044 KIP655044 KSL655044 LCH655044 LMD655044 LVZ655044 MFV655044 MPR655044 MZN655044 NJJ655044 NTF655044 ODB655044 OMX655044 OWT655044 PGP655044 PQL655044 QAH655044 QKD655044 QTZ655044 RDV655044 RNR655044 RXN655044 SHJ655044 SRF655044 TBB655044 TKX655044 TUT655044 UEP655044 UOL655044 UYH655044 VID655044 VRZ655044 WBV655044 WLR655044 WVN655044 F720580 JB720580 SX720580 ACT720580 AMP720580 AWL720580 BGH720580 BQD720580 BZZ720580 CJV720580 CTR720580 DDN720580 DNJ720580 DXF720580 EHB720580 EQX720580 FAT720580 FKP720580 FUL720580 GEH720580 GOD720580 GXZ720580 HHV720580 HRR720580 IBN720580 ILJ720580 IVF720580 JFB720580 JOX720580 JYT720580 KIP720580 KSL720580 LCH720580 LMD720580 LVZ720580 MFV720580 MPR720580 MZN720580 NJJ720580 NTF720580 ODB720580 OMX720580 OWT720580 PGP720580 PQL720580 QAH720580 QKD720580 QTZ720580 RDV720580 RNR720580 RXN720580 SHJ720580 SRF720580 TBB720580 TKX720580 TUT720580 UEP720580 UOL720580 UYH720580 VID720580 VRZ720580 WBV720580 WLR720580 WVN720580 F786116 JB786116 SX786116 ACT786116 AMP786116 AWL786116 BGH786116 BQD786116 BZZ786116 CJV786116 CTR786116 DDN786116 DNJ786116 DXF786116 EHB786116 EQX786116 FAT786116 FKP786116 FUL786116 GEH786116 GOD786116 GXZ786116 HHV786116 HRR786116 IBN786116 ILJ786116 IVF786116 JFB786116 JOX786116 JYT786116 KIP786116 KSL786116 LCH786116 LMD786116 LVZ786116 MFV786116 MPR786116 MZN786116 NJJ786116 NTF786116 ODB786116 OMX786116 OWT786116 PGP786116 PQL786116 QAH786116 QKD786116 QTZ786116 RDV786116 RNR786116 RXN786116 SHJ786116 SRF786116 TBB786116 TKX786116 TUT786116 UEP786116 UOL786116 UYH786116 VID786116 VRZ786116 WBV786116 WLR786116 WVN786116 F851652 JB851652 SX851652 ACT851652 AMP851652 AWL851652 BGH851652 BQD851652 BZZ851652 CJV851652 CTR851652 DDN851652 DNJ851652 DXF851652 EHB851652 EQX851652 FAT851652 FKP851652 FUL851652 GEH851652 GOD851652 GXZ851652 HHV851652 HRR851652 IBN851652 ILJ851652 IVF851652 JFB851652 JOX851652 JYT851652 KIP851652 KSL851652 LCH851652 LMD851652 LVZ851652 MFV851652 MPR851652 MZN851652 NJJ851652 NTF851652 ODB851652 OMX851652 OWT851652 PGP851652 PQL851652 QAH851652 QKD851652 QTZ851652 RDV851652 RNR851652 RXN851652 SHJ851652 SRF851652 TBB851652 TKX851652 TUT851652 UEP851652 UOL851652 UYH851652 VID851652 VRZ851652 WBV851652 WLR851652 WVN851652 F917188 JB917188 SX917188 ACT917188 AMP917188 AWL917188 BGH917188 BQD917188 BZZ917188 CJV917188 CTR917188 DDN917188 DNJ917188 DXF917188 EHB917188 EQX917188 FAT917188 FKP917188 FUL917188 GEH917188 GOD917188 GXZ917188 HHV917188 HRR917188 IBN917188 ILJ917188 IVF917188 JFB917188 JOX917188 JYT917188 KIP917188 KSL917188 LCH917188 LMD917188 LVZ917188 MFV917188 MPR917188 MZN917188 NJJ917188 NTF917188 ODB917188 OMX917188 OWT917188 PGP917188 PQL917188 QAH917188 QKD917188 QTZ917188 RDV917188 RNR917188 RXN917188 SHJ917188 SRF917188 TBB917188 TKX917188 TUT917188 UEP917188 UOL917188 UYH917188 VID917188 VRZ917188 WBV917188 WLR917188 WVN917188 F982724 JB982724 SX982724 ACT982724 AMP982724 AWL982724 BGH982724 BQD982724 BZZ982724 CJV982724 CTR982724 DDN982724 DNJ982724 DXF982724 EHB982724 EQX982724 FAT982724 FKP982724 FUL982724 GEH982724 GOD982724 GXZ982724 HHV982724 HRR982724 IBN982724 ILJ982724 IVF982724 JFB982724 JOX982724 JYT982724 KIP982724 KSL982724 LCH982724 LMD982724 LVZ982724 MFV982724 MPR982724 MZN982724 NJJ982724 NTF982724 ODB982724 OMX982724 OWT982724 PGP982724 PQL982724 QAH982724 QKD982724 QTZ982724 RDV982724 RNR982724 RXN982724 SHJ982724 SRF982724 TBB982724 TKX982724 TUT982724 UEP982724 UOL982724 UYH982724 VID982724 VRZ982724 WBV982724 WLR982724 WVN982724"/>
    <dataValidation allowBlank="1" showInputMessage="1" showErrorMessage="1" prompt="Clasificador por Fuentes de Financiamiento de acuerdo al emitido por el CONAC (DOF 2-ene-13). A un dígito."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220 IY65220 SU65220 ACQ65220 AMM65220 AWI65220 BGE65220 BQA65220 BZW65220 CJS65220 CTO65220 DDK65220 DNG65220 DXC65220 EGY65220 EQU65220 FAQ65220 FKM65220 FUI65220 GEE65220 GOA65220 GXW65220 HHS65220 HRO65220 IBK65220 ILG65220 IVC65220 JEY65220 JOU65220 JYQ65220 KIM65220 KSI65220 LCE65220 LMA65220 LVW65220 MFS65220 MPO65220 MZK65220 NJG65220 NTC65220 OCY65220 OMU65220 OWQ65220 PGM65220 PQI65220 QAE65220 QKA65220 QTW65220 RDS65220 RNO65220 RXK65220 SHG65220 SRC65220 TAY65220 TKU65220 TUQ65220 UEM65220 UOI65220 UYE65220 VIA65220 VRW65220 WBS65220 WLO65220 WVK65220 C130756 IY130756 SU130756 ACQ130756 AMM130756 AWI130756 BGE130756 BQA130756 BZW130756 CJS130756 CTO130756 DDK130756 DNG130756 DXC130756 EGY130756 EQU130756 FAQ130756 FKM130756 FUI130756 GEE130756 GOA130756 GXW130756 HHS130756 HRO130756 IBK130756 ILG130756 IVC130756 JEY130756 JOU130756 JYQ130756 KIM130756 KSI130756 LCE130756 LMA130756 LVW130756 MFS130756 MPO130756 MZK130756 NJG130756 NTC130756 OCY130756 OMU130756 OWQ130756 PGM130756 PQI130756 QAE130756 QKA130756 QTW130756 RDS130756 RNO130756 RXK130756 SHG130756 SRC130756 TAY130756 TKU130756 TUQ130756 UEM130756 UOI130756 UYE130756 VIA130756 VRW130756 WBS130756 WLO130756 WVK130756 C196292 IY196292 SU196292 ACQ196292 AMM196292 AWI196292 BGE196292 BQA196292 BZW196292 CJS196292 CTO196292 DDK196292 DNG196292 DXC196292 EGY196292 EQU196292 FAQ196292 FKM196292 FUI196292 GEE196292 GOA196292 GXW196292 HHS196292 HRO196292 IBK196292 ILG196292 IVC196292 JEY196292 JOU196292 JYQ196292 KIM196292 KSI196292 LCE196292 LMA196292 LVW196292 MFS196292 MPO196292 MZK196292 NJG196292 NTC196292 OCY196292 OMU196292 OWQ196292 PGM196292 PQI196292 QAE196292 QKA196292 QTW196292 RDS196292 RNO196292 RXK196292 SHG196292 SRC196292 TAY196292 TKU196292 TUQ196292 UEM196292 UOI196292 UYE196292 VIA196292 VRW196292 WBS196292 WLO196292 WVK196292 C261828 IY261828 SU261828 ACQ261828 AMM261828 AWI261828 BGE261828 BQA261828 BZW261828 CJS261828 CTO261828 DDK261828 DNG261828 DXC261828 EGY261828 EQU261828 FAQ261828 FKM261828 FUI261828 GEE261828 GOA261828 GXW261828 HHS261828 HRO261828 IBK261828 ILG261828 IVC261828 JEY261828 JOU261828 JYQ261828 KIM261828 KSI261828 LCE261828 LMA261828 LVW261828 MFS261828 MPO261828 MZK261828 NJG261828 NTC261828 OCY261828 OMU261828 OWQ261828 PGM261828 PQI261828 QAE261828 QKA261828 QTW261828 RDS261828 RNO261828 RXK261828 SHG261828 SRC261828 TAY261828 TKU261828 TUQ261828 UEM261828 UOI261828 UYE261828 VIA261828 VRW261828 WBS261828 WLO261828 WVK261828 C327364 IY327364 SU327364 ACQ327364 AMM327364 AWI327364 BGE327364 BQA327364 BZW327364 CJS327364 CTO327364 DDK327364 DNG327364 DXC327364 EGY327364 EQU327364 FAQ327364 FKM327364 FUI327364 GEE327364 GOA327364 GXW327364 HHS327364 HRO327364 IBK327364 ILG327364 IVC327364 JEY327364 JOU327364 JYQ327364 KIM327364 KSI327364 LCE327364 LMA327364 LVW327364 MFS327364 MPO327364 MZK327364 NJG327364 NTC327364 OCY327364 OMU327364 OWQ327364 PGM327364 PQI327364 QAE327364 QKA327364 QTW327364 RDS327364 RNO327364 RXK327364 SHG327364 SRC327364 TAY327364 TKU327364 TUQ327364 UEM327364 UOI327364 UYE327364 VIA327364 VRW327364 WBS327364 WLO327364 WVK327364 C392900 IY392900 SU392900 ACQ392900 AMM392900 AWI392900 BGE392900 BQA392900 BZW392900 CJS392900 CTO392900 DDK392900 DNG392900 DXC392900 EGY392900 EQU392900 FAQ392900 FKM392900 FUI392900 GEE392900 GOA392900 GXW392900 HHS392900 HRO392900 IBK392900 ILG392900 IVC392900 JEY392900 JOU392900 JYQ392900 KIM392900 KSI392900 LCE392900 LMA392900 LVW392900 MFS392900 MPO392900 MZK392900 NJG392900 NTC392900 OCY392900 OMU392900 OWQ392900 PGM392900 PQI392900 QAE392900 QKA392900 QTW392900 RDS392900 RNO392900 RXK392900 SHG392900 SRC392900 TAY392900 TKU392900 TUQ392900 UEM392900 UOI392900 UYE392900 VIA392900 VRW392900 WBS392900 WLO392900 WVK392900 C458436 IY458436 SU458436 ACQ458436 AMM458436 AWI458436 BGE458436 BQA458436 BZW458436 CJS458436 CTO458436 DDK458436 DNG458436 DXC458436 EGY458436 EQU458436 FAQ458436 FKM458436 FUI458436 GEE458436 GOA458436 GXW458436 HHS458436 HRO458436 IBK458436 ILG458436 IVC458436 JEY458436 JOU458436 JYQ458436 KIM458436 KSI458436 LCE458436 LMA458436 LVW458436 MFS458436 MPO458436 MZK458436 NJG458436 NTC458436 OCY458436 OMU458436 OWQ458436 PGM458436 PQI458436 QAE458436 QKA458436 QTW458436 RDS458436 RNO458436 RXK458436 SHG458436 SRC458436 TAY458436 TKU458436 TUQ458436 UEM458436 UOI458436 UYE458436 VIA458436 VRW458436 WBS458436 WLO458436 WVK458436 C523972 IY523972 SU523972 ACQ523972 AMM523972 AWI523972 BGE523972 BQA523972 BZW523972 CJS523972 CTO523972 DDK523972 DNG523972 DXC523972 EGY523972 EQU523972 FAQ523972 FKM523972 FUI523972 GEE523972 GOA523972 GXW523972 HHS523972 HRO523972 IBK523972 ILG523972 IVC523972 JEY523972 JOU523972 JYQ523972 KIM523972 KSI523972 LCE523972 LMA523972 LVW523972 MFS523972 MPO523972 MZK523972 NJG523972 NTC523972 OCY523972 OMU523972 OWQ523972 PGM523972 PQI523972 QAE523972 QKA523972 QTW523972 RDS523972 RNO523972 RXK523972 SHG523972 SRC523972 TAY523972 TKU523972 TUQ523972 UEM523972 UOI523972 UYE523972 VIA523972 VRW523972 WBS523972 WLO523972 WVK523972 C589508 IY589508 SU589508 ACQ589508 AMM589508 AWI589508 BGE589508 BQA589508 BZW589508 CJS589508 CTO589508 DDK589508 DNG589508 DXC589508 EGY589508 EQU589508 FAQ589508 FKM589508 FUI589508 GEE589508 GOA589508 GXW589508 HHS589508 HRO589508 IBK589508 ILG589508 IVC589508 JEY589508 JOU589508 JYQ589508 KIM589508 KSI589508 LCE589508 LMA589508 LVW589508 MFS589508 MPO589508 MZK589508 NJG589508 NTC589508 OCY589508 OMU589508 OWQ589508 PGM589508 PQI589508 QAE589508 QKA589508 QTW589508 RDS589508 RNO589508 RXK589508 SHG589508 SRC589508 TAY589508 TKU589508 TUQ589508 UEM589508 UOI589508 UYE589508 VIA589508 VRW589508 WBS589508 WLO589508 WVK589508 C655044 IY655044 SU655044 ACQ655044 AMM655044 AWI655044 BGE655044 BQA655044 BZW655044 CJS655044 CTO655044 DDK655044 DNG655044 DXC655044 EGY655044 EQU655044 FAQ655044 FKM655044 FUI655044 GEE655044 GOA655044 GXW655044 HHS655044 HRO655044 IBK655044 ILG655044 IVC655044 JEY655044 JOU655044 JYQ655044 KIM655044 KSI655044 LCE655044 LMA655044 LVW655044 MFS655044 MPO655044 MZK655044 NJG655044 NTC655044 OCY655044 OMU655044 OWQ655044 PGM655044 PQI655044 QAE655044 QKA655044 QTW655044 RDS655044 RNO655044 RXK655044 SHG655044 SRC655044 TAY655044 TKU655044 TUQ655044 UEM655044 UOI655044 UYE655044 VIA655044 VRW655044 WBS655044 WLO655044 WVK655044 C720580 IY720580 SU720580 ACQ720580 AMM720580 AWI720580 BGE720580 BQA720580 BZW720580 CJS720580 CTO720580 DDK720580 DNG720580 DXC720580 EGY720580 EQU720580 FAQ720580 FKM720580 FUI720580 GEE720580 GOA720580 GXW720580 HHS720580 HRO720580 IBK720580 ILG720580 IVC720580 JEY720580 JOU720580 JYQ720580 KIM720580 KSI720580 LCE720580 LMA720580 LVW720580 MFS720580 MPO720580 MZK720580 NJG720580 NTC720580 OCY720580 OMU720580 OWQ720580 PGM720580 PQI720580 QAE720580 QKA720580 QTW720580 RDS720580 RNO720580 RXK720580 SHG720580 SRC720580 TAY720580 TKU720580 TUQ720580 UEM720580 UOI720580 UYE720580 VIA720580 VRW720580 WBS720580 WLO720580 WVK720580 C786116 IY786116 SU786116 ACQ786116 AMM786116 AWI786116 BGE786116 BQA786116 BZW786116 CJS786116 CTO786116 DDK786116 DNG786116 DXC786116 EGY786116 EQU786116 FAQ786116 FKM786116 FUI786116 GEE786116 GOA786116 GXW786116 HHS786116 HRO786116 IBK786116 ILG786116 IVC786116 JEY786116 JOU786116 JYQ786116 KIM786116 KSI786116 LCE786116 LMA786116 LVW786116 MFS786116 MPO786116 MZK786116 NJG786116 NTC786116 OCY786116 OMU786116 OWQ786116 PGM786116 PQI786116 QAE786116 QKA786116 QTW786116 RDS786116 RNO786116 RXK786116 SHG786116 SRC786116 TAY786116 TKU786116 TUQ786116 UEM786116 UOI786116 UYE786116 VIA786116 VRW786116 WBS786116 WLO786116 WVK786116 C851652 IY851652 SU851652 ACQ851652 AMM851652 AWI851652 BGE851652 BQA851652 BZW851652 CJS851652 CTO851652 DDK851652 DNG851652 DXC851652 EGY851652 EQU851652 FAQ851652 FKM851652 FUI851652 GEE851652 GOA851652 GXW851652 HHS851652 HRO851652 IBK851652 ILG851652 IVC851652 JEY851652 JOU851652 JYQ851652 KIM851652 KSI851652 LCE851652 LMA851652 LVW851652 MFS851652 MPO851652 MZK851652 NJG851652 NTC851652 OCY851652 OMU851652 OWQ851652 PGM851652 PQI851652 QAE851652 QKA851652 QTW851652 RDS851652 RNO851652 RXK851652 SHG851652 SRC851652 TAY851652 TKU851652 TUQ851652 UEM851652 UOI851652 UYE851652 VIA851652 VRW851652 WBS851652 WLO851652 WVK851652 C917188 IY917188 SU917188 ACQ917188 AMM917188 AWI917188 BGE917188 BQA917188 BZW917188 CJS917188 CTO917188 DDK917188 DNG917188 DXC917188 EGY917188 EQU917188 FAQ917188 FKM917188 FUI917188 GEE917188 GOA917188 GXW917188 HHS917188 HRO917188 IBK917188 ILG917188 IVC917188 JEY917188 JOU917188 JYQ917188 KIM917188 KSI917188 LCE917188 LMA917188 LVW917188 MFS917188 MPO917188 MZK917188 NJG917188 NTC917188 OCY917188 OMU917188 OWQ917188 PGM917188 PQI917188 QAE917188 QKA917188 QTW917188 RDS917188 RNO917188 RXK917188 SHG917188 SRC917188 TAY917188 TKU917188 TUQ917188 UEM917188 UOI917188 UYE917188 VIA917188 VRW917188 WBS917188 WLO917188 WVK917188 C982724 IY982724 SU982724 ACQ982724 AMM982724 AWI982724 BGE982724 BQA982724 BZW982724 CJS982724 CTO982724 DDK982724 DNG982724 DXC982724 EGY982724 EQU982724 FAQ982724 FKM982724 FUI982724 GEE982724 GOA982724 GXW982724 HHS982724 HRO982724 IBK982724 ILG982724 IVC982724 JEY982724 JOU982724 JYQ982724 KIM982724 KSI982724 LCE982724 LMA982724 LVW982724 MFS982724 MPO982724 MZK982724 NJG982724 NTC982724 OCY982724 OMU982724 OWQ982724 PGM982724 PQI982724 QAE982724 QKA982724 QTW982724 RDS982724 RNO982724 RXK982724 SHG982724 SRC982724 TAY982724 TKU982724 TUQ982724 UEM982724 UOI982724 UYE982724 VIA982724 VRW982724 WBS982724 WLO982724 WVK982724"/>
    <dataValidation allowBlank="1" showInputMessage="1" showErrorMessage="1" prompt="De acuerdo a la Clasificación Administrativa, publicada en el DOF del 7 de julio de 2011. A cuatro dígitos. Además incluir la UR, separado por guion (CA - UR)."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220 IZ65220 SV65220 ACR65220 AMN65220 AWJ65220 BGF65220 BQB65220 BZX65220 CJT65220 CTP65220 DDL65220 DNH65220 DXD65220 EGZ65220 EQV65220 FAR65220 FKN65220 FUJ65220 GEF65220 GOB65220 GXX65220 HHT65220 HRP65220 IBL65220 ILH65220 IVD65220 JEZ65220 JOV65220 JYR65220 KIN65220 KSJ65220 LCF65220 LMB65220 LVX65220 MFT65220 MPP65220 MZL65220 NJH65220 NTD65220 OCZ65220 OMV65220 OWR65220 PGN65220 PQJ65220 QAF65220 QKB65220 QTX65220 RDT65220 RNP65220 RXL65220 SHH65220 SRD65220 TAZ65220 TKV65220 TUR65220 UEN65220 UOJ65220 UYF65220 VIB65220 VRX65220 WBT65220 WLP65220 WVL65220 D130756 IZ130756 SV130756 ACR130756 AMN130756 AWJ130756 BGF130756 BQB130756 BZX130756 CJT130756 CTP130756 DDL130756 DNH130756 DXD130756 EGZ130756 EQV130756 FAR130756 FKN130756 FUJ130756 GEF130756 GOB130756 GXX130756 HHT130756 HRP130756 IBL130756 ILH130756 IVD130756 JEZ130756 JOV130756 JYR130756 KIN130756 KSJ130756 LCF130756 LMB130756 LVX130756 MFT130756 MPP130756 MZL130756 NJH130756 NTD130756 OCZ130756 OMV130756 OWR130756 PGN130756 PQJ130756 QAF130756 QKB130756 QTX130756 RDT130756 RNP130756 RXL130756 SHH130756 SRD130756 TAZ130756 TKV130756 TUR130756 UEN130756 UOJ130756 UYF130756 VIB130756 VRX130756 WBT130756 WLP130756 WVL130756 D196292 IZ196292 SV196292 ACR196292 AMN196292 AWJ196292 BGF196292 BQB196292 BZX196292 CJT196292 CTP196292 DDL196292 DNH196292 DXD196292 EGZ196292 EQV196292 FAR196292 FKN196292 FUJ196292 GEF196292 GOB196292 GXX196292 HHT196292 HRP196292 IBL196292 ILH196292 IVD196292 JEZ196292 JOV196292 JYR196292 KIN196292 KSJ196292 LCF196292 LMB196292 LVX196292 MFT196292 MPP196292 MZL196292 NJH196292 NTD196292 OCZ196292 OMV196292 OWR196292 PGN196292 PQJ196292 QAF196292 QKB196292 QTX196292 RDT196292 RNP196292 RXL196292 SHH196292 SRD196292 TAZ196292 TKV196292 TUR196292 UEN196292 UOJ196292 UYF196292 VIB196292 VRX196292 WBT196292 WLP196292 WVL196292 D261828 IZ261828 SV261828 ACR261828 AMN261828 AWJ261828 BGF261828 BQB261828 BZX261828 CJT261828 CTP261828 DDL261828 DNH261828 DXD261828 EGZ261828 EQV261828 FAR261828 FKN261828 FUJ261828 GEF261828 GOB261828 GXX261828 HHT261828 HRP261828 IBL261828 ILH261828 IVD261828 JEZ261828 JOV261828 JYR261828 KIN261828 KSJ261828 LCF261828 LMB261828 LVX261828 MFT261828 MPP261828 MZL261828 NJH261828 NTD261828 OCZ261828 OMV261828 OWR261828 PGN261828 PQJ261828 QAF261828 QKB261828 QTX261828 RDT261828 RNP261828 RXL261828 SHH261828 SRD261828 TAZ261828 TKV261828 TUR261828 UEN261828 UOJ261828 UYF261828 VIB261828 VRX261828 WBT261828 WLP261828 WVL261828 D327364 IZ327364 SV327364 ACR327364 AMN327364 AWJ327364 BGF327364 BQB327364 BZX327364 CJT327364 CTP327364 DDL327364 DNH327364 DXD327364 EGZ327364 EQV327364 FAR327364 FKN327364 FUJ327364 GEF327364 GOB327364 GXX327364 HHT327364 HRP327364 IBL327364 ILH327364 IVD327364 JEZ327364 JOV327364 JYR327364 KIN327364 KSJ327364 LCF327364 LMB327364 LVX327364 MFT327364 MPP327364 MZL327364 NJH327364 NTD327364 OCZ327364 OMV327364 OWR327364 PGN327364 PQJ327364 QAF327364 QKB327364 QTX327364 RDT327364 RNP327364 RXL327364 SHH327364 SRD327364 TAZ327364 TKV327364 TUR327364 UEN327364 UOJ327364 UYF327364 VIB327364 VRX327364 WBT327364 WLP327364 WVL327364 D392900 IZ392900 SV392900 ACR392900 AMN392900 AWJ392900 BGF392900 BQB392900 BZX392900 CJT392900 CTP392900 DDL392900 DNH392900 DXD392900 EGZ392900 EQV392900 FAR392900 FKN392900 FUJ392900 GEF392900 GOB392900 GXX392900 HHT392900 HRP392900 IBL392900 ILH392900 IVD392900 JEZ392900 JOV392900 JYR392900 KIN392900 KSJ392900 LCF392900 LMB392900 LVX392900 MFT392900 MPP392900 MZL392900 NJH392900 NTD392900 OCZ392900 OMV392900 OWR392900 PGN392900 PQJ392900 QAF392900 QKB392900 QTX392900 RDT392900 RNP392900 RXL392900 SHH392900 SRD392900 TAZ392900 TKV392900 TUR392900 UEN392900 UOJ392900 UYF392900 VIB392900 VRX392900 WBT392900 WLP392900 WVL392900 D458436 IZ458436 SV458436 ACR458436 AMN458436 AWJ458436 BGF458436 BQB458436 BZX458436 CJT458436 CTP458436 DDL458436 DNH458436 DXD458436 EGZ458436 EQV458436 FAR458436 FKN458436 FUJ458436 GEF458436 GOB458436 GXX458436 HHT458436 HRP458436 IBL458436 ILH458436 IVD458436 JEZ458436 JOV458436 JYR458436 KIN458436 KSJ458436 LCF458436 LMB458436 LVX458436 MFT458436 MPP458436 MZL458436 NJH458436 NTD458436 OCZ458436 OMV458436 OWR458436 PGN458436 PQJ458436 QAF458436 QKB458436 QTX458436 RDT458436 RNP458436 RXL458436 SHH458436 SRD458436 TAZ458436 TKV458436 TUR458436 UEN458436 UOJ458436 UYF458436 VIB458436 VRX458436 WBT458436 WLP458436 WVL458436 D523972 IZ523972 SV523972 ACR523972 AMN523972 AWJ523972 BGF523972 BQB523972 BZX523972 CJT523972 CTP523972 DDL523972 DNH523972 DXD523972 EGZ523972 EQV523972 FAR523972 FKN523972 FUJ523972 GEF523972 GOB523972 GXX523972 HHT523972 HRP523972 IBL523972 ILH523972 IVD523972 JEZ523972 JOV523972 JYR523972 KIN523972 KSJ523972 LCF523972 LMB523972 LVX523972 MFT523972 MPP523972 MZL523972 NJH523972 NTD523972 OCZ523972 OMV523972 OWR523972 PGN523972 PQJ523972 QAF523972 QKB523972 QTX523972 RDT523972 RNP523972 RXL523972 SHH523972 SRD523972 TAZ523972 TKV523972 TUR523972 UEN523972 UOJ523972 UYF523972 VIB523972 VRX523972 WBT523972 WLP523972 WVL523972 D589508 IZ589508 SV589508 ACR589508 AMN589508 AWJ589508 BGF589508 BQB589508 BZX589508 CJT589508 CTP589508 DDL589508 DNH589508 DXD589508 EGZ589508 EQV589508 FAR589508 FKN589508 FUJ589508 GEF589508 GOB589508 GXX589508 HHT589508 HRP589508 IBL589508 ILH589508 IVD589508 JEZ589508 JOV589508 JYR589508 KIN589508 KSJ589508 LCF589508 LMB589508 LVX589508 MFT589508 MPP589508 MZL589508 NJH589508 NTD589508 OCZ589508 OMV589508 OWR589508 PGN589508 PQJ589508 QAF589508 QKB589508 QTX589508 RDT589508 RNP589508 RXL589508 SHH589508 SRD589508 TAZ589508 TKV589508 TUR589508 UEN589508 UOJ589508 UYF589508 VIB589508 VRX589508 WBT589508 WLP589508 WVL589508 D655044 IZ655044 SV655044 ACR655044 AMN655044 AWJ655044 BGF655044 BQB655044 BZX655044 CJT655044 CTP655044 DDL655044 DNH655044 DXD655044 EGZ655044 EQV655044 FAR655044 FKN655044 FUJ655044 GEF655044 GOB655044 GXX655044 HHT655044 HRP655044 IBL655044 ILH655044 IVD655044 JEZ655044 JOV655044 JYR655044 KIN655044 KSJ655044 LCF655044 LMB655044 LVX655044 MFT655044 MPP655044 MZL655044 NJH655044 NTD655044 OCZ655044 OMV655044 OWR655044 PGN655044 PQJ655044 QAF655044 QKB655044 QTX655044 RDT655044 RNP655044 RXL655044 SHH655044 SRD655044 TAZ655044 TKV655044 TUR655044 UEN655044 UOJ655044 UYF655044 VIB655044 VRX655044 WBT655044 WLP655044 WVL655044 D720580 IZ720580 SV720580 ACR720580 AMN720580 AWJ720580 BGF720580 BQB720580 BZX720580 CJT720580 CTP720580 DDL720580 DNH720580 DXD720580 EGZ720580 EQV720580 FAR720580 FKN720580 FUJ720580 GEF720580 GOB720580 GXX720580 HHT720580 HRP720580 IBL720580 ILH720580 IVD720580 JEZ720580 JOV720580 JYR720580 KIN720580 KSJ720580 LCF720580 LMB720580 LVX720580 MFT720580 MPP720580 MZL720580 NJH720580 NTD720580 OCZ720580 OMV720580 OWR720580 PGN720580 PQJ720580 QAF720580 QKB720580 QTX720580 RDT720580 RNP720580 RXL720580 SHH720580 SRD720580 TAZ720580 TKV720580 TUR720580 UEN720580 UOJ720580 UYF720580 VIB720580 VRX720580 WBT720580 WLP720580 WVL720580 D786116 IZ786116 SV786116 ACR786116 AMN786116 AWJ786116 BGF786116 BQB786116 BZX786116 CJT786116 CTP786116 DDL786116 DNH786116 DXD786116 EGZ786116 EQV786116 FAR786116 FKN786116 FUJ786116 GEF786116 GOB786116 GXX786116 HHT786116 HRP786116 IBL786116 ILH786116 IVD786116 JEZ786116 JOV786116 JYR786116 KIN786116 KSJ786116 LCF786116 LMB786116 LVX786116 MFT786116 MPP786116 MZL786116 NJH786116 NTD786116 OCZ786116 OMV786116 OWR786116 PGN786116 PQJ786116 QAF786116 QKB786116 QTX786116 RDT786116 RNP786116 RXL786116 SHH786116 SRD786116 TAZ786116 TKV786116 TUR786116 UEN786116 UOJ786116 UYF786116 VIB786116 VRX786116 WBT786116 WLP786116 WVL786116 D851652 IZ851652 SV851652 ACR851652 AMN851652 AWJ851652 BGF851652 BQB851652 BZX851652 CJT851652 CTP851652 DDL851652 DNH851652 DXD851652 EGZ851652 EQV851652 FAR851652 FKN851652 FUJ851652 GEF851652 GOB851652 GXX851652 HHT851652 HRP851652 IBL851652 ILH851652 IVD851652 JEZ851652 JOV851652 JYR851652 KIN851652 KSJ851652 LCF851652 LMB851652 LVX851652 MFT851652 MPP851652 MZL851652 NJH851652 NTD851652 OCZ851652 OMV851652 OWR851652 PGN851652 PQJ851652 QAF851652 QKB851652 QTX851652 RDT851652 RNP851652 RXL851652 SHH851652 SRD851652 TAZ851652 TKV851652 TUR851652 UEN851652 UOJ851652 UYF851652 VIB851652 VRX851652 WBT851652 WLP851652 WVL851652 D917188 IZ917188 SV917188 ACR917188 AMN917188 AWJ917188 BGF917188 BQB917188 BZX917188 CJT917188 CTP917188 DDL917188 DNH917188 DXD917188 EGZ917188 EQV917188 FAR917188 FKN917188 FUJ917188 GEF917188 GOB917188 GXX917188 HHT917188 HRP917188 IBL917188 ILH917188 IVD917188 JEZ917188 JOV917188 JYR917188 KIN917188 KSJ917188 LCF917188 LMB917188 LVX917188 MFT917188 MPP917188 MZL917188 NJH917188 NTD917188 OCZ917188 OMV917188 OWR917188 PGN917188 PQJ917188 QAF917188 QKB917188 QTX917188 RDT917188 RNP917188 RXL917188 SHH917188 SRD917188 TAZ917188 TKV917188 TUR917188 UEN917188 UOJ917188 UYF917188 VIB917188 VRX917188 WBT917188 WLP917188 WVL917188 D982724 IZ982724 SV982724 ACR982724 AMN982724 AWJ982724 BGF982724 BQB982724 BZX982724 CJT982724 CTP982724 DDL982724 DNH982724 DXD982724 EGZ982724 EQV982724 FAR982724 FKN982724 FUJ982724 GEF982724 GOB982724 GXX982724 HHT982724 HRP982724 IBL982724 ILH982724 IVD982724 JEZ982724 JOV982724 JYR982724 KIN982724 KSJ982724 LCF982724 LMB982724 LVX982724 MFT982724 MPP982724 MZL982724 NJH982724 NTD982724 OCZ982724 OMV982724 OWR982724 PGN982724 PQJ982724 QAF982724 QKB982724 QTX982724 RDT982724 RNP982724 RXL982724 SHH982724 SRD982724 TAZ982724 TKV982724 TUR982724 UEN982724 UOJ982724 UYF982724 VIB982724 VRX982724 WBT982724 WLP982724 WVL982724"/>
    <dataValidation allowBlank="1" showInputMessage="1" showErrorMessage="1" prompt="Refleja las modificaciones realizadas al Presupuesto Aprobado" sqref="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220 JE65220 TA65220 ACW65220 AMS65220 AWO65220 BGK65220 BQG65220 CAC65220 CJY65220 CTU65220 DDQ65220 DNM65220 DXI65220 EHE65220 ERA65220 FAW65220 FKS65220 FUO65220 GEK65220 GOG65220 GYC65220 HHY65220 HRU65220 IBQ65220 ILM65220 IVI65220 JFE65220 JPA65220 JYW65220 KIS65220 KSO65220 LCK65220 LMG65220 LWC65220 MFY65220 MPU65220 MZQ65220 NJM65220 NTI65220 ODE65220 ONA65220 OWW65220 PGS65220 PQO65220 QAK65220 QKG65220 QUC65220 RDY65220 RNU65220 RXQ65220 SHM65220 SRI65220 TBE65220 TLA65220 TUW65220 UES65220 UOO65220 UYK65220 VIG65220 VSC65220 WBY65220 WLU65220 WVQ65220 I130756 JE130756 TA130756 ACW130756 AMS130756 AWO130756 BGK130756 BQG130756 CAC130756 CJY130756 CTU130756 DDQ130756 DNM130756 DXI130756 EHE130756 ERA130756 FAW130756 FKS130756 FUO130756 GEK130756 GOG130756 GYC130756 HHY130756 HRU130756 IBQ130756 ILM130756 IVI130756 JFE130756 JPA130756 JYW130756 KIS130756 KSO130756 LCK130756 LMG130756 LWC130756 MFY130756 MPU130756 MZQ130756 NJM130756 NTI130756 ODE130756 ONA130756 OWW130756 PGS130756 PQO130756 QAK130756 QKG130756 QUC130756 RDY130756 RNU130756 RXQ130756 SHM130756 SRI130756 TBE130756 TLA130756 TUW130756 UES130756 UOO130756 UYK130756 VIG130756 VSC130756 WBY130756 WLU130756 WVQ130756 I196292 JE196292 TA196292 ACW196292 AMS196292 AWO196292 BGK196292 BQG196292 CAC196292 CJY196292 CTU196292 DDQ196292 DNM196292 DXI196292 EHE196292 ERA196292 FAW196292 FKS196292 FUO196292 GEK196292 GOG196292 GYC196292 HHY196292 HRU196292 IBQ196292 ILM196292 IVI196292 JFE196292 JPA196292 JYW196292 KIS196292 KSO196292 LCK196292 LMG196292 LWC196292 MFY196292 MPU196292 MZQ196292 NJM196292 NTI196292 ODE196292 ONA196292 OWW196292 PGS196292 PQO196292 QAK196292 QKG196292 QUC196292 RDY196292 RNU196292 RXQ196292 SHM196292 SRI196292 TBE196292 TLA196292 TUW196292 UES196292 UOO196292 UYK196292 VIG196292 VSC196292 WBY196292 WLU196292 WVQ196292 I261828 JE261828 TA261828 ACW261828 AMS261828 AWO261828 BGK261828 BQG261828 CAC261828 CJY261828 CTU261828 DDQ261828 DNM261828 DXI261828 EHE261828 ERA261828 FAW261828 FKS261828 FUO261828 GEK261828 GOG261828 GYC261828 HHY261828 HRU261828 IBQ261828 ILM261828 IVI261828 JFE261828 JPA261828 JYW261828 KIS261828 KSO261828 LCK261828 LMG261828 LWC261828 MFY261828 MPU261828 MZQ261828 NJM261828 NTI261828 ODE261828 ONA261828 OWW261828 PGS261828 PQO261828 QAK261828 QKG261828 QUC261828 RDY261828 RNU261828 RXQ261828 SHM261828 SRI261828 TBE261828 TLA261828 TUW261828 UES261828 UOO261828 UYK261828 VIG261828 VSC261828 WBY261828 WLU261828 WVQ261828 I327364 JE327364 TA327364 ACW327364 AMS327364 AWO327364 BGK327364 BQG327364 CAC327364 CJY327364 CTU327364 DDQ327364 DNM327364 DXI327364 EHE327364 ERA327364 FAW327364 FKS327364 FUO327364 GEK327364 GOG327364 GYC327364 HHY327364 HRU327364 IBQ327364 ILM327364 IVI327364 JFE327364 JPA327364 JYW327364 KIS327364 KSO327364 LCK327364 LMG327364 LWC327364 MFY327364 MPU327364 MZQ327364 NJM327364 NTI327364 ODE327364 ONA327364 OWW327364 PGS327364 PQO327364 QAK327364 QKG327364 QUC327364 RDY327364 RNU327364 RXQ327364 SHM327364 SRI327364 TBE327364 TLA327364 TUW327364 UES327364 UOO327364 UYK327364 VIG327364 VSC327364 WBY327364 WLU327364 WVQ327364 I392900 JE392900 TA392900 ACW392900 AMS392900 AWO392900 BGK392900 BQG392900 CAC392900 CJY392900 CTU392900 DDQ392900 DNM392900 DXI392900 EHE392900 ERA392900 FAW392900 FKS392900 FUO392900 GEK392900 GOG392900 GYC392900 HHY392900 HRU392900 IBQ392900 ILM392900 IVI392900 JFE392900 JPA392900 JYW392900 KIS392900 KSO392900 LCK392900 LMG392900 LWC392900 MFY392900 MPU392900 MZQ392900 NJM392900 NTI392900 ODE392900 ONA392900 OWW392900 PGS392900 PQO392900 QAK392900 QKG392900 QUC392900 RDY392900 RNU392900 RXQ392900 SHM392900 SRI392900 TBE392900 TLA392900 TUW392900 UES392900 UOO392900 UYK392900 VIG392900 VSC392900 WBY392900 WLU392900 WVQ392900 I458436 JE458436 TA458436 ACW458436 AMS458436 AWO458436 BGK458436 BQG458436 CAC458436 CJY458436 CTU458436 DDQ458436 DNM458436 DXI458436 EHE458436 ERA458436 FAW458436 FKS458436 FUO458436 GEK458436 GOG458436 GYC458436 HHY458436 HRU458436 IBQ458436 ILM458436 IVI458436 JFE458436 JPA458436 JYW458436 KIS458436 KSO458436 LCK458436 LMG458436 LWC458436 MFY458436 MPU458436 MZQ458436 NJM458436 NTI458436 ODE458436 ONA458436 OWW458436 PGS458436 PQO458436 QAK458436 QKG458436 QUC458436 RDY458436 RNU458436 RXQ458436 SHM458436 SRI458436 TBE458436 TLA458436 TUW458436 UES458436 UOO458436 UYK458436 VIG458436 VSC458436 WBY458436 WLU458436 WVQ458436 I523972 JE523972 TA523972 ACW523972 AMS523972 AWO523972 BGK523972 BQG523972 CAC523972 CJY523972 CTU523972 DDQ523972 DNM523972 DXI523972 EHE523972 ERA523972 FAW523972 FKS523972 FUO523972 GEK523972 GOG523972 GYC523972 HHY523972 HRU523972 IBQ523972 ILM523972 IVI523972 JFE523972 JPA523972 JYW523972 KIS523972 KSO523972 LCK523972 LMG523972 LWC523972 MFY523972 MPU523972 MZQ523972 NJM523972 NTI523972 ODE523972 ONA523972 OWW523972 PGS523972 PQO523972 QAK523972 QKG523972 QUC523972 RDY523972 RNU523972 RXQ523972 SHM523972 SRI523972 TBE523972 TLA523972 TUW523972 UES523972 UOO523972 UYK523972 VIG523972 VSC523972 WBY523972 WLU523972 WVQ523972 I589508 JE589508 TA589508 ACW589508 AMS589508 AWO589508 BGK589508 BQG589508 CAC589508 CJY589508 CTU589508 DDQ589508 DNM589508 DXI589508 EHE589508 ERA589508 FAW589508 FKS589508 FUO589508 GEK589508 GOG589508 GYC589508 HHY589508 HRU589508 IBQ589508 ILM589508 IVI589508 JFE589508 JPA589508 JYW589508 KIS589508 KSO589508 LCK589508 LMG589508 LWC589508 MFY589508 MPU589508 MZQ589508 NJM589508 NTI589508 ODE589508 ONA589508 OWW589508 PGS589508 PQO589508 QAK589508 QKG589508 QUC589508 RDY589508 RNU589508 RXQ589508 SHM589508 SRI589508 TBE589508 TLA589508 TUW589508 UES589508 UOO589508 UYK589508 VIG589508 VSC589508 WBY589508 WLU589508 WVQ589508 I655044 JE655044 TA655044 ACW655044 AMS655044 AWO655044 BGK655044 BQG655044 CAC655044 CJY655044 CTU655044 DDQ655044 DNM655044 DXI655044 EHE655044 ERA655044 FAW655044 FKS655044 FUO655044 GEK655044 GOG655044 GYC655044 HHY655044 HRU655044 IBQ655044 ILM655044 IVI655044 JFE655044 JPA655044 JYW655044 KIS655044 KSO655044 LCK655044 LMG655044 LWC655044 MFY655044 MPU655044 MZQ655044 NJM655044 NTI655044 ODE655044 ONA655044 OWW655044 PGS655044 PQO655044 QAK655044 QKG655044 QUC655044 RDY655044 RNU655044 RXQ655044 SHM655044 SRI655044 TBE655044 TLA655044 TUW655044 UES655044 UOO655044 UYK655044 VIG655044 VSC655044 WBY655044 WLU655044 WVQ655044 I720580 JE720580 TA720580 ACW720580 AMS720580 AWO720580 BGK720580 BQG720580 CAC720580 CJY720580 CTU720580 DDQ720580 DNM720580 DXI720580 EHE720580 ERA720580 FAW720580 FKS720580 FUO720580 GEK720580 GOG720580 GYC720580 HHY720580 HRU720580 IBQ720580 ILM720580 IVI720580 JFE720580 JPA720580 JYW720580 KIS720580 KSO720580 LCK720580 LMG720580 LWC720580 MFY720580 MPU720580 MZQ720580 NJM720580 NTI720580 ODE720580 ONA720580 OWW720580 PGS720580 PQO720580 QAK720580 QKG720580 QUC720580 RDY720580 RNU720580 RXQ720580 SHM720580 SRI720580 TBE720580 TLA720580 TUW720580 UES720580 UOO720580 UYK720580 VIG720580 VSC720580 WBY720580 WLU720580 WVQ720580 I786116 JE786116 TA786116 ACW786116 AMS786116 AWO786116 BGK786116 BQG786116 CAC786116 CJY786116 CTU786116 DDQ786116 DNM786116 DXI786116 EHE786116 ERA786116 FAW786116 FKS786116 FUO786116 GEK786116 GOG786116 GYC786116 HHY786116 HRU786116 IBQ786116 ILM786116 IVI786116 JFE786116 JPA786116 JYW786116 KIS786116 KSO786116 LCK786116 LMG786116 LWC786116 MFY786116 MPU786116 MZQ786116 NJM786116 NTI786116 ODE786116 ONA786116 OWW786116 PGS786116 PQO786116 QAK786116 QKG786116 QUC786116 RDY786116 RNU786116 RXQ786116 SHM786116 SRI786116 TBE786116 TLA786116 TUW786116 UES786116 UOO786116 UYK786116 VIG786116 VSC786116 WBY786116 WLU786116 WVQ786116 I851652 JE851652 TA851652 ACW851652 AMS851652 AWO851652 BGK851652 BQG851652 CAC851652 CJY851652 CTU851652 DDQ851652 DNM851652 DXI851652 EHE851652 ERA851652 FAW851652 FKS851652 FUO851652 GEK851652 GOG851652 GYC851652 HHY851652 HRU851652 IBQ851652 ILM851652 IVI851652 JFE851652 JPA851652 JYW851652 KIS851652 KSO851652 LCK851652 LMG851652 LWC851652 MFY851652 MPU851652 MZQ851652 NJM851652 NTI851652 ODE851652 ONA851652 OWW851652 PGS851652 PQO851652 QAK851652 QKG851652 QUC851652 RDY851652 RNU851652 RXQ851652 SHM851652 SRI851652 TBE851652 TLA851652 TUW851652 UES851652 UOO851652 UYK851652 VIG851652 VSC851652 WBY851652 WLU851652 WVQ851652 I917188 JE917188 TA917188 ACW917188 AMS917188 AWO917188 BGK917188 BQG917188 CAC917188 CJY917188 CTU917188 DDQ917188 DNM917188 DXI917188 EHE917188 ERA917188 FAW917188 FKS917188 FUO917188 GEK917188 GOG917188 GYC917188 HHY917188 HRU917188 IBQ917188 ILM917188 IVI917188 JFE917188 JPA917188 JYW917188 KIS917188 KSO917188 LCK917188 LMG917188 LWC917188 MFY917188 MPU917188 MZQ917188 NJM917188 NTI917188 ODE917188 ONA917188 OWW917188 PGS917188 PQO917188 QAK917188 QKG917188 QUC917188 RDY917188 RNU917188 RXQ917188 SHM917188 SRI917188 TBE917188 TLA917188 TUW917188 UES917188 UOO917188 UYK917188 VIG917188 VSC917188 WBY917188 WLU917188 WVQ917188 I982724 JE982724 TA982724 ACW982724 AMS982724 AWO982724 BGK982724 BQG982724 CAC982724 CJY982724 CTU982724 DDQ982724 DNM982724 DXI982724 EHE982724 ERA982724 FAW982724 FKS982724 FUO982724 GEK982724 GOG982724 GYC982724 HHY982724 HRU982724 IBQ982724 ILM982724 IVI982724 JFE982724 JPA982724 JYW982724 KIS982724 KSO982724 LCK982724 LMG982724 LWC982724 MFY982724 MPU982724 MZQ982724 NJM982724 NTI982724 ODE982724 ONA982724 OWW982724 PGS982724 PQO982724 QAK982724 QKG982724 QUC982724 RDY982724 RNU982724 RXQ982724 SHM982724 SRI982724 TBE982724 TLA982724 TUW982724 UES982724 UOO982724 UYK982724 VIG982724 VSC982724 WBY982724 WLU982724 WVQ982724"/>
    <dataValidation allowBlank="1" showInputMessage="1" showErrorMessage="1" prompt="De acuerdo al Clasificador Funcional del Gasto (finalidad, función y subfunción); publicado en el DOF del 27 de diciembre de 2010. A tres dígitos"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220 IW65220 SS65220 ACO65220 AMK65220 AWG65220 BGC65220 BPY65220 BZU65220 CJQ65220 CTM65220 DDI65220 DNE65220 DXA65220 EGW65220 EQS65220 FAO65220 FKK65220 FUG65220 GEC65220 GNY65220 GXU65220 HHQ65220 HRM65220 IBI65220 ILE65220 IVA65220 JEW65220 JOS65220 JYO65220 KIK65220 KSG65220 LCC65220 LLY65220 LVU65220 MFQ65220 MPM65220 MZI65220 NJE65220 NTA65220 OCW65220 OMS65220 OWO65220 PGK65220 PQG65220 QAC65220 QJY65220 QTU65220 RDQ65220 RNM65220 RXI65220 SHE65220 SRA65220 TAW65220 TKS65220 TUO65220 UEK65220 UOG65220 UYC65220 VHY65220 VRU65220 WBQ65220 WLM65220 WVI65220 A130756 IW130756 SS130756 ACO130756 AMK130756 AWG130756 BGC130756 BPY130756 BZU130756 CJQ130756 CTM130756 DDI130756 DNE130756 DXA130756 EGW130756 EQS130756 FAO130756 FKK130756 FUG130756 GEC130756 GNY130756 GXU130756 HHQ130756 HRM130756 IBI130756 ILE130756 IVA130756 JEW130756 JOS130756 JYO130756 KIK130756 KSG130756 LCC130756 LLY130756 LVU130756 MFQ130756 MPM130756 MZI130756 NJE130756 NTA130756 OCW130756 OMS130756 OWO130756 PGK130756 PQG130756 QAC130756 QJY130756 QTU130756 RDQ130756 RNM130756 RXI130756 SHE130756 SRA130756 TAW130756 TKS130756 TUO130756 UEK130756 UOG130756 UYC130756 VHY130756 VRU130756 WBQ130756 WLM130756 WVI130756 A196292 IW196292 SS196292 ACO196292 AMK196292 AWG196292 BGC196292 BPY196292 BZU196292 CJQ196292 CTM196292 DDI196292 DNE196292 DXA196292 EGW196292 EQS196292 FAO196292 FKK196292 FUG196292 GEC196292 GNY196292 GXU196292 HHQ196292 HRM196292 IBI196292 ILE196292 IVA196292 JEW196292 JOS196292 JYO196292 KIK196292 KSG196292 LCC196292 LLY196292 LVU196292 MFQ196292 MPM196292 MZI196292 NJE196292 NTA196292 OCW196292 OMS196292 OWO196292 PGK196292 PQG196292 QAC196292 QJY196292 QTU196292 RDQ196292 RNM196292 RXI196292 SHE196292 SRA196292 TAW196292 TKS196292 TUO196292 UEK196292 UOG196292 UYC196292 VHY196292 VRU196292 WBQ196292 WLM196292 WVI196292 A261828 IW261828 SS261828 ACO261828 AMK261828 AWG261828 BGC261828 BPY261828 BZU261828 CJQ261828 CTM261828 DDI261828 DNE261828 DXA261828 EGW261828 EQS261828 FAO261828 FKK261828 FUG261828 GEC261828 GNY261828 GXU261828 HHQ261828 HRM261828 IBI261828 ILE261828 IVA261828 JEW261828 JOS261828 JYO261828 KIK261828 KSG261828 LCC261828 LLY261828 LVU261828 MFQ261828 MPM261828 MZI261828 NJE261828 NTA261828 OCW261828 OMS261828 OWO261828 PGK261828 PQG261828 QAC261828 QJY261828 QTU261828 RDQ261828 RNM261828 RXI261828 SHE261828 SRA261828 TAW261828 TKS261828 TUO261828 UEK261828 UOG261828 UYC261828 VHY261828 VRU261828 WBQ261828 WLM261828 WVI261828 A327364 IW327364 SS327364 ACO327364 AMK327364 AWG327364 BGC327364 BPY327364 BZU327364 CJQ327364 CTM327364 DDI327364 DNE327364 DXA327364 EGW327364 EQS327364 FAO327364 FKK327364 FUG327364 GEC327364 GNY327364 GXU327364 HHQ327364 HRM327364 IBI327364 ILE327364 IVA327364 JEW327364 JOS327364 JYO327364 KIK327364 KSG327364 LCC327364 LLY327364 LVU327364 MFQ327364 MPM327364 MZI327364 NJE327364 NTA327364 OCW327364 OMS327364 OWO327364 PGK327364 PQG327364 QAC327364 QJY327364 QTU327364 RDQ327364 RNM327364 RXI327364 SHE327364 SRA327364 TAW327364 TKS327364 TUO327364 UEK327364 UOG327364 UYC327364 VHY327364 VRU327364 WBQ327364 WLM327364 WVI327364 A392900 IW392900 SS392900 ACO392900 AMK392900 AWG392900 BGC392900 BPY392900 BZU392900 CJQ392900 CTM392900 DDI392900 DNE392900 DXA392900 EGW392900 EQS392900 FAO392900 FKK392900 FUG392900 GEC392900 GNY392900 GXU392900 HHQ392900 HRM392900 IBI392900 ILE392900 IVA392900 JEW392900 JOS392900 JYO392900 KIK392900 KSG392900 LCC392900 LLY392900 LVU392900 MFQ392900 MPM392900 MZI392900 NJE392900 NTA392900 OCW392900 OMS392900 OWO392900 PGK392900 PQG392900 QAC392900 QJY392900 QTU392900 RDQ392900 RNM392900 RXI392900 SHE392900 SRA392900 TAW392900 TKS392900 TUO392900 UEK392900 UOG392900 UYC392900 VHY392900 VRU392900 WBQ392900 WLM392900 WVI392900 A458436 IW458436 SS458436 ACO458436 AMK458436 AWG458436 BGC458436 BPY458436 BZU458436 CJQ458436 CTM458436 DDI458436 DNE458436 DXA458436 EGW458436 EQS458436 FAO458436 FKK458436 FUG458436 GEC458436 GNY458436 GXU458436 HHQ458436 HRM458436 IBI458436 ILE458436 IVA458436 JEW458436 JOS458436 JYO458436 KIK458436 KSG458436 LCC458436 LLY458436 LVU458436 MFQ458436 MPM458436 MZI458436 NJE458436 NTA458436 OCW458436 OMS458436 OWO458436 PGK458436 PQG458436 QAC458436 QJY458436 QTU458436 RDQ458436 RNM458436 RXI458436 SHE458436 SRA458436 TAW458436 TKS458436 TUO458436 UEK458436 UOG458436 UYC458436 VHY458436 VRU458436 WBQ458436 WLM458436 WVI458436 A523972 IW523972 SS523972 ACO523972 AMK523972 AWG523972 BGC523972 BPY523972 BZU523972 CJQ523972 CTM523972 DDI523972 DNE523972 DXA523972 EGW523972 EQS523972 FAO523972 FKK523972 FUG523972 GEC523972 GNY523972 GXU523972 HHQ523972 HRM523972 IBI523972 ILE523972 IVA523972 JEW523972 JOS523972 JYO523972 KIK523972 KSG523972 LCC523972 LLY523972 LVU523972 MFQ523972 MPM523972 MZI523972 NJE523972 NTA523972 OCW523972 OMS523972 OWO523972 PGK523972 PQG523972 QAC523972 QJY523972 QTU523972 RDQ523972 RNM523972 RXI523972 SHE523972 SRA523972 TAW523972 TKS523972 TUO523972 UEK523972 UOG523972 UYC523972 VHY523972 VRU523972 WBQ523972 WLM523972 WVI523972 A589508 IW589508 SS589508 ACO589508 AMK589508 AWG589508 BGC589508 BPY589508 BZU589508 CJQ589508 CTM589508 DDI589508 DNE589508 DXA589508 EGW589508 EQS589508 FAO589508 FKK589508 FUG589508 GEC589508 GNY589508 GXU589508 HHQ589508 HRM589508 IBI589508 ILE589508 IVA589508 JEW589508 JOS589508 JYO589508 KIK589508 KSG589508 LCC589508 LLY589508 LVU589508 MFQ589508 MPM589508 MZI589508 NJE589508 NTA589508 OCW589508 OMS589508 OWO589508 PGK589508 PQG589508 QAC589508 QJY589508 QTU589508 RDQ589508 RNM589508 RXI589508 SHE589508 SRA589508 TAW589508 TKS589508 TUO589508 UEK589508 UOG589508 UYC589508 VHY589508 VRU589508 WBQ589508 WLM589508 WVI589508 A655044 IW655044 SS655044 ACO655044 AMK655044 AWG655044 BGC655044 BPY655044 BZU655044 CJQ655044 CTM655044 DDI655044 DNE655044 DXA655044 EGW655044 EQS655044 FAO655044 FKK655044 FUG655044 GEC655044 GNY655044 GXU655044 HHQ655044 HRM655044 IBI655044 ILE655044 IVA655044 JEW655044 JOS655044 JYO655044 KIK655044 KSG655044 LCC655044 LLY655044 LVU655044 MFQ655044 MPM655044 MZI655044 NJE655044 NTA655044 OCW655044 OMS655044 OWO655044 PGK655044 PQG655044 QAC655044 QJY655044 QTU655044 RDQ655044 RNM655044 RXI655044 SHE655044 SRA655044 TAW655044 TKS655044 TUO655044 UEK655044 UOG655044 UYC655044 VHY655044 VRU655044 WBQ655044 WLM655044 WVI655044 A720580 IW720580 SS720580 ACO720580 AMK720580 AWG720580 BGC720580 BPY720580 BZU720580 CJQ720580 CTM720580 DDI720580 DNE720580 DXA720580 EGW720580 EQS720580 FAO720580 FKK720580 FUG720580 GEC720580 GNY720580 GXU720580 HHQ720580 HRM720580 IBI720580 ILE720580 IVA720580 JEW720580 JOS720580 JYO720580 KIK720580 KSG720580 LCC720580 LLY720580 LVU720580 MFQ720580 MPM720580 MZI720580 NJE720580 NTA720580 OCW720580 OMS720580 OWO720580 PGK720580 PQG720580 QAC720580 QJY720580 QTU720580 RDQ720580 RNM720580 RXI720580 SHE720580 SRA720580 TAW720580 TKS720580 TUO720580 UEK720580 UOG720580 UYC720580 VHY720580 VRU720580 WBQ720580 WLM720580 WVI720580 A786116 IW786116 SS786116 ACO786116 AMK786116 AWG786116 BGC786116 BPY786116 BZU786116 CJQ786116 CTM786116 DDI786116 DNE786116 DXA786116 EGW786116 EQS786116 FAO786116 FKK786116 FUG786116 GEC786116 GNY786116 GXU786116 HHQ786116 HRM786116 IBI786116 ILE786116 IVA786116 JEW786116 JOS786116 JYO786116 KIK786116 KSG786116 LCC786116 LLY786116 LVU786116 MFQ786116 MPM786116 MZI786116 NJE786116 NTA786116 OCW786116 OMS786116 OWO786116 PGK786116 PQG786116 QAC786116 QJY786116 QTU786116 RDQ786116 RNM786116 RXI786116 SHE786116 SRA786116 TAW786116 TKS786116 TUO786116 UEK786116 UOG786116 UYC786116 VHY786116 VRU786116 WBQ786116 WLM786116 WVI786116 A851652 IW851652 SS851652 ACO851652 AMK851652 AWG851652 BGC851652 BPY851652 BZU851652 CJQ851652 CTM851652 DDI851652 DNE851652 DXA851652 EGW851652 EQS851652 FAO851652 FKK851652 FUG851652 GEC851652 GNY851652 GXU851652 HHQ851652 HRM851652 IBI851652 ILE851652 IVA851652 JEW851652 JOS851652 JYO851652 KIK851652 KSG851652 LCC851652 LLY851652 LVU851652 MFQ851652 MPM851652 MZI851652 NJE851652 NTA851652 OCW851652 OMS851652 OWO851652 PGK851652 PQG851652 QAC851652 QJY851652 QTU851652 RDQ851652 RNM851652 RXI851652 SHE851652 SRA851652 TAW851652 TKS851652 TUO851652 UEK851652 UOG851652 UYC851652 VHY851652 VRU851652 WBQ851652 WLM851652 WVI851652 A917188 IW917188 SS917188 ACO917188 AMK917188 AWG917188 BGC917188 BPY917188 BZU917188 CJQ917188 CTM917188 DDI917188 DNE917188 DXA917188 EGW917188 EQS917188 FAO917188 FKK917188 FUG917188 GEC917188 GNY917188 GXU917188 HHQ917188 HRM917188 IBI917188 ILE917188 IVA917188 JEW917188 JOS917188 JYO917188 KIK917188 KSG917188 LCC917188 LLY917188 LVU917188 MFQ917188 MPM917188 MZI917188 NJE917188 NTA917188 OCW917188 OMS917188 OWO917188 PGK917188 PQG917188 QAC917188 QJY917188 QTU917188 RDQ917188 RNM917188 RXI917188 SHE917188 SRA917188 TAW917188 TKS917188 TUO917188 UEK917188 UOG917188 UYC917188 VHY917188 VRU917188 WBQ917188 WLM917188 WVI917188 A982724 IW982724 SS982724 ACO982724 AMK982724 AWG982724 BGC982724 BPY982724 BZU982724 CJQ982724 CTM982724 DDI982724 DNE982724 DXA982724 EGW982724 EQS982724 FAO982724 FKK982724 FUG982724 GEC982724 GNY982724 GXU982724 HHQ982724 HRM982724 IBI982724 ILE982724 IVA982724 JEW982724 JOS982724 JYO982724 KIK982724 KSG982724 LCC982724 LLY982724 LVU982724 MFQ982724 MPM982724 MZI982724 NJE982724 NTA982724 OCW982724 OMS982724 OWO982724 PGK982724 PQG982724 QAC982724 QJY982724 QTU982724 RDQ982724 RNM982724 RXI982724 SHE982724 SRA982724 TAW982724 TKS982724 TUO982724 UEK982724 UOG982724 UYC982724 VHY982724 VRU982724 WBQ982724 WLM982724 WVI982724"/>
  </dataValidations>
  <pageMargins left="0.7" right="0.7" top="0.75" bottom="0.75" header="0.3" footer="0.3"/>
  <pageSetup orientation="portrait" r:id="rId1"/>
  <ignoredErrors>
    <ignoredError sqref="A4:O4"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6"/>
  <sheetViews>
    <sheetView showGridLines="0" topLeftCell="C1" workbookViewId="0">
      <selection activeCell="C3" sqref="C3:H75"/>
    </sheetView>
  </sheetViews>
  <sheetFormatPr baseColWidth="10" defaultColWidth="9.28515625" defaultRowHeight="11.25"/>
  <cols>
    <col min="1" max="1" width="7.140625" style="226" customWidth="1"/>
    <col min="2" max="2" width="47.5703125" style="226" bestFit="1" customWidth="1"/>
    <col min="3" max="8" width="14.28515625" style="226" customWidth="1"/>
    <col min="9" max="256" width="9.28515625" style="226"/>
    <col min="257" max="257" width="7.140625" style="226" customWidth="1"/>
    <col min="258" max="258" width="47.5703125" style="226" bestFit="1" customWidth="1"/>
    <col min="259" max="264" width="14.28515625" style="226" customWidth="1"/>
    <col min="265" max="512" width="9.28515625" style="226"/>
    <col min="513" max="513" width="7.140625" style="226" customWidth="1"/>
    <col min="514" max="514" width="47.5703125" style="226" bestFit="1" customWidth="1"/>
    <col min="515" max="520" width="14.28515625" style="226" customWidth="1"/>
    <col min="521" max="768" width="9.28515625" style="226"/>
    <col min="769" max="769" width="7.140625" style="226" customWidth="1"/>
    <col min="770" max="770" width="47.5703125" style="226" bestFit="1" customWidth="1"/>
    <col min="771" max="776" width="14.28515625" style="226" customWidth="1"/>
    <col min="777" max="1024" width="9.28515625" style="226"/>
    <col min="1025" max="1025" width="7.140625" style="226" customWidth="1"/>
    <col min="1026" max="1026" width="47.5703125" style="226" bestFit="1" customWidth="1"/>
    <col min="1027" max="1032" width="14.28515625" style="226" customWidth="1"/>
    <col min="1033" max="1280" width="9.28515625" style="226"/>
    <col min="1281" max="1281" width="7.140625" style="226" customWidth="1"/>
    <col min="1282" max="1282" width="47.5703125" style="226" bestFit="1" customWidth="1"/>
    <col min="1283" max="1288" width="14.28515625" style="226" customWidth="1"/>
    <col min="1289" max="1536" width="9.28515625" style="226"/>
    <col min="1537" max="1537" width="7.140625" style="226" customWidth="1"/>
    <col min="1538" max="1538" width="47.5703125" style="226" bestFit="1" customWidth="1"/>
    <col min="1539" max="1544" width="14.28515625" style="226" customWidth="1"/>
    <col min="1545" max="1792" width="9.28515625" style="226"/>
    <col min="1793" max="1793" width="7.140625" style="226" customWidth="1"/>
    <col min="1794" max="1794" width="47.5703125" style="226" bestFit="1" customWidth="1"/>
    <col min="1795" max="1800" width="14.28515625" style="226" customWidth="1"/>
    <col min="1801" max="2048" width="9.28515625" style="226"/>
    <col min="2049" max="2049" width="7.140625" style="226" customWidth="1"/>
    <col min="2050" max="2050" width="47.5703125" style="226" bestFit="1" customWidth="1"/>
    <col min="2051" max="2056" width="14.28515625" style="226" customWidth="1"/>
    <col min="2057" max="2304" width="9.28515625" style="226"/>
    <col min="2305" max="2305" width="7.140625" style="226" customWidth="1"/>
    <col min="2306" max="2306" width="47.5703125" style="226" bestFit="1" customWidth="1"/>
    <col min="2307" max="2312" width="14.28515625" style="226" customWidth="1"/>
    <col min="2313" max="2560" width="9.28515625" style="226"/>
    <col min="2561" max="2561" width="7.140625" style="226" customWidth="1"/>
    <col min="2562" max="2562" width="47.5703125" style="226" bestFit="1" customWidth="1"/>
    <col min="2563" max="2568" width="14.28515625" style="226" customWidth="1"/>
    <col min="2569" max="2816" width="9.28515625" style="226"/>
    <col min="2817" max="2817" width="7.140625" style="226" customWidth="1"/>
    <col min="2818" max="2818" width="47.5703125" style="226" bestFit="1" customWidth="1"/>
    <col min="2819" max="2824" width="14.28515625" style="226" customWidth="1"/>
    <col min="2825" max="3072" width="9.28515625" style="226"/>
    <col min="3073" max="3073" width="7.140625" style="226" customWidth="1"/>
    <col min="3074" max="3074" width="47.5703125" style="226" bestFit="1" customWidth="1"/>
    <col min="3075" max="3080" width="14.28515625" style="226" customWidth="1"/>
    <col min="3081" max="3328" width="9.28515625" style="226"/>
    <col min="3329" max="3329" width="7.140625" style="226" customWidth="1"/>
    <col min="3330" max="3330" width="47.5703125" style="226" bestFit="1" customWidth="1"/>
    <col min="3331" max="3336" width="14.28515625" style="226" customWidth="1"/>
    <col min="3337" max="3584" width="9.28515625" style="226"/>
    <col min="3585" max="3585" width="7.140625" style="226" customWidth="1"/>
    <col min="3586" max="3586" width="47.5703125" style="226" bestFit="1" customWidth="1"/>
    <col min="3587" max="3592" width="14.28515625" style="226" customWidth="1"/>
    <col min="3593" max="3840" width="9.28515625" style="226"/>
    <col min="3841" max="3841" width="7.140625" style="226" customWidth="1"/>
    <col min="3842" max="3842" width="47.5703125" style="226" bestFit="1" customWidth="1"/>
    <col min="3843" max="3848" width="14.28515625" style="226" customWidth="1"/>
    <col min="3849" max="4096" width="9.28515625" style="226"/>
    <col min="4097" max="4097" width="7.140625" style="226" customWidth="1"/>
    <col min="4098" max="4098" width="47.5703125" style="226" bestFit="1" customWidth="1"/>
    <col min="4099" max="4104" width="14.28515625" style="226" customWidth="1"/>
    <col min="4105" max="4352" width="9.28515625" style="226"/>
    <col min="4353" max="4353" width="7.140625" style="226" customWidth="1"/>
    <col min="4354" max="4354" width="47.5703125" style="226" bestFit="1" customWidth="1"/>
    <col min="4355" max="4360" width="14.28515625" style="226" customWidth="1"/>
    <col min="4361" max="4608" width="9.28515625" style="226"/>
    <col min="4609" max="4609" width="7.140625" style="226" customWidth="1"/>
    <col min="4610" max="4610" width="47.5703125" style="226" bestFit="1" customWidth="1"/>
    <col min="4611" max="4616" width="14.28515625" style="226" customWidth="1"/>
    <col min="4617" max="4864" width="9.28515625" style="226"/>
    <col min="4865" max="4865" width="7.140625" style="226" customWidth="1"/>
    <col min="4866" max="4866" width="47.5703125" style="226" bestFit="1" customWidth="1"/>
    <col min="4867" max="4872" width="14.28515625" style="226" customWidth="1"/>
    <col min="4873" max="5120" width="9.28515625" style="226"/>
    <col min="5121" max="5121" width="7.140625" style="226" customWidth="1"/>
    <col min="5122" max="5122" width="47.5703125" style="226" bestFit="1" customWidth="1"/>
    <col min="5123" max="5128" width="14.28515625" style="226" customWidth="1"/>
    <col min="5129" max="5376" width="9.28515625" style="226"/>
    <col min="5377" max="5377" width="7.140625" style="226" customWidth="1"/>
    <col min="5378" max="5378" width="47.5703125" style="226" bestFit="1" customWidth="1"/>
    <col min="5379" max="5384" width="14.28515625" style="226" customWidth="1"/>
    <col min="5385" max="5632" width="9.28515625" style="226"/>
    <col min="5633" max="5633" width="7.140625" style="226" customWidth="1"/>
    <col min="5634" max="5634" width="47.5703125" style="226" bestFit="1" customWidth="1"/>
    <col min="5635" max="5640" width="14.28515625" style="226" customWidth="1"/>
    <col min="5641" max="5888" width="9.28515625" style="226"/>
    <col min="5889" max="5889" width="7.140625" style="226" customWidth="1"/>
    <col min="5890" max="5890" width="47.5703125" style="226" bestFit="1" customWidth="1"/>
    <col min="5891" max="5896" width="14.28515625" style="226" customWidth="1"/>
    <col min="5897" max="6144" width="9.28515625" style="226"/>
    <col min="6145" max="6145" width="7.140625" style="226" customWidth="1"/>
    <col min="6146" max="6146" width="47.5703125" style="226" bestFit="1" customWidth="1"/>
    <col min="6147" max="6152" width="14.28515625" style="226" customWidth="1"/>
    <col min="6153" max="6400" width="9.28515625" style="226"/>
    <col min="6401" max="6401" width="7.140625" style="226" customWidth="1"/>
    <col min="6402" max="6402" width="47.5703125" style="226" bestFit="1" customWidth="1"/>
    <col min="6403" max="6408" width="14.28515625" style="226" customWidth="1"/>
    <col min="6409" max="6656" width="9.28515625" style="226"/>
    <col min="6657" max="6657" width="7.140625" style="226" customWidth="1"/>
    <col min="6658" max="6658" width="47.5703125" style="226" bestFit="1" customWidth="1"/>
    <col min="6659" max="6664" width="14.28515625" style="226" customWidth="1"/>
    <col min="6665" max="6912" width="9.28515625" style="226"/>
    <col min="6913" max="6913" width="7.140625" style="226" customWidth="1"/>
    <col min="6914" max="6914" width="47.5703125" style="226" bestFit="1" customWidth="1"/>
    <col min="6915" max="6920" width="14.28515625" style="226" customWidth="1"/>
    <col min="6921" max="7168" width="9.28515625" style="226"/>
    <col min="7169" max="7169" width="7.140625" style="226" customWidth="1"/>
    <col min="7170" max="7170" width="47.5703125" style="226" bestFit="1" customWidth="1"/>
    <col min="7171" max="7176" width="14.28515625" style="226" customWidth="1"/>
    <col min="7177" max="7424" width="9.28515625" style="226"/>
    <col min="7425" max="7425" width="7.140625" style="226" customWidth="1"/>
    <col min="7426" max="7426" width="47.5703125" style="226" bestFit="1" customWidth="1"/>
    <col min="7427" max="7432" width="14.28515625" style="226" customWidth="1"/>
    <col min="7433" max="7680" width="9.28515625" style="226"/>
    <col min="7681" max="7681" width="7.140625" style="226" customWidth="1"/>
    <col min="7682" max="7682" width="47.5703125" style="226" bestFit="1" customWidth="1"/>
    <col min="7683" max="7688" width="14.28515625" style="226" customWidth="1"/>
    <col min="7689" max="7936" width="9.28515625" style="226"/>
    <col min="7937" max="7937" width="7.140625" style="226" customWidth="1"/>
    <col min="7938" max="7938" width="47.5703125" style="226" bestFit="1" customWidth="1"/>
    <col min="7939" max="7944" width="14.28515625" style="226" customWidth="1"/>
    <col min="7945" max="8192" width="9.28515625" style="226"/>
    <col min="8193" max="8193" width="7.140625" style="226" customWidth="1"/>
    <col min="8194" max="8194" width="47.5703125" style="226" bestFit="1" customWidth="1"/>
    <col min="8195" max="8200" width="14.28515625" style="226" customWidth="1"/>
    <col min="8201" max="8448" width="9.28515625" style="226"/>
    <col min="8449" max="8449" width="7.140625" style="226" customWidth="1"/>
    <col min="8450" max="8450" width="47.5703125" style="226" bestFit="1" customWidth="1"/>
    <col min="8451" max="8456" width="14.28515625" style="226" customWidth="1"/>
    <col min="8457" max="8704" width="9.28515625" style="226"/>
    <col min="8705" max="8705" width="7.140625" style="226" customWidth="1"/>
    <col min="8706" max="8706" width="47.5703125" style="226" bestFit="1" customWidth="1"/>
    <col min="8707" max="8712" width="14.28515625" style="226" customWidth="1"/>
    <col min="8713" max="8960" width="9.28515625" style="226"/>
    <col min="8961" max="8961" width="7.140625" style="226" customWidth="1"/>
    <col min="8962" max="8962" width="47.5703125" style="226" bestFit="1" customWidth="1"/>
    <col min="8963" max="8968" width="14.28515625" style="226" customWidth="1"/>
    <col min="8969" max="9216" width="9.28515625" style="226"/>
    <col min="9217" max="9217" width="7.140625" style="226" customWidth="1"/>
    <col min="9218" max="9218" width="47.5703125" style="226" bestFit="1" customWidth="1"/>
    <col min="9219" max="9224" width="14.28515625" style="226" customWidth="1"/>
    <col min="9225" max="9472" width="9.28515625" style="226"/>
    <col min="9473" max="9473" width="7.140625" style="226" customWidth="1"/>
    <col min="9474" max="9474" width="47.5703125" style="226" bestFit="1" customWidth="1"/>
    <col min="9475" max="9480" width="14.28515625" style="226" customWidth="1"/>
    <col min="9481" max="9728" width="9.28515625" style="226"/>
    <col min="9729" max="9729" width="7.140625" style="226" customWidth="1"/>
    <col min="9730" max="9730" width="47.5703125" style="226" bestFit="1" customWidth="1"/>
    <col min="9731" max="9736" width="14.28515625" style="226" customWidth="1"/>
    <col min="9737" max="9984" width="9.28515625" style="226"/>
    <col min="9985" max="9985" width="7.140625" style="226" customWidth="1"/>
    <col min="9986" max="9986" width="47.5703125" style="226" bestFit="1" customWidth="1"/>
    <col min="9987" max="9992" width="14.28515625" style="226" customWidth="1"/>
    <col min="9993" max="10240" width="9.28515625" style="226"/>
    <col min="10241" max="10241" width="7.140625" style="226" customWidth="1"/>
    <col min="10242" max="10242" width="47.5703125" style="226" bestFit="1" customWidth="1"/>
    <col min="10243" max="10248" width="14.28515625" style="226" customWidth="1"/>
    <col min="10249" max="10496" width="9.28515625" style="226"/>
    <col min="10497" max="10497" width="7.140625" style="226" customWidth="1"/>
    <col min="10498" max="10498" width="47.5703125" style="226" bestFit="1" customWidth="1"/>
    <col min="10499" max="10504" width="14.28515625" style="226" customWidth="1"/>
    <col min="10505" max="10752" width="9.28515625" style="226"/>
    <col min="10753" max="10753" width="7.140625" style="226" customWidth="1"/>
    <col min="10754" max="10754" width="47.5703125" style="226" bestFit="1" customWidth="1"/>
    <col min="10755" max="10760" width="14.28515625" style="226" customWidth="1"/>
    <col min="10761" max="11008" width="9.28515625" style="226"/>
    <col min="11009" max="11009" width="7.140625" style="226" customWidth="1"/>
    <col min="11010" max="11010" width="47.5703125" style="226" bestFit="1" customWidth="1"/>
    <col min="11011" max="11016" width="14.28515625" style="226" customWidth="1"/>
    <col min="11017" max="11264" width="9.28515625" style="226"/>
    <col min="11265" max="11265" width="7.140625" style="226" customWidth="1"/>
    <col min="11266" max="11266" width="47.5703125" style="226" bestFit="1" customWidth="1"/>
    <col min="11267" max="11272" width="14.28515625" style="226" customWidth="1"/>
    <col min="11273" max="11520" width="9.28515625" style="226"/>
    <col min="11521" max="11521" width="7.140625" style="226" customWidth="1"/>
    <col min="11522" max="11522" width="47.5703125" style="226" bestFit="1" customWidth="1"/>
    <col min="11523" max="11528" width="14.28515625" style="226" customWidth="1"/>
    <col min="11529" max="11776" width="9.28515625" style="226"/>
    <col min="11777" max="11777" width="7.140625" style="226" customWidth="1"/>
    <col min="11778" max="11778" width="47.5703125" style="226" bestFit="1" customWidth="1"/>
    <col min="11779" max="11784" width="14.28515625" style="226" customWidth="1"/>
    <col min="11785" max="12032" width="9.28515625" style="226"/>
    <col min="12033" max="12033" width="7.140625" style="226" customWidth="1"/>
    <col min="12034" max="12034" width="47.5703125" style="226" bestFit="1" customWidth="1"/>
    <col min="12035" max="12040" width="14.28515625" style="226" customWidth="1"/>
    <col min="12041" max="12288" width="9.28515625" style="226"/>
    <col min="12289" max="12289" width="7.140625" style="226" customWidth="1"/>
    <col min="12290" max="12290" width="47.5703125" style="226" bestFit="1" customWidth="1"/>
    <col min="12291" max="12296" width="14.28515625" style="226" customWidth="1"/>
    <col min="12297" max="12544" width="9.28515625" style="226"/>
    <col min="12545" max="12545" width="7.140625" style="226" customWidth="1"/>
    <col min="12546" max="12546" width="47.5703125" style="226" bestFit="1" customWidth="1"/>
    <col min="12547" max="12552" width="14.28515625" style="226" customWidth="1"/>
    <col min="12553" max="12800" width="9.28515625" style="226"/>
    <col min="12801" max="12801" width="7.140625" style="226" customWidth="1"/>
    <col min="12802" max="12802" width="47.5703125" style="226" bestFit="1" customWidth="1"/>
    <col min="12803" max="12808" width="14.28515625" style="226" customWidth="1"/>
    <col min="12809" max="13056" width="9.28515625" style="226"/>
    <col min="13057" max="13057" width="7.140625" style="226" customWidth="1"/>
    <col min="13058" max="13058" width="47.5703125" style="226" bestFit="1" customWidth="1"/>
    <col min="13059" max="13064" width="14.28515625" style="226" customWidth="1"/>
    <col min="13065" max="13312" width="9.28515625" style="226"/>
    <col min="13313" max="13313" width="7.140625" style="226" customWidth="1"/>
    <col min="13314" max="13314" width="47.5703125" style="226" bestFit="1" customWidth="1"/>
    <col min="13315" max="13320" width="14.28515625" style="226" customWidth="1"/>
    <col min="13321" max="13568" width="9.28515625" style="226"/>
    <col min="13569" max="13569" width="7.140625" style="226" customWidth="1"/>
    <col min="13570" max="13570" width="47.5703125" style="226" bestFit="1" customWidth="1"/>
    <col min="13571" max="13576" width="14.28515625" style="226" customWidth="1"/>
    <col min="13577" max="13824" width="9.28515625" style="226"/>
    <col min="13825" max="13825" width="7.140625" style="226" customWidth="1"/>
    <col min="13826" max="13826" width="47.5703125" style="226" bestFit="1" customWidth="1"/>
    <col min="13827" max="13832" width="14.28515625" style="226" customWidth="1"/>
    <col min="13833" max="14080" width="9.28515625" style="226"/>
    <col min="14081" max="14081" width="7.140625" style="226" customWidth="1"/>
    <col min="14082" max="14082" width="47.5703125" style="226" bestFit="1" customWidth="1"/>
    <col min="14083" max="14088" width="14.28515625" style="226" customWidth="1"/>
    <col min="14089" max="14336" width="9.28515625" style="226"/>
    <col min="14337" max="14337" width="7.140625" style="226" customWidth="1"/>
    <col min="14338" max="14338" width="47.5703125" style="226" bestFit="1" customWidth="1"/>
    <col min="14339" max="14344" width="14.28515625" style="226" customWidth="1"/>
    <col min="14345" max="14592" width="9.28515625" style="226"/>
    <col min="14593" max="14593" width="7.140625" style="226" customWidth="1"/>
    <col min="14594" max="14594" width="47.5703125" style="226" bestFit="1" customWidth="1"/>
    <col min="14595" max="14600" width="14.28515625" style="226" customWidth="1"/>
    <col min="14601" max="14848" width="9.28515625" style="226"/>
    <col min="14849" max="14849" width="7.140625" style="226" customWidth="1"/>
    <col min="14850" max="14850" width="47.5703125" style="226" bestFit="1" customWidth="1"/>
    <col min="14851" max="14856" width="14.28515625" style="226" customWidth="1"/>
    <col min="14857" max="15104" width="9.28515625" style="226"/>
    <col min="15105" max="15105" width="7.140625" style="226" customWidth="1"/>
    <col min="15106" max="15106" width="47.5703125" style="226" bestFit="1" customWidth="1"/>
    <col min="15107" max="15112" width="14.28515625" style="226" customWidth="1"/>
    <col min="15113" max="15360" width="9.28515625" style="226"/>
    <col min="15361" max="15361" width="7.140625" style="226" customWidth="1"/>
    <col min="15362" max="15362" width="47.5703125" style="226" bestFit="1" customWidth="1"/>
    <col min="15363" max="15368" width="14.28515625" style="226" customWidth="1"/>
    <col min="15369" max="15616" width="9.28515625" style="226"/>
    <col min="15617" max="15617" width="7.140625" style="226" customWidth="1"/>
    <col min="15618" max="15618" width="47.5703125" style="226" bestFit="1" customWidth="1"/>
    <col min="15619" max="15624" width="14.28515625" style="226" customWidth="1"/>
    <col min="15625" max="15872" width="9.28515625" style="226"/>
    <col min="15873" max="15873" width="7.140625" style="226" customWidth="1"/>
    <col min="15874" max="15874" width="47.5703125" style="226" bestFit="1" customWidth="1"/>
    <col min="15875" max="15880" width="14.28515625" style="226" customWidth="1"/>
    <col min="15881" max="16128" width="9.28515625" style="226"/>
    <col min="16129" max="16129" width="7.140625" style="226" customWidth="1"/>
    <col min="16130" max="16130" width="47.5703125" style="226" bestFit="1" customWidth="1"/>
    <col min="16131" max="16136" width="14.28515625" style="226" customWidth="1"/>
    <col min="16137" max="16384" width="9.28515625" style="226"/>
  </cols>
  <sheetData>
    <row r="1" spans="1:8" ht="35.1" customHeight="1">
      <c r="A1" s="998" t="str">
        <f>+Títulos!$B$2&amp;"
ESTADO ANALÍTICO DEL EJERCICIO DEL PRESUPUESTO DE EGRESOS POR OBJETO DEL GASTO (CAPÍTULO Y CONCEPTO)
DEL 01 DE ENERO AL "&amp;Títulos!$B$3</f>
        <v>TRIBUNAL DE JUSTICIA ADMINISTRATIVA
ESTADO ANALÍTICO DEL EJERCICIO DEL PRESUPUESTO DE EGRESOS POR OBJETO DEL GASTO (CAPÍTULO Y CONCEPTO)
DEL 01 DE ENERO AL 31 DE DICIEMBRE DE 2017</v>
      </c>
      <c r="B1" s="999"/>
      <c r="C1" s="999"/>
      <c r="D1" s="999"/>
      <c r="E1" s="999"/>
      <c r="F1" s="999"/>
      <c r="G1" s="999"/>
      <c r="H1" s="1000"/>
    </row>
    <row r="2" spans="1:8" ht="24.95" customHeight="1">
      <c r="A2" s="5" t="s">
        <v>252</v>
      </c>
      <c r="B2" s="5" t="s">
        <v>71</v>
      </c>
      <c r="C2" s="7" t="s">
        <v>253</v>
      </c>
      <c r="D2" s="7" t="s">
        <v>254</v>
      </c>
      <c r="E2" s="7" t="s">
        <v>230</v>
      </c>
      <c r="F2" s="7" t="s">
        <v>231</v>
      </c>
      <c r="G2" s="7" t="s">
        <v>255</v>
      </c>
      <c r="H2" s="7" t="s">
        <v>256</v>
      </c>
    </row>
    <row r="3" spans="1:8">
      <c r="A3" s="227">
        <v>900001</v>
      </c>
      <c r="B3" s="228" t="s">
        <v>257</v>
      </c>
      <c r="C3" s="340">
        <f t="shared" ref="C3:H3" si="0">+C4+C12+C22+C32+C42+C52+C56+C64+C68</f>
        <v>80405840.510000005</v>
      </c>
      <c r="D3" s="340">
        <f t="shared" si="0"/>
        <v>8457903.8099999987</v>
      </c>
      <c r="E3" s="340">
        <f t="shared" si="0"/>
        <v>88863744.319999993</v>
      </c>
      <c r="F3" s="340">
        <f t="shared" si="0"/>
        <v>86193205.109999985</v>
      </c>
      <c r="G3" s="340">
        <f t="shared" si="0"/>
        <v>84872096.260000005</v>
      </c>
      <c r="H3" s="340">
        <f t="shared" si="0"/>
        <v>2670539.2100000004</v>
      </c>
    </row>
    <row r="4" spans="1:8">
      <c r="A4" s="229">
        <v>1000</v>
      </c>
      <c r="B4" s="230" t="s">
        <v>258</v>
      </c>
      <c r="C4" s="337">
        <f t="shared" ref="C4:H4" si="1">SUM(C5:C11)</f>
        <v>59875476.899999999</v>
      </c>
      <c r="D4" s="337">
        <f t="shared" si="1"/>
        <v>6048652.1899999995</v>
      </c>
      <c r="E4" s="337">
        <f t="shared" si="1"/>
        <v>65924129.090000004</v>
      </c>
      <c r="F4" s="337">
        <f t="shared" si="1"/>
        <v>65924124.189999998</v>
      </c>
      <c r="G4" s="337">
        <f t="shared" si="1"/>
        <v>64738024.340000004</v>
      </c>
      <c r="H4" s="337">
        <f t="shared" si="1"/>
        <v>4.900000000372529</v>
      </c>
    </row>
    <row r="5" spans="1:8">
      <c r="A5" s="229">
        <v>1100</v>
      </c>
      <c r="B5" s="230" t="s">
        <v>185</v>
      </c>
      <c r="C5" s="338">
        <f t="shared" ref="C5:C11" si="2">SUMIF(PE_COG,MID(A5,1,2)&amp;"*",PE_A)</f>
        <v>14113315.210000001</v>
      </c>
      <c r="D5" s="338">
        <f t="shared" ref="D5:D11" si="3">SUMIF(PE_COG,MID(A5,1,2)&amp;"*",PE_M)</f>
        <v>1307352.6900000002</v>
      </c>
      <c r="E5" s="338">
        <f t="shared" ref="E5:E67" si="4">+C5+D5</f>
        <v>15420667.9</v>
      </c>
      <c r="F5" s="338">
        <f t="shared" ref="F5:F11" si="5">SUMIF(PE_COG,MID(A5,1,2)&amp;"*",PE_D)</f>
        <v>15420663</v>
      </c>
      <c r="G5" s="338">
        <f t="shared" ref="G5:G11" si="6">SUMIF(PE_COG,MID(A5,1,2)&amp;"*",PE_P)</f>
        <v>15420663</v>
      </c>
      <c r="H5" s="338">
        <f t="shared" ref="H5:H67" si="7">+E5-F5</f>
        <v>4.900000000372529</v>
      </c>
    </row>
    <row r="6" spans="1:8">
      <c r="A6" s="229">
        <v>1200</v>
      </c>
      <c r="B6" s="230" t="s">
        <v>186</v>
      </c>
      <c r="C6" s="338">
        <f t="shared" si="2"/>
        <v>2515531.8199999998</v>
      </c>
      <c r="D6" s="338">
        <f t="shared" si="3"/>
        <v>4005.6199999999953</v>
      </c>
      <c r="E6" s="338">
        <f t="shared" si="4"/>
        <v>2519537.44</v>
      </c>
      <c r="F6" s="338">
        <f t="shared" si="5"/>
        <v>2519537.44</v>
      </c>
      <c r="G6" s="338">
        <f t="shared" si="6"/>
        <v>2519537.44</v>
      </c>
      <c r="H6" s="338">
        <f t="shared" si="7"/>
        <v>0</v>
      </c>
    </row>
    <row r="7" spans="1:8">
      <c r="A7" s="229">
        <v>1300</v>
      </c>
      <c r="B7" s="230" t="s">
        <v>187</v>
      </c>
      <c r="C7" s="338">
        <f t="shared" si="2"/>
        <v>6724763.9299999988</v>
      </c>
      <c r="D7" s="338">
        <f t="shared" si="3"/>
        <v>1004115.9099999999</v>
      </c>
      <c r="E7" s="338">
        <f t="shared" si="4"/>
        <v>7728879.8399999989</v>
      </c>
      <c r="F7" s="338">
        <f t="shared" si="5"/>
        <v>7728879.8399999999</v>
      </c>
      <c r="G7" s="338">
        <f t="shared" si="6"/>
        <v>7728879.8399999999</v>
      </c>
      <c r="H7" s="338">
        <f t="shared" si="7"/>
        <v>0</v>
      </c>
    </row>
    <row r="8" spans="1:8">
      <c r="A8" s="229">
        <v>1400</v>
      </c>
      <c r="B8" s="230" t="s">
        <v>259</v>
      </c>
      <c r="C8" s="338">
        <f t="shared" si="2"/>
        <v>4747500.33</v>
      </c>
      <c r="D8" s="338">
        <f t="shared" si="3"/>
        <v>-144275.09000000017</v>
      </c>
      <c r="E8" s="338">
        <f t="shared" si="4"/>
        <v>4603225.24</v>
      </c>
      <c r="F8" s="338">
        <f t="shared" si="5"/>
        <v>4603225.24</v>
      </c>
      <c r="G8" s="338">
        <f t="shared" si="6"/>
        <v>4603225.24</v>
      </c>
      <c r="H8" s="338">
        <f t="shared" si="7"/>
        <v>0</v>
      </c>
    </row>
    <row r="9" spans="1:8">
      <c r="A9" s="229">
        <v>1500</v>
      </c>
      <c r="B9" s="230" t="s">
        <v>188</v>
      </c>
      <c r="C9" s="338">
        <f t="shared" si="2"/>
        <v>29057822.379999999</v>
      </c>
      <c r="D9" s="338">
        <f t="shared" si="3"/>
        <v>5248468.51</v>
      </c>
      <c r="E9" s="338">
        <f t="shared" si="4"/>
        <v>34306290.890000001</v>
      </c>
      <c r="F9" s="338">
        <f t="shared" si="5"/>
        <v>34306290.889999993</v>
      </c>
      <c r="G9" s="338">
        <f t="shared" si="6"/>
        <v>33120191.039999999</v>
      </c>
      <c r="H9" s="338">
        <f t="shared" si="7"/>
        <v>0</v>
      </c>
    </row>
    <row r="10" spans="1:8">
      <c r="A10" s="229">
        <v>1600</v>
      </c>
      <c r="B10" s="230" t="s">
        <v>260</v>
      </c>
      <c r="C10" s="338">
        <f t="shared" si="2"/>
        <v>1617161.0099999998</v>
      </c>
      <c r="D10" s="338">
        <f t="shared" si="3"/>
        <v>-1617161.0099999998</v>
      </c>
      <c r="E10" s="338">
        <f t="shared" si="4"/>
        <v>0</v>
      </c>
      <c r="F10" s="338">
        <f t="shared" si="5"/>
        <v>0</v>
      </c>
      <c r="G10" s="338">
        <f t="shared" si="6"/>
        <v>0</v>
      </c>
      <c r="H10" s="338">
        <f t="shared" si="7"/>
        <v>0</v>
      </c>
    </row>
    <row r="11" spans="1:8">
      <c r="A11" s="229">
        <v>1700</v>
      </c>
      <c r="B11" s="230" t="s">
        <v>189</v>
      </c>
      <c r="C11" s="338">
        <f t="shared" si="2"/>
        <v>1099382.22</v>
      </c>
      <c r="D11" s="338">
        <f t="shared" si="3"/>
        <v>246145.56000000041</v>
      </c>
      <c r="E11" s="338">
        <f t="shared" si="4"/>
        <v>1345527.7800000003</v>
      </c>
      <c r="F11" s="338">
        <f t="shared" si="5"/>
        <v>1345527.7799999998</v>
      </c>
      <c r="G11" s="338">
        <f t="shared" si="6"/>
        <v>1345527.7799999998</v>
      </c>
      <c r="H11" s="338">
        <f t="shared" si="7"/>
        <v>0</v>
      </c>
    </row>
    <row r="12" spans="1:8">
      <c r="A12" s="229">
        <v>2000</v>
      </c>
      <c r="B12" s="230" t="s">
        <v>261</v>
      </c>
      <c r="C12" s="337">
        <f t="shared" ref="C12:H12" si="8">SUM(C13:C21)</f>
        <v>2249254.52</v>
      </c>
      <c r="D12" s="337">
        <f t="shared" si="8"/>
        <v>-349815.94999999995</v>
      </c>
      <c r="E12" s="337">
        <f t="shared" si="8"/>
        <v>1899438.57</v>
      </c>
      <c r="F12" s="337">
        <f t="shared" si="8"/>
        <v>1899438.57</v>
      </c>
      <c r="G12" s="337">
        <f t="shared" si="8"/>
        <v>1899438.57</v>
      </c>
      <c r="H12" s="337">
        <f t="shared" si="8"/>
        <v>0</v>
      </c>
    </row>
    <row r="13" spans="1:8">
      <c r="A13" s="229">
        <v>2100</v>
      </c>
      <c r="B13" s="230" t="s">
        <v>190</v>
      </c>
      <c r="C13" s="338">
        <f t="shared" ref="C13:C21" si="9">SUMIF(PE_COG,MID(A13,1,2)&amp;"*",PE_A)</f>
        <v>1161530.19</v>
      </c>
      <c r="D13" s="338">
        <f t="shared" ref="D13:D21" si="10">SUMIF(PE_COG,MID(A13,1,2)&amp;"*",PE_M)</f>
        <v>-261198.14999999997</v>
      </c>
      <c r="E13" s="338">
        <f t="shared" si="4"/>
        <v>900332.04</v>
      </c>
      <c r="F13" s="338">
        <f t="shared" ref="F13:F21" si="11">SUMIF(PE_COG,MID(A13,1,2)&amp;"*",PE_D)</f>
        <v>900332.04</v>
      </c>
      <c r="G13" s="338">
        <f t="shared" ref="G13:G21" si="12">SUMIF(PE_COG,MID(A13,1,2)&amp;"*",PE_P)</f>
        <v>900332.04</v>
      </c>
      <c r="H13" s="338">
        <f t="shared" si="7"/>
        <v>0</v>
      </c>
    </row>
    <row r="14" spans="1:8">
      <c r="A14" s="229">
        <v>2200</v>
      </c>
      <c r="B14" s="230" t="s">
        <v>191</v>
      </c>
      <c r="C14" s="338">
        <f t="shared" si="9"/>
        <v>33433.71</v>
      </c>
      <c r="D14" s="338">
        <f t="shared" si="10"/>
        <v>-16966.899999999998</v>
      </c>
      <c r="E14" s="338">
        <f t="shared" si="4"/>
        <v>16466.810000000001</v>
      </c>
      <c r="F14" s="338">
        <f t="shared" si="11"/>
        <v>16466.810000000001</v>
      </c>
      <c r="G14" s="338">
        <f t="shared" si="12"/>
        <v>16466.810000000001</v>
      </c>
      <c r="H14" s="338">
        <f t="shared" si="7"/>
        <v>0</v>
      </c>
    </row>
    <row r="15" spans="1:8">
      <c r="A15" s="229">
        <v>2300</v>
      </c>
      <c r="B15" s="230" t="s">
        <v>192</v>
      </c>
      <c r="C15" s="338">
        <f t="shared" si="9"/>
        <v>0</v>
      </c>
      <c r="D15" s="338">
        <f t="shared" si="10"/>
        <v>0</v>
      </c>
      <c r="E15" s="338">
        <f t="shared" si="4"/>
        <v>0</v>
      </c>
      <c r="F15" s="338">
        <f t="shared" si="11"/>
        <v>0</v>
      </c>
      <c r="G15" s="338">
        <f t="shared" si="12"/>
        <v>0</v>
      </c>
      <c r="H15" s="338">
        <f t="shared" si="7"/>
        <v>0</v>
      </c>
    </row>
    <row r="16" spans="1:8">
      <c r="A16" s="229">
        <v>2400</v>
      </c>
      <c r="B16" s="230" t="s">
        <v>193</v>
      </c>
      <c r="C16" s="338">
        <f t="shared" si="9"/>
        <v>77471.66</v>
      </c>
      <c r="D16" s="338">
        <f t="shared" si="10"/>
        <v>-46051.489999999991</v>
      </c>
      <c r="E16" s="338">
        <f t="shared" si="4"/>
        <v>31420.170000000013</v>
      </c>
      <c r="F16" s="338">
        <f t="shared" si="11"/>
        <v>31420.17</v>
      </c>
      <c r="G16" s="338">
        <f t="shared" si="12"/>
        <v>31420.17</v>
      </c>
      <c r="H16" s="338">
        <f t="shared" si="7"/>
        <v>0</v>
      </c>
    </row>
    <row r="17" spans="1:8">
      <c r="A17" s="229">
        <v>2500</v>
      </c>
      <c r="B17" s="230" t="s">
        <v>194</v>
      </c>
      <c r="C17" s="338">
        <f t="shared" si="9"/>
        <v>2980.42</v>
      </c>
      <c r="D17" s="338">
        <f t="shared" si="10"/>
        <v>-1415.92</v>
      </c>
      <c r="E17" s="338">
        <f t="shared" si="4"/>
        <v>1564.5</v>
      </c>
      <c r="F17" s="338">
        <f t="shared" si="11"/>
        <v>1564.5</v>
      </c>
      <c r="G17" s="338">
        <f t="shared" si="12"/>
        <v>1564.5</v>
      </c>
      <c r="H17" s="338">
        <f t="shared" si="7"/>
        <v>0</v>
      </c>
    </row>
    <row r="18" spans="1:8">
      <c r="A18" s="229">
        <v>2600</v>
      </c>
      <c r="B18" s="230" t="s">
        <v>195</v>
      </c>
      <c r="C18" s="338">
        <f t="shared" si="9"/>
        <v>809561.62000000011</v>
      </c>
      <c r="D18" s="338">
        <f t="shared" si="10"/>
        <v>-32779.580000000024</v>
      </c>
      <c r="E18" s="338">
        <f t="shared" si="4"/>
        <v>776782.04</v>
      </c>
      <c r="F18" s="338">
        <f t="shared" si="11"/>
        <v>776782.04</v>
      </c>
      <c r="G18" s="338">
        <f t="shared" si="12"/>
        <v>776782.04</v>
      </c>
      <c r="H18" s="338">
        <f t="shared" si="7"/>
        <v>0</v>
      </c>
    </row>
    <row r="19" spans="1:8">
      <c r="A19" s="229">
        <v>2700</v>
      </c>
      <c r="B19" s="230" t="s">
        <v>196</v>
      </c>
      <c r="C19" s="338">
        <f t="shared" si="9"/>
        <v>82250.880000000005</v>
      </c>
      <c r="D19" s="338">
        <f t="shared" si="10"/>
        <v>-217.02999999997792</v>
      </c>
      <c r="E19" s="338">
        <f t="shared" si="4"/>
        <v>82033.85000000002</v>
      </c>
      <c r="F19" s="338">
        <f t="shared" si="11"/>
        <v>82033.850000000006</v>
      </c>
      <c r="G19" s="338">
        <f t="shared" si="12"/>
        <v>82033.850000000006</v>
      </c>
      <c r="H19" s="338">
        <f t="shared" si="7"/>
        <v>0</v>
      </c>
    </row>
    <row r="20" spans="1:8">
      <c r="A20" s="229">
        <v>2800</v>
      </c>
      <c r="B20" s="230" t="s">
        <v>197</v>
      </c>
      <c r="C20" s="338">
        <f t="shared" si="9"/>
        <v>0</v>
      </c>
      <c r="D20" s="338">
        <f t="shared" si="10"/>
        <v>0</v>
      </c>
      <c r="E20" s="338">
        <f t="shared" si="4"/>
        <v>0</v>
      </c>
      <c r="F20" s="338">
        <f t="shared" si="11"/>
        <v>0</v>
      </c>
      <c r="G20" s="338">
        <f t="shared" si="12"/>
        <v>0</v>
      </c>
      <c r="H20" s="338">
        <f t="shared" si="7"/>
        <v>0</v>
      </c>
    </row>
    <row r="21" spans="1:8">
      <c r="A21" s="229">
        <v>2900</v>
      </c>
      <c r="B21" s="230" t="s">
        <v>198</v>
      </c>
      <c r="C21" s="338">
        <f t="shared" si="9"/>
        <v>82026.040000000008</v>
      </c>
      <c r="D21" s="338">
        <f t="shared" si="10"/>
        <v>8813.1199999999953</v>
      </c>
      <c r="E21" s="338">
        <f t="shared" si="4"/>
        <v>90839.16</v>
      </c>
      <c r="F21" s="338">
        <f t="shared" si="11"/>
        <v>90839.16</v>
      </c>
      <c r="G21" s="338">
        <f t="shared" si="12"/>
        <v>90839.16</v>
      </c>
      <c r="H21" s="338">
        <f t="shared" si="7"/>
        <v>0</v>
      </c>
    </row>
    <row r="22" spans="1:8">
      <c r="A22" s="229">
        <v>3000</v>
      </c>
      <c r="B22" s="230" t="s">
        <v>262</v>
      </c>
      <c r="C22" s="337">
        <f t="shared" ref="C22:H22" si="13">SUM(C23:C31)</f>
        <v>15301571</v>
      </c>
      <c r="D22" s="337">
        <f t="shared" si="13"/>
        <v>350566.11000000045</v>
      </c>
      <c r="E22" s="337">
        <f t="shared" si="13"/>
        <v>15652137.109999999</v>
      </c>
      <c r="F22" s="337">
        <f t="shared" si="13"/>
        <v>15652137.110000001</v>
      </c>
      <c r="G22" s="337">
        <f t="shared" si="13"/>
        <v>15517128.110000001</v>
      </c>
      <c r="H22" s="337">
        <f t="shared" si="13"/>
        <v>0</v>
      </c>
    </row>
    <row r="23" spans="1:8">
      <c r="A23" s="229">
        <v>3100</v>
      </c>
      <c r="B23" s="230" t="s">
        <v>199</v>
      </c>
      <c r="C23" s="338">
        <f t="shared" ref="C23:C31" si="14">SUMIF(PE_COG,MID(A23,1,2)&amp;"*",PE_A)</f>
        <v>1090627.8</v>
      </c>
      <c r="D23" s="338">
        <f t="shared" ref="D23:D31" si="15">SUMIF(PE_COG,MID(A23,1,2)&amp;"*",PE_M)</f>
        <v>-93173.98000000001</v>
      </c>
      <c r="E23" s="338">
        <f t="shared" si="4"/>
        <v>997453.82000000007</v>
      </c>
      <c r="F23" s="338">
        <f t="shared" ref="F23:F31" si="16">SUMIF(PE_COG,MID(A23,1,2)&amp;"*",PE_D)</f>
        <v>997453.82000000007</v>
      </c>
      <c r="G23" s="338">
        <f t="shared" ref="G23:G31" si="17">SUMIF(PE_COG,MID(A23,1,2)&amp;"*",PE_P)</f>
        <v>910822.82000000007</v>
      </c>
      <c r="H23" s="338">
        <f t="shared" si="7"/>
        <v>0</v>
      </c>
    </row>
    <row r="24" spans="1:8">
      <c r="A24" s="229">
        <v>3200</v>
      </c>
      <c r="B24" s="230" t="s">
        <v>200</v>
      </c>
      <c r="C24" s="338">
        <f t="shared" si="14"/>
        <v>1601484.6199999999</v>
      </c>
      <c r="D24" s="338">
        <f t="shared" si="15"/>
        <v>77391.70000000007</v>
      </c>
      <c r="E24" s="338">
        <f t="shared" si="4"/>
        <v>1678876.3199999998</v>
      </c>
      <c r="F24" s="338">
        <f t="shared" si="16"/>
        <v>1678876.3199999998</v>
      </c>
      <c r="G24" s="338">
        <f t="shared" si="17"/>
        <v>1672148.3199999998</v>
      </c>
      <c r="H24" s="338">
        <f t="shared" si="7"/>
        <v>0</v>
      </c>
    </row>
    <row r="25" spans="1:8">
      <c r="A25" s="229">
        <v>3300</v>
      </c>
      <c r="B25" s="230" t="s">
        <v>263</v>
      </c>
      <c r="C25" s="338">
        <f t="shared" si="14"/>
        <v>3691811.1199999996</v>
      </c>
      <c r="D25" s="338">
        <f t="shared" si="15"/>
        <v>775668.73000000033</v>
      </c>
      <c r="E25" s="338">
        <f t="shared" si="4"/>
        <v>4467479.8499999996</v>
      </c>
      <c r="F25" s="338">
        <f t="shared" si="16"/>
        <v>4467479.8499999996</v>
      </c>
      <c r="G25" s="338">
        <f t="shared" si="17"/>
        <v>4426879.8499999996</v>
      </c>
      <c r="H25" s="338">
        <f t="shared" si="7"/>
        <v>0</v>
      </c>
    </row>
    <row r="26" spans="1:8">
      <c r="A26" s="229">
        <v>3400</v>
      </c>
      <c r="B26" s="230" t="s">
        <v>201</v>
      </c>
      <c r="C26" s="338">
        <f t="shared" si="14"/>
        <v>168973.96</v>
      </c>
      <c r="D26" s="338">
        <f t="shared" si="15"/>
        <v>21766.150000000005</v>
      </c>
      <c r="E26" s="338">
        <f t="shared" si="4"/>
        <v>190740.11</v>
      </c>
      <c r="F26" s="338">
        <f t="shared" si="16"/>
        <v>190740.11</v>
      </c>
      <c r="G26" s="338">
        <f t="shared" si="17"/>
        <v>190740.11</v>
      </c>
      <c r="H26" s="338">
        <f t="shared" si="7"/>
        <v>0</v>
      </c>
    </row>
    <row r="27" spans="1:8">
      <c r="A27" s="229">
        <v>3500</v>
      </c>
      <c r="B27" s="230" t="s">
        <v>202</v>
      </c>
      <c r="C27" s="338">
        <f t="shared" si="14"/>
        <v>725418.49</v>
      </c>
      <c r="D27" s="338">
        <f t="shared" si="15"/>
        <v>-258208.96000000011</v>
      </c>
      <c r="E27" s="338">
        <f t="shared" si="4"/>
        <v>467209.52999999991</v>
      </c>
      <c r="F27" s="338">
        <f t="shared" si="16"/>
        <v>467209.53</v>
      </c>
      <c r="G27" s="338">
        <f t="shared" si="17"/>
        <v>467209.53</v>
      </c>
      <c r="H27" s="338">
        <f t="shared" si="7"/>
        <v>0</v>
      </c>
    </row>
    <row r="28" spans="1:8">
      <c r="A28" s="229">
        <v>3600</v>
      </c>
      <c r="B28" s="230" t="s">
        <v>203</v>
      </c>
      <c r="C28" s="338">
        <f t="shared" si="14"/>
        <v>5081858.47</v>
      </c>
      <c r="D28" s="338">
        <f t="shared" si="15"/>
        <v>65755.799999999988</v>
      </c>
      <c r="E28" s="338">
        <f t="shared" si="4"/>
        <v>5147614.2699999996</v>
      </c>
      <c r="F28" s="338">
        <f t="shared" si="16"/>
        <v>5147614.2700000005</v>
      </c>
      <c r="G28" s="338">
        <f t="shared" si="17"/>
        <v>5147614.2700000005</v>
      </c>
      <c r="H28" s="338">
        <f t="shared" si="7"/>
        <v>0</v>
      </c>
    </row>
    <row r="29" spans="1:8">
      <c r="A29" s="229">
        <v>3700</v>
      </c>
      <c r="B29" s="230" t="s">
        <v>204</v>
      </c>
      <c r="C29" s="338">
        <f t="shared" si="14"/>
        <v>510777.37999999995</v>
      </c>
      <c r="D29" s="338">
        <f t="shared" si="15"/>
        <v>-337315.05999999994</v>
      </c>
      <c r="E29" s="338">
        <f t="shared" si="4"/>
        <v>173462.32</v>
      </c>
      <c r="F29" s="338">
        <f t="shared" si="16"/>
        <v>173462.32</v>
      </c>
      <c r="G29" s="338">
        <f t="shared" si="17"/>
        <v>172412.32</v>
      </c>
      <c r="H29" s="338">
        <f t="shared" si="7"/>
        <v>0</v>
      </c>
    </row>
    <row r="30" spans="1:8">
      <c r="A30" s="229">
        <v>3800</v>
      </c>
      <c r="B30" s="230" t="s">
        <v>205</v>
      </c>
      <c r="C30" s="338">
        <f t="shared" si="14"/>
        <v>1398937.78</v>
      </c>
      <c r="D30" s="338">
        <f t="shared" si="15"/>
        <v>-42651.470000000016</v>
      </c>
      <c r="E30" s="338">
        <f t="shared" si="4"/>
        <v>1356286.31</v>
      </c>
      <c r="F30" s="338">
        <f t="shared" si="16"/>
        <v>1356286.31</v>
      </c>
      <c r="G30" s="338">
        <f t="shared" si="17"/>
        <v>1356286.31</v>
      </c>
      <c r="H30" s="338">
        <f t="shared" si="7"/>
        <v>0</v>
      </c>
    </row>
    <row r="31" spans="1:8">
      <c r="A31" s="229">
        <v>3900</v>
      </c>
      <c r="B31" s="230" t="s">
        <v>206</v>
      </c>
      <c r="C31" s="338">
        <f t="shared" si="14"/>
        <v>1031681.38</v>
      </c>
      <c r="D31" s="338">
        <f t="shared" si="15"/>
        <v>141333.20000000001</v>
      </c>
      <c r="E31" s="338">
        <f t="shared" si="4"/>
        <v>1173014.58</v>
      </c>
      <c r="F31" s="338">
        <f t="shared" si="16"/>
        <v>1173014.58</v>
      </c>
      <c r="G31" s="338">
        <f t="shared" si="17"/>
        <v>1173014.58</v>
      </c>
      <c r="H31" s="338">
        <f t="shared" si="7"/>
        <v>0</v>
      </c>
    </row>
    <row r="32" spans="1:8">
      <c r="A32" s="229">
        <v>4000</v>
      </c>
      <c r="B32" s="230" t="s">
        <v>207</v>
      </c>
      <c r="C32" s="337">
        <f t="shared" ref="C32:H32" si="18">SUM(C33:C41)</f>
        <v>0</v>
      </c>
      <c r="D32" s="337">
        <f t="shared" si="18"/>
        <v>0</v>
      </c>
      <c r="E32" s="337">
        <f t="shared" si="18"/>
        <v>0</v>
      </c>
      <c r="F32" s="337">
        <f t="shared" si="18"/>
        <v>0</v>
      </c>
      <c r="G32" s="337">
        <f t="shared" si="18"/>
        <v>0</v>
      </c>
      <c r="H32" s="337">
        <f t="shared" si="18"/>
        <v>0</v>
      </c>
    </row>
    <row r="33" spans="1:8">
      <c r="A33" s="229">
        <v>4100</v>
      </c>
      <c r="B33" s="230" t="s">
        <v>117</v>
      </c>
      <c r="C33" s="338">
        <f t="shared" ref="C33:C41" si="19">SUMIF(PE_COG,MID(A33,1,2)&amp;"*",PE_A)</f>
        <v>0</v>
      </c>
      <c r="D33" s="338">
        <f t="shared" ref="D33:D41" si="20">SUMIF(PE_COG,MID(A33,1,2)&amp;"*",PE_M)</f>
        <v>0</v>
      </c>
      <c r="E33" s="338">
        <f t="shared" si="4"/>
        <v>0</v>
      </c>
      <c r="F33" s="338">
        <f t="shared" ref="F33:F41" si="21">SUMIF(PE_COG,MID(A33,1,2)&amp;"*",PE_D)</f>
        <v>0</v>
      </c>
      <c r="G33" s="338">
        <f t="shared" ref="G33:G41" si="22">SUMIF(PE_COG,MID(A33,1,2)&amp;"*",PE_P)</f>
        <v>0</v>
      </c>
      <c r="H33" s="338">
        <f t="shared" si="7"/>
        <v>0</v>
      </c>
    </row>
    <row r="34" spans="1:8">
      <c r="A34" s="229">
        <v>4200</v>
      </c>
      <c r="B34" s="230" t="s">
        <v>118</v>
      </c>
      <c r="C34" s="338">
        <f t="shared" si="19"/>
        <v>0</v>
      </c>
      <c r="D34" s="338">
        <f t="shared" si="20"/>
        <v>0</v>
      </c>
      <c r="E34" s="338">
        <f t="shared" si="4"/>
        <v>0</v>
      </c>
      <c r="F34" s="338">
        <f t="shared" si="21"/>
        <v>0</v>
      </c>
      <c r="G34" s="338">
        <f t="shared" si="22"/>
        <v>0</v>
      </c>
      <c r="H34" s="338">
        <f t="shared" si="7"/>
        <v>0</v>
      </c>
    </row>
    <row r="35" spans="1:8">
      <c r="A35" s="229">
        <v>4300</v>
      </c>
      <c r="B35" s="230" t="s">
        <v>119</v>
      </c>
      <c r="C35" s="338">
        <f t="shared" si="19"/>
        <v>0</v>
      </c>
      <c r="D35" s="338">
        <f t="shared" si="20"/>
        <v>0</v>
      </c>
      <c r="E35" s="338">
        <f t="shared" si="4"/>
        <v>0</v>
      </c>
      <c r="F35" s="338">
        <f t="shared" si="21"/>
        <v>0</v>
      </c>
      <c r="G35" s="338">
        <f t="shared" si="22"/>
        <v>0</v>
      </c>
      <c r="H35" s="338">
        <f t="shared" si="7"/>
        <v>0</v>
      </c>
    </row>
    <row r="36" spans="1:8">
      <c r="A36" s="229">
        <v>4400</v>
      </c>
      <c r="B36" s="230" t="s">
        <v>120</v>
      </c>
      <c r="C36" s="338">
        <f t="shared" si="19"/>
        <v>0</v>
      </c>
      <c r="D36" s="338">
        <f t="shared" si="20"/>
        <v>0</v>
      </c>
      <c r="E36" s="338">
        <f t="shared" si="4"/>
        <v>0</v>
      </c>
      <c r="F36" s="338">
        <f t="shared" si="21"/>
        <v>0</v>
      </c>
      <c r="G36" s="338">
        <f t="shared" si="22"/>
        <v>0</v>
      </c>
      <c r="H36" s="338">
        <f t="shared" si="7"/>
        <v>0</v>
      </c>
    </row>
    <row r="37" spans="1:8">
      <c r="A37" s="229">
        <v>4500</v>
      </c>
      <c r="B37" s="230" t="s">
        <v>121</v>
      </c>
      <c r="C37" s="338">
        <f t="shared" si="19"/>
        <v>0</v>
      </c>
      <c r="D37" s="338">
        <f t="shared" si="20"/>
        <v>0</v>
      </c>
      <c r="E37" s="338">
        <f t="shared" si="4"/>
        <v>0</v>
      </c>
      <c r="F37" s="338">
        <f t="shared" si="21"/>
        <v>0</v>
      </c>
      <c r="G37" s="338">
        <f t="shared" si="22"/>
        <v>0</v>
      </c>
      <c r="H37" s="338">
        <f t="shared" si="7"/>
        <v>0</v>
      </c>
    </row>
    <row r="38" spans="1:8">
      <c r="A38" s="229">
        <v>4600</v>
      </c>
      <c r="B38" s="230" t="s">
        <v>264</v>
      </c>
      <c r="C38" s="338">
        <f t="shared" si="19"/>
        <v>0</v>
      </c>
      <c r="D38" s="338">
        <f t="shared" si="20"/>
        <v>0</v>
      </c>
      <c r="E38" s="338">
        <f t="shared" si="4"/>
        <v>0</v>
      </c>
      <c r="F38" s="338">
        <f t="shared" si="21"/>
        <v>0</v>
      </c>
      <c r="G38" s="338">
        <f t="shared" si="22"/>
        <v>0</v>
      </c>
      <c r="H38" s="338">
        <f t="shared" si="7"/>
        <v>0</v>
      </c>
    </row>
    <row r="39" spans="1:8">
      <c r="A39" s="229">
        <v>4700</v>
      </c>
      <c r="B39" s="230" t="s">
        <v>123</v>
      </c>
      <c r="C39" s="338">
        <f t="shared" si="19"/>
        <v>0</v>
      </c>
      <c r="D39" s="338">
        <f t="shared" si="20"/>
        <v>0</v>
      </c>
      <c r="E39" s="338">
        <f t="shared" si="4"/>
        <v>0</v>
      </c>
      <c r="F39" s="338">
        <f t="shared" si="21"/>
        <v>0</v>
      </c>
      <c r="G39" s="338">
        <f t="shared" si="22"/>
        <v>0</v>
      </c>
      <c r="H39" s="338">
        <f t="shared" si="7"/>
        <v>0</v>
      </c>
    </row>
    <row r="40" spans="1:8">
      <c r="A40" s="229">
        <v>4800</v>
      </c>
      <c r="B40" s="230" t="s">
        <v>124</v>
      </c>
      <c r="C40" s="338">
        <f t="shared" si="19"/>
        <v>0</v>
      </c>
      <c r="D40" s="338">
        <f t="shared" si="20"/>
        <v>0</v>
      </c>
      <c r="E40" s="338">
        <f t="shared" si="4"/>
        <v>0</v>
      </c>
      <c r="F40" s="338">
        <f t="shared" si="21"/>
        <v>0</v>
      </c>
      <c r="G40" s="338">
        <f t="shared" si="22"/>
        <v>0</v>
      </c>
      <c r="H40" s="338">
        <f t="shared" si="7"/>
        <v>0</v>
      </c>
    </row>
    <row r="41" spans="1:8">
      <c r="A41" s="229">
        <v>4900</v>
      </c>
      <c r="B41" s="230" t="s">
        <v>125</v>
      </c>
      <c r="C41" s="338">
        <f t="shared" si="19"/>
        <v>0</v>
      </c>
      <c r="D41" s="338">
        <f t="shared" si="20"/>
        <v>0</v>
      </c>
      <c r="E41" s="338">
        <f t="shared" si="4"/>
        <v>0</v>
      </c>
      <c r="F41" s="338">
        <f t="shared" si="21"/>
        <v>0</v>
      </c>
      <c r="G41" s="338">
        <f t="shared" si="22"/>
        <v>0</v>
      </c>
      <c r="H41" s="338">
        <f t="shared" si="7"/>
        <v>0</v>
      </c>
    </row>
    <row r="42" spans="1:8">
      <c r="A42" s="229">
        <v>5000</v>
      </c>
      <c r="B42" s="230" t="s">
        <v>265</v>
      </c>
      <c r="C42" s="337">
        <f t="shared" ref="C42:H42" si="23">SUM(C43:C51)</f>
        <v>1042027.56</v>
      </c>
      <c r="D42" s="337">
        <f t="shared" si="23"/>
        <v>1675477.6800000002</v>
      </c>
      <c r="E42" s="337">
        <f t="shared" si="23"/>
        <v>2717505.24</v>
      </c>
      <c r="F42" s="337">
        <f t="shared" si="23"/>
        <v>2717505.24</v>
      </c>
      <c r="G42" s="337">
        <f t="shared" si="23"/>
        <v>2717505.24</v>
      </c>
      <c r="H42" s="337">
        <f t="shared" si="23"/>
        <v>0</v>
      </c>
    </row>
    <row r="43" spans="1:8">
      <c r="A43" s="229">
        <v>5100</v>
      </c>
      <c r="B43" s="230" t="s">
        <v>21</v>
      </c>
      <c r="C43" s="338">
        <f t="shared" ref="C43:C51" si="24">SUMIF(PE_COG,MID(A43,1,2)&amp;"*",PE_A)</f>
        <v>315389.03000000003</v>
      </c>
      <c r="D43" s="338">
        <f t="shared" ref="D43:D51" si="25">SUMIF(PE_COG,MID(A43,1,2)&amp;"*",PE_M)</f>
        <v>1059539.17</v>
      </c>
      <c r="E43" s="338">
        <f t="shared" si="4"/>
        <v>1374928.2</v>
      </c>
      <c r="F43" s="338">
        <f t="shared" ref="F43:F51" si="26">SUMIF(PE_COG,MID(A43,1,2)&amp;"*",PE_D)</f>
        <v>1374928.2</v>
      </c>
      <c r="G43" s="338">
        <f t="shared" ref="G43:G51" si="27">SUMIF(PE_COG,MID(A43,1,2)&amp;"*",PE_P)</f>
        <v>1374928.2</v>
      </c>
      <c r="H43" s="338">
        <f t="shared" si="7"/>
        <v>0</v>
      </c>
    </row>
    <row r="44" spans="1:8">
      <c r="A44" s="229">
        <v>5200</v>
      </c>
      <c r="B44" s="230" t="s">
        <v>22</v>
      </c>
      <c r="C44" s="338">
        <f t="shared" si="24"/>
        <v>0</v>
      </c>
      <c r="D44" s="338">
        <f t="shared" si="25"/>
        <v>0</v>
      </c>
      <c r="E44" s="338">
        <f t="shared" si="4"/>
        <v>0</v>
      </c>
      <c r="F44" s="338">
        <f t="shared" si="26"/>
        <v>0</v>
      </c>
      <c r="G44" s="338">
        <f t="shared" si="27"/>
        <v>0</v>
      </c>
      <c r="H44" s="338">
        <f t="shared" si="7"/>
        <v>0</v>
      </c>
    </row>
    <row r="45" spans="1:8">
      <c r="A45" s="229">
        <v>5300</v>
      </c>
      <c r="B45" s="230" t="s">
        <v>23</v>
      </c>
      <c r="C45" s="338">
        <f t="shared" si="24"/>
        <v>0</v>
      </c>
      <c r="D45" s="338">
        <f t="shared" si="25"/>
        <v>0</v>
      </c>
      <c r="E45" s="338">
        <f t="shared" si="4"/>
        <v>0</v>
      </c>
      <c r="F45" s="338">
        <f t="shared" si="26"/>
        <v>0</v>
      </c>
      <c r="G45" s="338">
        <f t="shared" si="27"/>
        <v>0</v>
      </c>
      <c r="H45" s="338">
        <f t="shared" si="7"/>
        <v>0</v>
      </c>
    </row>
    <row r="46" spans="1:8">
      <c r="A46" s="229">
        <v>5400</v>
      </c>
      <c r="B46" s="230" t="s">
        <v>24</v>
      </c>
      <c r="C46" s="338">
        <f t="shared" si="24"/>
        <v>666567.59</v>
      </c>
      <c r="D46" s="338">
        <f t="shared" si="25"/>
        <v>456930.41000000015</v>
      </c>
      <c r="E46" s="338">
        <f t="shared" si="4"/>
        <v>1123498</v>
      </c>
      <c r="F46" s="338">
        <f t="shared" si="26"/>
        <v>1123498</v>
      </c>
      <c r="G46" s="338">
        <f t="shared" si="27"/>
        <v>1123498</v>
      </c>
      <c r="H46" s="338">
        <f t="shared" si="7"/>
        <v>0</v>
      </c>
    </row>
    <row r="47" spans="1:8">
      <c r="A47" s="229">
        <v>5500</v>
      </c>
      <c r="B47" s="230" t="s">
        <v>25</v>
      </c>
      <c r="C47" s="338">
        <f t="shared" si="24"/>
        <v>0</v>
      </c>
      <c r="D47" s="338">
        <f t="shared" si="25"/>
        <v>0</v>
      </c>
      <c r="E47" s="338">
        <f t="shared" si="4"/>
        <v>0</v>
      </c>
      <c r="F47" s="338">
        <f t="shared" si="26"/>
        <v>0</v>
      </c>
      <c r="G47" s="338">
        <f t="shared" si="27"/>
        <v>0</v>
      </c>
      <c r="H47" s="338">
        <f t="shared" si="7"/>
        <v>0</v>
      </c>
    </row>
    <row r="48" spans="1:8">
      <c r="A48" s="229">
        <v>5600</v>
      </c>
      <c r="B48" s="230" t="s">
        <v>26</v>
      </c>
      <c r="C48" s="338">
        <f t="shared" si="24"/>
        <v>0</v>
      </c>
      <c r="D48" s="338">
        <f t="shared" si="25"/>
        <v>93663.739999999991</v>
      </c>
      <c r="E48" s="338">
        <f t="shared" si="4"/>
        <v>93663.739999999991</v>
      </c>
      <c r="F48" s="338">
        <f t="shared" si="26"/>
        <v>93663.739999999991</v>
      </c>
      <c r="G48" s="338">
        <f t="shared" si="27"/>
        <v>93663.739999999991</v>
      </c>
      <c r="H48" s="338">
        <f t="shared" si="7"/>
        <v>0</v>
      </c>
    </row>
    <row r="49" spans="1:8">
      <c r="A49" s="229">
        <v>5700</v>
      </c>
      <c r="B49" s="230" t="s">
        <v>27</v>
      </c>
      <c r="C49" s="338">
        <f t="shared" si="24"/>
        <v>0</v>
      </c>
      <c r="D49" s="338">
        <f t="shared" si="25"/>
        <v>0</v>
      </c>
      <c r="E49" s="338">
        <f t="shared" si="4"/>
        <v>0</v>
      </c>
      <c r="F49" s="338">
        <f t="shared" si="26"/>
        <v>0</v>
      </c>
      <c r="G49" s="338">
        <f t="shared" si="27"/>
        <v>0</v>
      </c>
      <c r="H49" s="338">
        <f t="shared" si="7"/>
        <v>0</v>
      </c>
    </row>
    <row r="50" spans="1:8">
      <c r="A50" s="229">
        <v>5800</v>
      </c>
      <c r="B50" s="230" t="s">
        <v>266</v>
      </c>
      <c r="C50" s="338">
        <f t="shared" si="24"/>
        <v>0</v>
      </c>
      <c r="D50" s="338">
        <f t="shared" si="25"/>
        <v>0</v>
      </c>
      <c r="E50" s="338">
        <f t="shared" si="4"/>
        <v>0</v>
      </c>
      <c r="F50" s="338">
        <f t="shared" si="26"/>
        <v>0</v>
      </c>
      <c r="G50" s="338">
        <f t="shared" si="27"/>
        <v>0</v>
      </c>
      <c r="H50" s="338">
        <f t="shared" si="7"/>
        <v>0</v>
      </c>
    </row>
    <row r="51" spans="1:8">
      <c r="A51" s="229">
        <v>5900</v>
      </c>
      <c r="B51" s="230" t="s">
        <v>28</v>
      </c>
      <c r="C51" s="338">
        <f t="shared" si="24"/>
        <v>60070.94</v>
      </c>
      <c r="D51" s="338">
        <f t="shared" si="25"/>
        <v>65344.359999999986</v>
      </c>
      <c r="E51" s="338">
        <f t="shared" si="4"/>
        <v>125415.29999999999</v>
      </c>
      <c r="F51" s="338">
        <f t="shared" si="26"/>
        <v>125415.3</v>
      </c>
      <c r="G51" s="338">
        <f t="shared" si="27"/>
        <v>125415.3</v>
      </c>
      <c r="H51" s="338">
        <f t="shared" si="7"/>
        <v>0</v>
      </c>
    </row>
    <row r="52" spans="1:8">
      <c r="A52" s="229">
        <v>6000</v>
      </c>
      <c r="B52" s="230" t="s">
        <v>222</v>
      </c>
      <c r="C52" s="337">
        <f t="shared" ref="C52:H52" si="28">SUM(C53:C55)</f>
        <v>0</v>
      </c>
      <c r="D52" s="337">
        <f t="shared" si="28"/>
        <v>0</v>
      </c>
      <c r="E52" s="337">
        <f t="shared" si="28"/>
        <v>0</v>
      </c>
      <c r="F52" s="337">
        <f t="shared" si="28"/>
        <v>0</v>
      </c>
      <c r="G52" s="337">
        <f t="shared" si="28"/>
        <v>0</v>
      </c>
      <c r="H52" s="337">
        <f t="shared" si="28"/>
        <v>0</v>
      </c>
    </row>
    <row r="53" spans="1:8">
      <c r="A53" s="229">
        <v>6100</v>
      </c>
      <c r="B53" s="230" t="s">
        <v>267</v>
      </c>
      <c r="C53" s="338">
        <f>SUMIF(PE_COG,MID(A53,1,2)&amp;"*",PE_A)</f>
        <v>0</v>
      </c>
      <c r="D53" s="338">
        <f>SUMIF(PE_COG,MID(A53,1,2)&amp;"*",PE_M)</f>
        <v>0</v>
      </c>
      <c r="E53" s="338">
        <f t="shared" si="4"/>
        <v>0</v>
      </c>
      <c r="F53" s="338">
        <f>SUMIF(PE_COG,MID(A53,1,2)&amp;"*",PE_D)</f>
        <v>0</v>
      </c>
      <c r="G53" s="338">
        <f>SUMIF(PE_COG,MID(A53,1,2)&amp;"*",PE_P)</f>
        <v>0</v>
      </c>
      <c r="H53" s="338">
        <f t="shared" si="7"/>
        <v>0</v>
      </c>
    </row>
    <row r="54" spans="1:8">
      <c r="A54" s="229">
        <v>6200</v>
      </c>
      <c r="B54" s="230" t="s">
        <v>268</v>
      </c>
      <c r="C54" s="338">
        <f>SUMIF(PE_COG,MID(A54,1,2)&amp;"*",PE_A)</f>
        <v>0</v>
      </c>
      <c r="D54" s="338">
        <f>SUMIF(PE_COG,MID(A54,1,2)&amp;"*",PE_M)</f>
        <v>0</v>
      </c>
      <c r="E54" s="338">
        <f t="shared" si="4"/>
        <v>0</v>
      </c>
      <c r="F54" s="338">
        <f>SUMIF(PE_COG,MID(A54,1,2)&amp;"*",PE_D)</f>
        <v>0</v>
      </c>
      <c r="G54" s="338">
        <f>SUMIF(PE_COG,MID(A54,1,2)&amp;"*",PE_P)</f>
        <v>0</v>
      </c>
      <c r="H54" s="338">
        <f t="shared" si="7"/>
        <v>0</v>
      </c>
    </row>
    <row r="55" spans="1:8">
      <c r="A55" s="229">
        <v>6300</v>
      </c>
      <c r="B55" s="230" t="s">
        <v>269</v>
      </c>
      <c r="C55" s="338">
        <f>SUMIF(PE_COG,MID(A55,1,2)&amp;"*",PE_A)</f>
        <v>0</v>
      </c>
      <c r="D55" s="338">
        <f>SUMIF(PE_COG,MID(A55,1,2)&amp;"*",PE_M)</f>
        <v>0</v>
      </c>
      <c r="E55" s="338">
        <f t="shared" si="4"/>
        <v>0</v>
      </c>
      <c r="F55" s="338">
        <f>SUMIF(PE_COG,MID(A55,1,2)&amp;"*",PE_D)</f>
        <v>0</v>
      </c>
      <c r="G55" s="338">
        <f>SUMIF(PE_COG,MID(A55,1,2)&amp;"*",PE_P)</f>
        <v>0</v>
      </c>
      <c r="H55" s="338">
        <f t="shared" si="7"/>
        <v>0</v>
      </c>
    </row>
    <row r="56" spans="1:8">
      <c r="A56" s="229">
        <v>7000</v>
      </c>
      <c r="B56" s="230" t="s">
        <v>270</v>
      </c>
      <c r="C56" s="337">
        <f t="shared" ref="C56:H56" si="29">SUM(C57:C63)</f>
        <v>1937510.53</v>
      </c>
      <c r="D56" s="337">
        <f t="shared" si="29"/>
        <v>733023.78</v>
      </c>
      <c r="E56" s="337">
        <f t="shared" si="29"/>
        <v>2670534.31</v>
      </c>
      <c r="F56" s="337">
        <f t="shared" si="29"/>
        <v>0</v>
      </c>
      <c r="G56" s="337">
        <f t="shared" si="29"/>
        <v>0</v>
      </c>
      <c r="H56" s="337">
        <f t="shared" si="29"/>
        <v>2670534.31</v>
      </c>
    </row>
    <row r="57" spans="1:8">
      <c r="A57" s="229">
        <v>7100</v>
      </c>
      <c r="B57" s="230" t="s">
        <v>271</v>
      </c>
      <c r="C57" s="338">
        <f t="shared" ref="C57:C63" si="30">SUMIF(PE_COG,MID(A57,1,2)&amp;"*",PE_A)</f>
        <v>0</v>
      </c>
      <c r="D57" s="338">
        <f t="shared" ref="D57:D63" si="31">SUMIF(PE_COG,MID(A57,1,2)&amp;"*",PE_M)</f>
        <v>0</v>
      </c>
      <c r="E57" s="338">
        <f t="shared" si="4"/>
        <v>0</v>
      </c>
      <c r="F57" s="338">
        <f t="shared" ref="F57:F63" si="32">SUMIF(PE_COG,MID(A57,1,2)&amp;"*",PE_D)</f>
        <v>0</v>
      </c>
      <c r="G57" s="338">
        <f t="shared" ref="G57:G63" si="33">SUMIF(PE_COG,MID(A57,1,2)&amp;"*",PE_P)</f>
        <v>0</v>
      </c>
      <c r="H57" s="338">
        <f t="shared" si="7"/>
        <v>0</v>
      </c>
    </row>
    <row r="58" spans="1:8">
      <c r="A58" s="229">
        <v>7200</v>
      </c>
      <c r="B58" s="230" t="s">
        <v>272</v>
      </c>
      <c r="C58" s="338">
        <f t="shared" si="30"/>
        <v>0</v>
      </c>
      <c r="D58" s="338">
        <f t="shared" si="31"/>
        <v>0</v>
      </c>
      <c r="E58" s="338">
        <f t="shared" si="4"/>
        <v>0</v>
      </c>
      <c r="F58" s="338">
        <f t="shared" si="32"/>
        <v>0</v>
      </c>
      <c r="G58" s="338">
        <f t="shared" si="33"/>
        <v>0</v>
      </c>
      <c r="H58" s="338">
        <f t="shared" si="7"/>
        <v>0</v>
      </c>
    </row>
    <row r="59" spans="1:8">
      <c r="A59" s="229">
        <v>7300</v>
      </c>
      <c r="B59" s="230" t="s">
        <v>273</v>
      </c>
      <c r="C59" s="338">
        <f t="shared" si="30"/>
        <v>0</v>
      </c>
      <c r="D59" s="338">
        <f t="shared" si="31"/>
        <v>0</v>
      </c>
      <c r="E59" s="338">
        <f t="shared" si="4"/>
        <v>0</v>
      </c>
      <c r="F59" s="338">
        <f t="shared" si="32"/>
        <v>0</v>
      </c>
      <c r="G59" s="338">
        <f t="shared" si="33"/>
        <v>0</v>
      </c>
      <c r="H59" s="338">
        <f t="shared" si="7"/>
        <v>0</v>
      </c>
    </row>
    <row r="60" spans="1:8">
      <c r="A60" s="229">
        <v>7400</v>
      </c>
      <c r="B60" s="230" t="s">
        <v>274</v>
      </c>
      <c r="C60" s="338">
        <f t="shared" si="30"/>
        <v>0</v>
      </c>
      <c r="D60" s="338">
        <f t="shared" si="31"/>
        <v>0</v>
      </c>
      <c r="E60" s="338">
        <f t="shared" si="4"/>
        <v>0</v>
      </c>
      <c r="F60" s="338">
        <f t="shared" si="32"/>
        <v>0</v>
      </c>
      <c r="G60" s="338">
        <f t="shared" si="33"/>
        <v>0</v>
      </c>
      <c r="H60" s="338">
        <f t="shared" si="7"/>
        <v>0</v>
      </c>
    </row>
    <row r="61" spans="1:8">
      <c r="A61" s="229">
        <v>7500</v>
      </c>
      <c r="B61" s="230" t="s">
        <v>275</v>
      </c>
      <c r="C61" s="338">
        <f t="shared" si="30"/>
        <v>0</v>
      </c>
      <c r="D61" s="338">
        <f t="shared" si="31"/>
        <v>0</v>
      </c>
      <c r="E61" s="338">
        <f t="shared" si="4"/>
        <v>0</v>
      </c>
      <c r="F61" s="338">
        <f t="shared" si="32"/>
        <v>0</v>
      </c>
      <c r="G61" s="338">
        <f t="shared" si="33"/>
        <v>0</v>
      </c>
      <c r="H61" s="338">
        <f t="shared" si="7"/>
        <v>0</v>
      </c>
    </row>
    <row r="62" spans="1:8">
      <c r="A62" s="229">
        <v>7600</v>
      </c>
      <c r="B62" s="230" t="s">
        <v>276</v>
      </c>
      <c r="C62" s="338">
        <f t="shared" si="30"/>
        <v>0</v>
      </c>
      <c r="D62" s="338">
        <f t="shared" si="31"/>
        <v>0</v>
      </c>
      <c r="E62" s="338">
        <f t="shared" si="4"/>
        <v>0</v>
      </c>
      <c r="F62" s="338">
        <f t="shared" si="32"/>
        <v>0</v>
      </c>
      <c r="G62" s="338">
        <f t="shared" si="33"/>
        <v>0</v>
      </c>
      <c r="H62" s="338">
        <f t="shared" si="7"/>
        <v>0</v>
      </c>
    </row>
    <row r="63" spans="1:8">
      <c r="A63" s="229">
        <v>7900</v>
      </c>
      <c r="B63" s="230" t="s">
        <v>277</v>
      </c>
      <c r="C63" s="338">
        <f t="shared" si="30"/>
        <v>1937510.53</v>
      </c>
      <c r="D63" s="338">
        <f t="shared" si="31"/>
        <v>733023.78</v>
      </c>
      <c r="E63" s="338">
        <f t="shared" si="4"/>
        <v>2670534.31</v>
      </c>
      <c r="F63" s="338">
        <f t="shared" si="32"/>
        <v>0</v>
      </c>
      <c r="G63" s="338">
        <f t="shared" si="33"/>
        <v>0</v>
      </c>
      <c r="H63" s="338">
        <f t="shared" si="7"/>
        <v>2670534.31</v>
      </c>
    </row>
    <row r="64" spans="1:8">
      <c r="A64" s="229">
        <v>8000</v>
      </c>
      <c r="B64" s="230" t="s">
        <v>208</v>
      </c>
      <c r="C64" s="337">
        <f t="shared" ref="C64:H64" si="34">SUM(C65:C67)</f>
        <v>0</v>
      </c>
      <c r="D64" s="337">
        <f t="shared" si="34"/>
        <v>0</v>
      </c>
      <c r="E64" s="337">
        <f t="shared" si="34"/>
        <v>0</v>
      </c>
      <c r="F64" s="337">
        <f t="shared" si="34"/>
        <v>0</v>
      </c>
      <c r="G64" s="337">
        <f t="shared" si="34"/>
        <v>0</v>
      </c>
      <c r="H64" s="337">
        <f t="shared" si="34"/>
        <v>0</v>
      </c>
    </row>
    <row r="65" spans="1:8">
      <c r="A65" s="229">
        <v>8100</v>
      </c>
      <c r="B65" s="230" t="s">
        <v>126</v>
      </c>
      <c r="C65" s="338">
        <f>SUMIF(PE_COG,MID(A65,1,2)&amp;"*",PE_A)</f>
        <v>0</v>
      </c>
      <c r="D65" s="338">
        <f>SUMIF(PE_COG,MID(A65,1,2)&amp;"*",PE_M)</f>
        <v>0</v>
      </c>
      <c r="E65" s="338">
        <f t="shared" si="4"/>
        <v>0</v>
      </c>
      <c r="F65" s="338">
        <f>SUMIF(PE_COG,MID(A65,1,2)&amp;"*",PE_D)</f>
        <v>0</v>
      </c>
      <c r="G65" s="338">
        <f>SUMIF(PE_COG,MID(A65,1,2)&amp;"*",PE_P)</f>
        <v>0</v>
      </c>
      <c r="H65" s="338">
        <f t="shared" si="7"/>
        <v>0</v>
      </c>
    </row>
    <row r="66" spans="1:8">
      <c r="A66" s="229">
        <v>8300</v>
      </c>
      <c r="B66" s="230" t="s">
        <v>59</v>
      </c>
      <c r="C66" s="338">
        <f>SUMIF(PE_COG,MID(A66,1,2)&amp;"*",PE_A)</f>
        <v>0</v>
      </c>
      <c r="D66" s="338">
        <f>SUMIF(PE_COG,MID(A66,1,2)&amp;"*",PE_M)</f>
        <v>0</v>
      </c>
      <c r="E66" s="338">
        <f t="shared" si="4"/>
        <v>0</v>
      </c>
      <c r="F66" s="338">
        <f>SUMIF(PE_COG,MID(A66,1,2)&amp;"*",PE_D)</f>
        <v>0</v>
      </c>
      <c r="G66" s="338">
        <f>SUMIF(PE_COG,MID(A66,1,2)&amp;"*",PE_P)</f>
        <v>0</v>
      </c>
      <c r="H66" s="338">
        <f t="shared" si="7"/>
        <v>0</v>
      </c>
    </row>
    <row r="67" spans="1:8">
      <c r="A67" s="229">
        <v>8500</v>
      </c>
      <c r="B67" s="230" t="s">
        <v>127</v>
      </c>
      <c r="C67" s="338">
        <f>SUMIF(PE_COG,MID(A67,1,2)&amp;"*",PE_A)</f>
        <v>0</v>
      </c>
      <c r="D67" s="338">
        <f>SUMIF(PE_COG,MID(A67,1,2)&amp;"*",PE_M)</f>
        <v>0</v>
      </c>
      <c r="E67" s="338">
        <f t="shared" si="4"/>
        <v>0</v>
      </c>
      <c r="F67" s="338">
        <f>SUMIF(PE_COG,MID(A67,1,2)&amp;"*",PE_D)</f>
        <v>0</v>
      </c>
      <c r="G67" s="338">
        <f>SUMIF(PE_COG,MID(A67,1,2)&amp;"*",PE_P)</f>
        <v>0</v>
      </c>
      <c r="H67" s="338">
        <f t="shared" si="7"/>
        <v>0</v>
      </c>
    </row>
    <row r="68" spans="1:8">
      <c r="A68" s="229">
        <v>9000</v>
      </c>
      <c r="B68" s="230" t="s">
        <v>80</v>
      </c>
      <c r="C68" s="337">
        <f t="shared" ref="C68:H68" si="35">SUM(C69:C75)</f>
        <v>0</v>
      </c>
      <c r="D68" s="337">
        <f t="shared" si="35"/>
        <v>0</v>
      </c>
      <c r="E68" s="337">
        <f t="shared" si="35"/>
        <v>0</v>
      </c>
      <c r="F68" s="337">
        <f t="shared" si="35"/>
        <v>0</v>
      </c>
      <c r="G68" s="337">
        <f t="shared" si="35"/>
        <v>0</v>
      </c>
      <c r="H68" s="337">
        <f t="shared" si="35"/>
        <v>0</v>
      </c>
    </row>
    <row r="69" spans="1:8">
      <c r="A69" s="229">
        <v>9100</v>
      </c>
      <c r="B69" s="230" t="s">
        <v>278</v>
      </c>
      <c r="C69" s="338">
        <f t="shared" ref="C69:C75" si="36">SUMIF(PE_COG,MID(A69,1,2)&amp;"*",PE_A)</f>
        <v>0</v>
      </c>
      <c r="D69" s="338">
        <f t="shared" ref="D69:D75" si="37">SUMIF(PE_COG,MID(A69,1,2)&amp;"*",PE_M)</f>
        <v>0</v>
      </c>
      <c r="E69" s="338">
        <f t="shared" ref="E69:E75" si="38">+C69+D69</f>
        <v>0</v>
      </c>
      <c r="F69" s="338">
        <f t="shared" ref="F69:F75" si="39">SUMIF(PE_COG,MID(A69,1,2)&amp;"*",PE_D)</f>
        <v>0</v>
      </c>
      <c r="G69" s="338">
        <f t="shared" ref="G69:G75" si="40">SUMIF(PE_COG,MID(A69,1,2)&amp;"*",PE_P)</f>
        <v>0</v>
      </c>
      <c r="H69" s="338">
        <f t="shared" ref="H69:H75" si="41">+E69-F69</f>
        <v>0</v>
      </c>
    </row>
    <row r="70" spans="1:8">
      <c r="A70" s="229">
        <v>9200</v>
      </c>
      <c r="B70" s="230" t="s">
        <v>210</v>
      </c>
      <c r="C70" s="338">
        <f t="shared" si="36"/>
        <v>0</v>
      </c>
      <c r="D70" s="338">
        <f t="shared" si="37"/>
        <v>0</v>
      </c>
      <c r="E70" s="338">
        <f t="shared" si="38"/>
        <v>0</v>
      </c>
      <c r="F70" s="338">
        <f t="shared" si="39"/>
        <v>0</v>
      </c>
      <c r="G70" s="338">
        <f t="shared" si="40"/>
        <v>0</v>
      </c>
      <c r="H70" s="338">
        <f t="shared" si="41"/>
        <v>0</v>
      </c>
    </row>
    <row r="71" spans="1:8">
      <c r="A71" s="229">
        <v>9300</v>
      </c>
      <c r="B71" s="230" t="s">
        <v>211</v>
      </c>
      <c r="C71" s="338">
        <f t="shared" si="36"/>
        <v>0</v>
      </c>
      <c r="D71" s="338">
        <f t="shared" si="37"/>
        <v>0</v>
      </c>
      <c r="E71" s="338">
        <f t="shared" si="38"/>
        <v>0</v>
      </c>
      <c r="F71" s="338">
        <f t="shared" si="39"/>
        <v>0</v>
      </c>
      <c r="G71" s="338">
        <f t="shared" si="40"/>
        <v>0</v>
      </c>
      <c r="H71" s="338">
        <f t="shared" si="41"/>
        <v>0</v>
      </c>
    </row>
    <row r="72" spans="1:8">
      <c r="A72" s="229">
        <v>9400</v>
      </c>
      <c r="B72" s="230" t="s">
        <v>212</v>
      </c>
      <c r="C72" s="338">
        <f t="shared" si="36"/>
        <v>0</v>
      </c>
      <c r="D72" s="338">
        <f t="shared" si="37"/>
        <v>0</v>
      </c>
      <c r="E72" s="338">
        <f t="shared" si="38"/>
        <v>0</v>
      </c>
      <c r="F72" s="338">
        <f t="shared" si="39"/>
        <v>0</v>
      </c>
      <c r="G72" s="338">
        <f t="shared" si="40"/>
        <v>0</v>
      </c>
      <c r="H72" s="338">
        <f t="shared" si="41"/>
        <v>0</v>
      </c>
    </row>
    <row r="73" spans="1:8">
      <c r="A73" s="229">
        <v>9500</v>
      </c>
      <c r="B73" s="230" t="s">
        <v>213</v>
      </c>
      <c r="C73" s="338">
        <f t="shared" si="36"/>
        <v>0</v>
      </c>
      <c r="D73" s="338">
        <f t="shared" si="37"/>
        <v>0</v>
      </c>
      <c r="E73" s="338">
        <f t="shared" si="38"/>
        <v>0</v>
      </c>
      <c r="F73" s="338">
        <f t="shared" si="39"/>
        <v>0</v>
      </c>
      <c r="G73" s="338">
        <f t="shared" si="40"/>
        <v>0</v>
      </c>
      <c r="H73" s="338">
        <f t="shared" si="41"/>
        <v>0</v>
      </c>
    </row>
    <row r="74" spans="1:8">
      <c r="A74" s="229">
        <v>9600</v>
      </c>
      <c r="B74" s="230" t="s">
        <v>214</v>
      </c>
      <c r="C74" s="338">
        <f t="shared" si="36"/>
        <v>0</v>
      </c>
      <c r="D74" s="338">
        <f t="shared" si="37"/>
        <v>0</v>
      </c>
      <c r="E74" s="338">
        <f t="shared" si="38"/>
        <v>0</v>
      </c>
      <c r="F74" s="338">
        <f t="shared" si="39"/>
        <v>0</v>
      </c>
      <c r="G74" s="338">
        <f t="shared" si="40"/>
        <v>0</v>
      </c>
      <c r="H74" s="338">
        <f t="shared" si="41"/>
        <v>0</v>
      </c>
    </row>
    <row r="75" spans="1:8">
      <c r="A75" s="231">
        <v>9900</v>
      </c>
      <c r="B75" s="232" t="s">
        <v>279</v>
      </c>
      <c r="C75" s="339">
        <f t="shared" si="36"/>
        <v>0</v>
      </c>
      <c r="D75" s="339">
        <f t="shared" si="37"/>
        <v>0</v>
      </c>
      <c r="E75" s="339">
        <f t="shared" si="38"/>
        <v>0</v>
      </c>
      <c r="F75" s="339">
        <f t="shared" si="39"/>
        <v>0</v>
      </c>
      <c r="G75" s="339">
        <f t="shared" si="40"/>
        <v>0</v>
      </c>
      <c r="H75" s="339">
        <f t="shared" si="41"/>
        <v>0</v>
      </c>
    </row>
    <row r="76" spans="1:8">
      <c r="C76" s="100"/>
      <c r="D76" s="100"/>
      <c r="E76" s="100"/>
      <c r="F76" s="100"/>
      <c r="G76" s="100"/>
      <c r="H76" s="100"/>
    </row>
  </sheetData>
  <sheetProtection autoFilter="0"/>
  <protectedRanges>
    <protectedRange sqref="C76:H76" name="Rango1_1"/>
    <protectedRange sqref="C3:H3" name="Rango1_2_2"/>
  </protectedRanges>
  <mergeCells count="1">
    <mergeCell ref="A1:H1"/>
  </mergeCells>
  <dataValidations count="8">
    <dataValidation allowBlank="1" showInputMessage="1" showErrorMessage="1" prompt="Para el llenado de este formato se debe utilizar a nivel de Capítulo y Concepto el Clasificador por Objeto del Gasto aprobado por el CONAC."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allowBlank="1" showInputMessage="1" showErrorMessage="1" prompt="Modificado menos Devengado"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dataValidation allowBlank="1" showInputMessage="1" showErrorMessage="1" prompt="Es el momento que refleja la cancelación total o parcial de las obligaciones de pago, que se concreta mediante el desembolso de efectivo o cualquier otro medio de pago."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dataValidation allowBlank="1" showInputMessage="1" showErrorMessage="1" prompt="Es el momento que refleja la asignación presupuestaria que resulta de incorporar; en su caso, las adecuaciones presupuestarias al presupuesto aprobado."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prompt="Refleja las asignaciones presupuestarias anuales comprometidas en el Presupuesto de Egreso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Se refiere al nombre que se asigna a cada uno de los desagregados que se señala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 allowBlank="1" showInputMessage="1" showErrorMessage="1" prompt="Refleja las modificaciones realizadas al Presupuesto Aprobado"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s>
  <pageMargins left="0.7" right="0.7" top="0.75" bottom="0.75" header="0.3" footer="0.3"/>
  <ignoredErrors>
    <ignoredError sqref="C3:H76"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showGridLines="0" workbookViewId="0">
      <selection activeCell="B11" sqref="B11"/>
    </sheetView>
  </sheetViews>
  <sheetFormatPr baseColWidth="10" defaultColWidth="9.28515625" defaultRowHeight="11.25"/>
  <cols>
    <col min="1" max="1" width="7.140625" style="226" customWidth="1"/>
    <col min="2" max="2" width="56.7109375" style="226" customWidth="1"/>
    <col min="3" max="8" width="14.28515625" style="226" customWidth="1"/>
    <col min="9" max="256" width="9.28515625" style="226"/>
    <col min="257" max="257" width="7.140625" style="226" customWidth="1"/>
    <col min="258" max="258" width="56.7109375" style="226" customWidth="1"/>
    <col min="259" max="264" width="14.28515625" style="226" customWidth="1"/>
    <col min="265" max="512" width="9.28515625" style="226"/>
    <col min="513" max="513" width="7.140625" style="226" customWidth="1"/>
    <col min="514" max="514" width="56.7109375" style="226" customWidth="1"/>
    <col min="515" max="520" width="14.28515625" style="226" customWidth="1"/>
    <col min="521" max="768" width="9.28515625" style="226"/>
    <col min="769" max="769" width="7.140625" style="226" customWidth="1"/>
    <col min="770" max="770" width="56.7109375" style="226" customWidth="1"/>
    <col min="771" max="776" width="14.28515625" style="226" customWidth="1"/>
    <col min="777" max="1024" width="9.28515625" style="226"/>
    <col min="1025" max="1025" width="7.140625" style="226" customWidth="1"/>
    <col min="1026" max="1026" width="56.7109375" style="226" customWidth="1"/>
    <col min="1027" max="1032" width="14.28515625" style="226" customWidth="1"/>
    <col min="1033" max="1280" width="9.28515625" style="226"/>
    <col min="1281" max="1281" width="7.140625" style="226" customWidth="1"/>
    <col min="1282" max="1282" width="56.7109375" style="226" customWidth="1"/>
    <col min="1283" max="1288" width="14.28515625" style="226" customWidth="1"/>
    <col min="1289" max="1536" width="9.28515625" style="226"/>
    <col min="1537" max="1537" width="7.140625" style="226" customWidth="1"/>
    <col min="1538" max="1538" width="56.7109375" style="226" customWidth="1"/>
    <col min="1539" max="1544" width="14.28515625" style="226" customWidth="1"/>
    <col min="1545" max="1792" width="9.28515625" style="226"/>
    <col min="1793" max="1793" width="7.140625" style="226" customWidth="1"/>
    <col min="1794" max="1794" width="56.7109375" style="226" customWidth="1"/>
    <col min="1795" max="1800" width="14.28515625" style="226" customWidth="1"/>
    <col min="1801" max="2048" width="9.28515625" style="226"/>
    <col min="2049" max="2049" width="7.140625" style="226" customWidth="1"/>
    <col min="2050" max="2050" width="56.7109375" style="226" customWidth="1"/>
    <col min="2051" max="2056" width="14.28515625" style="226" customWidth="1"/>
    <col min="2057" max="2304" width="9.28515625" style="226"/>
    <col min="2305" max="2305" width="7.140625" style="226" customWidth="1"/>
    <col min="2306" max="2306" width="56.7109375" style="226" customWidth="1"/>
    <col min="2307" max="2312" width="14.28515625" style="226" customWidth="1"/>
    <col min="2313" max="2560" width="9.28515625" style="226"/>
    <col min="2561" max="2561" width="7.140625" style="226" customWidth="1"/>
    <col min="2562" max="2562" width="56.7109375" style="226" customWidth="1"/>
    <col min="2563" max="2568" width="14.28515625" style="226" customWidth="1"/>
    <col min="2569" max="2816" width="9.28515625" style="226"/>
    <col min="2817" max="2817" width="7.140625" style="226" customWidth="1"/>
    <col min="2818" max="2818" width="56.7109375" style="226" customWidth="1"/>
    <col min="2819" max="2824" width="14.28515625" style="226" customWidth="1"/>
    <col min="2825" max="3072" width="9.28515625" style="226"/>
    <col min="3073" max="3073" width="7.140625" style="226" customWidth="1"/>
    <col min="3074" max="3074" width="56.7109375" style="226" customWidth="1"/>
    <col min="3075" max="3080" width="14.28515625" style="226" customWidth="1"/>
    <col min="3081" max="3328" width="9.28515625" style="226"/>
    <col min="3329" max="3329" width="7.140625" style="226" customWidth="1"/>
    <col min="3330" max="3330" width="56.7109375" style="226" customWidth="1"/>
    <col min="3331" max="3336" width="14.28515625" style="226" customWidth="1"/>
    <col min="3337" max="3584" width="9.28515625" style="226"/>
    <col min="3585" max="3585" width="7.140625" style="226" customWidth="1"/>
    <col min="3586" max="3586" width="56.7109375" style="226" customWidth="1"/>
    <col min="3587" max="3592" width="14.28515625" style="226" customWidth="1"/>
    <col min="3593" max="3840" width="9.28515625" style="226"/>
    <col min="3841" max="3841" width="7.140625" style="226" customWidth="1"/>
    <col min="3842" max="3842" width="56.7109375" style="226" customWidth="1"/>
    <col min="3843" max="3848" width="14.28515625" style="226" customWidth="1"/>
    <col min="3849" max="4096" width="9.28515625" style="226"/>
    <col min="4097" max="4097" width="7.140625" style="226" customWidth="1"/>
    <col min="4098" max="4098" width="56.7109375" style="226" customWidth="1"/>
    <col min="4099" max="4104" width="14.28515625" style="226" customWidth="1"/>
    <col min="4105" max="4352" width="9.28515625" style="226"/>
    <col min="4353" max="4353" width="7.140625" style="226" customWidth="1"/>
    <col min="4354" max="4354" width="56.7109375" style="226" customWidth="1"/>
    <col min="4355" max="4360" width="14.28515625" style="226" customWidth="1"/>
    <col min="4361" max="4608" width="9.28515625" style="226"/>
    <col min="4609" max="4609" width="7.140625" style="226" customWidth="1"/>
    <col min="4610" max="4610" width="56.7109375" style="226" customWidth="1"/>
    <col min="4611" max="4616" width="14.28515625" style="226" customWidth="1"/>
    <col min="4617" max="4864" width="9.28515625" style="226"/>
    <col min="4865" max="4865" width="7.140625" style="226" customWidth="1"/>
    <col min="4866" max="4866" width="56.7109375" style="226" customWidth="1"/>
    <col min="4867" max="4872" width="14.28515625" style="226" customWidth="1"/>
    <col min="4873" max="5120" width="9.28515625" style="226"/>
    <col min="5121" max="5121" width="7.140625" style="226" customWidth="1"/>
    <col min="5122" max="5122" width="56.7109375" style="226" customWidth="1"/>
    <col min="5123" max="5128" width="14.28515625" style="226" customWidth="1"/>
    <col min="5129" max="5376" width="9.28515625" style="226"/>
    <col min="5377" max="5377" width="7.140625" style="226" customWidth="1"/>
    <col min="5378" max="5378" width="56.7109375" style="226" customWidth="1"/>
    <col min="5379" max="5384" width="14.28515625" style="226" customWidth="1"/>
    <col min="5385" max="5632" width="9.28515625" style="226"/>
    <col min="5633" max="5633" width="7.140625" style="226" customWidth="1"/>
    <col min="5634" max="5634" width="56.7109375" style="226" customWidth="1"/>
    <col min="5635" max="5640" width="14.28515625" style="226" customWidth="1"/>
    <col min="5641" max="5888" width="9.28515625" style="226"/>
    <col min="5889" max="5889" width="7.140625" style="226" customWidth="1"/>
    <col min="5890" max="5890" width="56.7109375" style="226" customWidth="1"/>
    <col min="5891" max="5896" width="14.28515625" style="226" customWidth="1"/>
    <col min="5897" max="6144" width="9.28515625" style="226"/>
    <col min="6145" max="6145" width="7.140625" style="226" customWidth="1"/>
    <col min="6146" max="6146" width="56.7109375" style="226" customWidth="1"/>
    <col min="6147" max="6152" width="14.28515625" style="226" customWidth="1"/>
    <col min="6153" max="6400" width="9.28515625" style="226"/>
    <col min="6401" max="6401" width="7.140625" style="226" customWidth="1"/>
    <col min="6402" max="6402" width="56.7109375" style="226" customWidth="1"/>
    <col min="6403" max="6408" width="14.28515625" style="226" customWidth="1"/>
    <col min="6409" max="6656" width="9.28515625" style="226"/>
    <col min="6657" max="6657" width="7.140625" style="226" customWidth="1"/>
    <col min="6658" max="6658" width="56.7109375" style="226" customWidth="1"/>
    <col min="6659" max="6664" width="14.28515625" style="226" customWidth="1"/>
    <col min="6665" max="6912" width="9.28515625" style="226"/>
    <col min="6913" max="6913" width="7.140625" style="226" customWidth="1"/>
    <col min="6914" max="6914" width="56.7109375" style="226" customWidth="1"/>
    <col min="6915" max="6920" width="14.28515625" style="226" customWidth="1"/>
    <col min="6921" max="7168" width="9.28515625" style="226"/>
    <col min="7169" max="7169" width="7.140625" style="226" customWidth="1"/>
    <col min="7170" max="7170" width="56.7109375" style="226" customWidth="1"/>
    <col min="7171" max="7176" width="14.28515625" style="226" customWidth="1"/>
    <col min="7177" max="7424" width="9.28515625" style="226"/>
    <col min="7425" max="7425" width="7.140625" style="226" customWidth="1"/>
    <col min="7426" max="7426" width="56.7109375" style="226" customWidth="1"/>
    <col min="7427" max="7432" width="14.28515625" style="226" customWidth="1"/>
    <col min="7433" max="7680" width="9.28515625" style="226"/>
    <col min="7681" max="7681" width="7.140625" style="226" customWidth="1"/>
    <col min="7682" max="7682" width="56.7109375" style="226" customWidth="1"/>
    <col min="7683" max="7688" width="14.28515625" style="226" customWidth="1"/>
    <col min="7689" max="7936" width="9.28515625" style="226"/>
    <col min="7937" max="7937" width="7.140625" style="226" customWidth="1"/>
    <col min="7938" max="7938" width="56.7109375" style="226" customWidth="1"/>
    <col min="7939" max="7944" width="14.28515625" style="226" customWidth="1"/>
    <col min="7945" max="8192" width="9.28515625" style="226"/>
    <col min="8193" max="8193" width="7.140625" style="226" customWidth="1"/>
    <col min="8194" max="8194" width="56.7109375" style="226" customWidth="1"/>
    <col min="8195" max="8200" width="14.28515625" style="226" customWidth="1"/>
    <col min="8201" max="8448" width="9.28515625" style="226"/>
    <col min="8449" max="8449" width="7.140625" style="226" customWidth="1"/>
    <col min="8450" max="8450" width="56.7109375" style="226" customWidth="1"/>
    <col min="8451" max="8456" width="14.28515625" style="226" customWidth="1"/>
    <col min="8457" max="8704" width="9.28515625" style="226"/>
    <col min="8705" max="8705" width="7.140625" style="226" customWidth="1"/>
    <col min="8706" max="8706" width="56.7109375" style="226" customWidth="1"/>
    <col min="8707" max="8712" width="14.28515625" style="226" customWidth="1"/>
    <col min="8713" max="8960" width="9.28515625" style="226"/>
    <col min="8961" max="8961" width="7.140625" style="226" customWidth="1"/>
    <col min="8962" max="8962" width="56.7109375" style="226" customWidth="1"/>
    <col min="8963" max="8968" width="14.28515625" style="226" customWidth="1"/>
    <col min="8969" max="9216" width="9.28515625" style="226"/>
    <col min="9217" max="9217" width="7.140625" style="226" customWidth="1"/>
    <col min="9218" max="9218" width="56.7109375" style="226" customWidth="1"/>
    <col min="9219" max="9224" width="14.28515625" style="226" customWidth="1"/>
    <col min="9225" max="9472" width="9.28515625" style="226"/>
    <col min="9473" max="9473" width="7.140625" style="226" customWidth="1"/>
    <col min="9474" max="9474" width="56.7109375" style="226" customWidth="1"/>
    <col min="9475" max="9480" width="14.28515625" style="226" customWidth="1"/>
    <col min="9481" max="9728" width="9.28515625" style="226"/>
    <col min="9729" max="9729" width="7.140625" style="226" customWidth="1"/>
    <col min="9730" max="9730" width="56.7109375" style="226" customWidth="1"/>
    <col min="9731" max="9736" width="14.28515625" style="226" customWidth="1"/>
    <col min="9737" max="9984" width="9.28515625" style="226"/>
    <col min="9985" max="9985" width="7.140625" style="226" customWidth="1"/>
    <col min="9986" max="9986" width="56.7109375" style="226" customWidth="1"/>
    <col min="9987" max="9992" width="14.28515625" style="226" customWidth="1"/>
    <col min="9993" max="10240" width="9.28515625" style="226"/>
    <col min="10241" max="10241" width="7.140625" style="226" customWidth="1"/>
    <col min="10242" max="10242" width="56.7109375" style="226" customWidth="1"/>
    <col min="10243" max="10248" width="14.28515625" style="226" customWidth="1"/>
    <col min="10249" max="10496" width="9.28515625" style="226"/>
    <col min="10497" max="10497" width="7.140625" style="226" customWidth="1"/>
    <col min="10498" max="10498" width="56.7109375" style="226" customWidth="1"/>
    <col min="10499" max="10504" width="14.28515625" style="226" customWidth="1"/>
    <col min="10505" max="10752" width="9.28515625" style="226"/>
    <col min="10753" max="10753" width="7.140625" style="226" customWidth="1"/>
    <col min="10754" max="10754" width="56.7109375" style="226" customWidth="1"/>
    <col min="10755" max="10760" width="14.28515625" style="226" customWidth="1"/>
    <col min="10761" max="11008" width="9.28515625" style="226"/>
    <col min="11009" max="11009" width="7.140625" style="226" customWidth="1"/>
    <col min="11010" max="11010" width="56.7109375" style="226" customWidth="1"/>
    <col min="11011" max="11016" width="14.28515625" style="226" customWidth="1"/>
    <col min="11017" max="11264" width="9.28515625" style="226"/>
    <col min="11265" max="11265" width="7.140625" style="226" customWidth="1"/>
    <col min="11266" max="11266" width="56.7109375" style="226" customWidth="1"/>
    <col min="11267" max="11272" width="14.28515625" style="226" customWidth="1"/>
    <col min="11273" max="11520" width="9.28515625" style="226"/>
    <col min="11521" max="11521" width="7.140625" style="226" customWidth="1"/>
    <col min="11522" max="11522" width="56.7109375" style="226" customWidth="1"/>
    <col min="11523" max="11528" width="14.28515625" style="226" customWidth="1"/>
    <col min="11529" max="11776" width="9.28515625" style="226"/>
    <col min="11777" max="11777" width="7.140625" style="226" customWidth="1"/>
    <col min="11778" max="11778" width="56.7109375" style="226" customWidth="1"/>
    <col min="11779" max="11784" width="14.28515625" style="226" customWidth="1"/>
    <col min="11785" max="12032" width="9.28515625" style="226"/>
    <col min="12033" max="12033" width="7.140625" style="226" customWidth="1"/>
    <col min="12034" max="12034" width="56.7109375" style="226" customWidth="1"/>
    <col min="12035" max="12040" width="14.28515625" style="226" customWidth="1"/>
    <col min="12041" max="12288" width="9.28515625" style="226"/>
    <col min="12289" max="12289" width="7.140625" style="226" customWidth="1"/>
    <col min="12290" max="12290" width="56.7109375" style="226" customWidth="1"/>
    <col min="12291" max="12296" width="14.28515625" style="226" customWidth="1"/>
    <col min="12297" max="12544" width="9.28515625" style="226"/>
    <col min="12545" max="12545" width="7.140625" style="226" customWidth="1"/>
    <col min="12546" max="12546" width="56.7109375" style="226" customWidth="1"/>
    <col min="12547" max="12552" width="14.28515625" style="226" customWidth="1"/>
    <col min="12553" max="12800" width="9.28515625" style="226"/>
    <col min="12801" max="12801" width="7.140625" style="226" customWidth="1"/>
    <col min="12802" max="12802" width="56.7109375" style="226" customWidth="1"/>
    <col min="12803" max="12808" width="14.28515625" style="226" customWidth="1"/>
    <col min="12809" max="13056" width="9.28515625" style="226"/>
    <col min="13057" max="13057" width="7.140625" style="226" customWidth="1"/>
    <col min="13058" max="13058" width="56.7109375" style="226" customWidth="1"/>
    <col min="13059" max="13064" width="14.28515625" style="226" customWidth="1"/>
    <col min="13065" max="13312" width="9.28515625" style="226"/>
    <col min="13313" max="13313" width="7.140625" style="226" customWidth="1"/>
    <col min="13314" max="13314" width="56.7109375" style="226" customWidth="1"/>
    <col min="13315" max="13320" width="14.28515625" style="226" customWidth="1"/>
    <col min="13321" max="13568" width="9.28515625" style="226"/>
    <col min="13569" max="13569" width="7.140625" style="226" customWidth="1"/>
    <col min="13570" max="13570" width="56.7109375" style="226" customWidth="1"/>
    <col min="13571" max="13576" width="14.28515625" style="226" customWidth="1"/>
    <col min="13577" max="13824" width="9.28515625" style="226"/>
    <col min="13825" max="13825" width="7.140625" style="226" customWidth="1"/>
    <col min="13826" max="13826" width="56.7109375" style="226" customWidth="1"/>
    <col min="13827" max="13832" width="14.28515625" style="226" customWidth="1"/>
    <col min="13833" max="14080" width="9.28515625" style="226"/>
    <col min="14081" max="14081" width="7.140625" style="226" customWidth="1"/>
    <col min="14082" max="14082" width="56.7109375" style="226" customWidth="1"/>
    <col min="14083" max="14088" width="14.28515625" style="226" customWidth="1"/>
    <col min="14089" max="14336" width="9.28515625" style="226"/>
    <col min="14337" max="14337" width="7.140625" style="226" customWidth="1"/>
    <col min="14338" max="14338" width="56.7109375" style="226" customWidth="1"/>
    <col min="14339" max="14344" width="14.28515625" style="226" customWidth="1"/>
    <col min="14345" max="14592" width="9.28515625" style="226"/>
    <col min="14593" max="14593" width="7.140625" style="226" customWidth="1"/>
    <col min="14594" max="14594" width="56.7109375" style="226" customWidth="1"/>
    <col min="14595" max="14600" width="14.28515625" style="226" customWidth="1"/>
    <col min="14601" max="14848" width="9.28515625" style="226"/>
    <col min="14849" max="14849" width="7.140625" style="226" customWidth="1"/>
    <col min="14850" max="14850" width="56.7109375" style="226" customWidth="1"/>
    <col min="14851" max="14856" width="14.28515625" style="226" customWidth="1"/>
    <col min="14857" max="15104" width="9.28515625" style="226"/>
    <col min="15105" max="15105" width="7.140625" style="226" customWidth="1"/>
    <col min="15106" max="15106" width="56.7109375" style="226" customWidth="1"/>
    <col min="15107" max="15112" width="14.28515625" style="226" customWidth="1"/>
    <col min="15113" max="15360" width="9.28515625" style="226"/>
    <col min="15361" max="15361" width="7.140625" style="226" customWidth="1"/>
    <col min="15362" max="15362" width="56.7109375" style="226" customWidth="1"/>
    <col min="15363" max="15368" width="14.28515625" style="226" customWidth="1"/>
    <col min="15369" max="15616" width="9.28515625" style="226"/>
    <col min="15617" max="15617" width="7.140625" style="226" customWidth="1"/>
    <col min="15618" max="15618" width="56.7109375" style="226" customWidth="1"/>
    <col min="15619" max="15624" width="14.28515625" style="226" customWidth="1"/>
    <col min="15625" max="15872" width="9.28515625" style="226"/>
    <col min="15873" max="15873" width="7.140625" style="226" customWidth="1"/>
    <col min="15874" max="15874" width="56.7109375" style="226" customWidth="1"/>
    <col min="15875" max="15880" width="14.28515625" style="226" customWidth="1"/>
    <col min="15881" max="16128" width="9.28515625" style="226"/>
    <col min="16129" max="16129" width="7.140625" style="226" customWidth="1"/>
    <col min="16130" max="16130" width="56.7109375" style="226" customWidth="1"/>
    <col min="16131" max="16136" width="14.28515625" style="226" customWidth="1"/>
    <col min="16137" max="16384" width="9.28515625" style="226"/>
  </cols>
  <sheetData>
    <row r="1" spans="1:8" ht="35.1" customHeight="1">
      <c r="A1" s="998" t="str">
        <f>+Títulos!$B$2&amp;"
ESTADO ANALÍTICO DEL EJERCICIO DEL PRESUPUESTO DE EGRESOS CLASIFICACIÓN ECONÓMICA (POR TIPO DE GASTO)
DEL 01 DE ENERO AL "&amp;Títulos!$B$3</f>
        <v>TRIBUNAL DE JUSTICIA ADMINISTRATIVA
ESTADO ANALÍTICO DEL EJERCICIO DEL PRESUPUESTO DE EGRESOS CLASIFICACIÓN ECONÓMICA (POR TIPO DE GASTO)
DEL 01 DE ENERO AL 31 DE DICIEMBRE DE 2017</v>
      </c>
      <c r="B1" s="999"/>
      <c r="C1" s="999"/>
      <c r="D1" s="999"/>
      <c r="E1" s="999"/>
      <c r="F1" s="999"/>
      <c r="G1" s="999"/>
      <c r="H1" s="1000"/>
    </row>
    <row r="2" spans="1:8" ht="24.95" customHeight="1">
      <c r="A2" s="5" t="s">
        <v>251</v>
      </c>
      <c r="B2" s="5" t="s">
        <v>71</v>
      </c>
      <c r="C2" s="7" t="s">
        <v>253</v>
      </c>
      <c r="D2" s="7" t="s">
        <v>254</v>
      </c>
      <c r="E2" s="7" t="s">
        <v>230</v>
      </c>
      <c r="F2" s="7" t="s">
        <v>231</v>
      </c>
      <c r="G2" s="7" t="s">
        <v>255</v>
      </c>
      <c r="H2" s="7" t="s">
        <v>256</v>
      </c>
    </row>
    <row r="3" spans="1:8">
      <c r="A3" s="385">
        <v>900001</v>
      </c>
      <c r="B3" s="392" t="s">
        <v>257</v>
      </c>
      <c r="C3" s="399">
        <f t="shared" ref="C3:H3" si="0">SUM(C4:C10)</f>
        <v>80405840.50999999</v>
      </c>
      <c r="D3" s="399">
        <f t="shared" si="0"/>
        <v>8457903.8100000005</v>
      </c>
      <c r="E3" s="399">
        <f t="shared" si="0"/>
        <v>88863744.319999978</v>
      </c>
      <c r="F3" s="399">
        <f t="shared" si="0"/>
        <v>86193205.110000029</v>
      </c>
      <c r="G3" s="399">
        <f t="shared" si="0"/>
        <v>84872096.26000002</v>
      </c>
      <c r="H3" s="399">
        <f t="shared" si="0"/>
        <v>2670539.2099999487</v>
      </c>
    </row>
    <row r="4" spans="1:8">
      <c r="A4" s="400">
        <v>1</v>
      </c>
      <c r="B4" s="401" t="s">
        <v>658</v>
      </c>
      <c r="C4" s="338">
        <f>SUMIF(PE_CTG,MID(A4,1,2)&amp;"*",PE_A)</f>
        <v>79363812.949999988</v>
      </c>
      <c r="D4" s="338">
        <f>SUMIF(PE_CTG,MID(A4,1,2)&amp;"*",PE_M)</f>
        <v>6782426.1299999999</v>
      </c>
      <c r="E4" s="338">
        <f>+C4+D4</f>
        <v>86146239.079999983</v>
      </c>
      <c r="F4" s="338">
        <f>SUMIF(PE_CTG,MID(A4,1,2)&amp;"*",PE_D)</f>
        <v>83475699.870000035</v>
      </c>
      <c r="G4" s="338">
        <f>SUMIF(PE_CTG,MID(A4,1,2)&amp;"*",PE_P)</f>
        <v>82154591.020000026</v>
      </c>
      <c r="H4" s="338">
        <f>+E4-F4</f>
        <v>2670539.2099999487</v>
      </c>
    </row>
    <row r="5" spans="1:8">
      <c r="A5" s="400">
        <v>2</v>
      </c>
      <c r="B5" s="401" t="s">
        <v>659</v>
      </c>
      <c r="C5" s="338">
        <f>SUMIF(PE_CTG,MID(A5,1,2)&amp;"*",PE_A)</f>
        <v>1042027.5599999999</v>
      </c>
      <c r="D5" s="338">
        <f>SUMIF(PE_CTG,MID(A5,1,2)&amp;"*",PE_M)</f>
        <v>1675477.6800000002</v>
      </c>
      <c r="E5" s="338">
        <f>+C5+D5</f>
        <v>2717505.24</v>
      </c>
      <c r="F5" s="338">
        <f>SUMIF(PE_CTG,MID(A5,1,2)&amp;"*",PE_D)</f>
        <v>2717505.24</v>
      </c>
      <c r="G5" s="338">
        <f>SUMIF(PE_CTG,MID(A5,1,2)&amp;"*",PE_P)</f>
        <v>2717505.24</v>
      </c>
      <c r="H5" s="338">
        <f>+E5-F5</f>
        <v>0</v>
      </c>
    </row>
    <row r="6" spans="1:8">
      <c r="A6" s="400">
        <v>3</v>
      </c>
      <c r="B6" s="401" t="s">
        <v>660</v>
      </c>
      <c r="C6" s="338">
        <f>SUMIF(PE_CTG,MID(A6,1,2)&amp;"*",PE_A)</f>
        <v>0</v>
      </c>
      <c r="D6" s="338">
        <f>SUMIF(PE_CTG,MID(A6,1,2)&amp;"*",PE_M)</f>
        <v>0</v>
      </c>
      <c r="E6" s="338">
        <f>+C6+D6</f>
        <v>0</v>
      </c>
      <c r="F6" s="338">
        <f>SUMIF(PE_CTG,MID(A6,1,2)&amp;"*",PE_D)</f>
        <v>0</v>
      </c>
      <c r="G6" s="338">
        <f>SUMIF(PE_CTG,MID(A6,1,2)&amp;"*",PE_P)</f>
        <v>0</v>
      </c>
      <c r="H6" s="338">
        <f>+E6-F6</f>
        <v>0</v>
      </c>
    </row>
    <row r="7" spans="1:8">
      <c r="A7" s="400">
        <v>4</v>
      </c>
      <c r="B7" s="401" t="s">
        <v>661</v>
      </c>
      <c r="C7" s="338">
        <f>SUMIF(PE_CTG,MID(A7,1,2)&amp;"*",PE_A)</f>
        <v>0</v>
      </c>
      <c r="D7" s="338">
        <f>SUMIF(PE_CTG,MID(A7,1,2)&amp;"*",PE_M)</f>
        <v>0</v>
      </c>
      <c r="E7" s="338">
        <f>+C7+D7</f>
        <v>0</v>
      </c>
      <c r="F7" s="338">
        <f>SUMIF(PE_CTG,MID(A7,1,2)&amp;"*",PE_D)</f>
        <v>0</v>
      </c>
      <c r="G7" s="338">
        <f>SUMIF(PE_CTG,MID(A7,1,2)&amp;"*",PE_P)</f>
        <v>0</v>
      </c>
      <c r="H7" s="338">
        <f>+E7-F7</f>
        <v>0</v>
      </c>
    </row>
    <row r="8" spans="1:8">
      <c r="A8" s="402">
        <v>5</v>
      </c>
      <c r="B8" s="403" t="s">
        <v>126</v>
      </c>
      <c r="C8" s="339">
        <f>SUMIF(PE_CTG,MID(A8,1,2)&amp;"*",PE_A)</f>
        <v>0</v>
      </c>
      <c r="D8" s="339">
        <f>SUMIF(PE_CTG,MID(A8,1,2)&amp;"*",PE_M)</f>
        <v>0</v>
      </c>
      <c r="E8" s="339">
        <f>+C8+D8</f>
        <v>0</v>
      </c>
      <c r="F8" s="339">
        <f>SUMIF(PE_CTG,MID(A8,1,2)&amp;"*",PE_D)</f>
        <v>0</v>
      </c>
      <c r="G8" s="339">
        <f>SUMIF(PE_CTG,MID(A8,1,2)&amp;"*",PE_P)</f>
        <v>0</v>
      </c>
      <c r="H8" s="339">
        <f>+E8-F8</f>
        <v>0</v>
      </c>
    </row>
  </sheetData>
  <sheetProtection autoFilter="0"/>
  <mergeCells count="1">
    <mergeCell ref="A1:H1"/>
  </mergeCells>
  <dataValidations count="8">
    <dataValidation allowBlank="1" showInputMessage="1" showErrorMessage="1" prompt="Para el llenado de este formato se debe utilizar la Clasificación por Tipo de Gasto aprobado por el CONAC identificando el ejercicio presupuestal de gasto corriente, gasto de capital y el de amortización de la deuda y disminución de pasivos..."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allowBlank="1" showInputMessage="1" showErrorMessage="1" prompt="Refleja las modificaciones realizadas al Presupuesto Aprobado"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 allowBlank="1" showInputMessage="1" showErrorMessage="1" prompt="Se refiere al nombre que se asigna a cada uno de los desagregados que se señala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 allowBlank="1" showInputMessage="1" showErrorMessage="1" prompt="Refleja las asignaciones presupuestarias anuales comprometidas en el Presupuesto de Egreso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Es el momento que refleja la asignación presupuestaria que resulta de incorporar; en su caso, las adecuaciones presupuestarias al presupuesto aprobado."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dataValidation allowBlank="1" showInputMessage="1" showErrorMessage="1" prompt="Es el momento que refleja la cancelación total o parcial de las obligaciones de pago, que se concreta mediante el desembolso de efectivo o cualquier otro medio de pago."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dataValidation allowBlank="1" showInputMessage="1" showErrorMessage="1" prompt="Modificado menos devengado"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dataValidations>
  <pageMargins left="0.7" right="0.7" top="0.75" bottom="0.75" header="0.3" footer="0.3"/>
  <pageSetup paperSize="9" orientation="portrait" r:id="rId1"/>
  <ignoredErrors>
    <ignoredError sqref="C3:H8"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showGridLines="0" topLeftCell="C1" workbookViewId="0">
      <selection activeCell="A3" sqref="A3:H13"/>
    </sheetView>
  </sheetViews>
  <sheetFormatPr baseColWidth="10" defaultColWidth="9.28515625" defaultRowHeight="11.25"/>
  <cols>
    <col min="1" max="1" width="8.28515625" style="241" bestFit="1" customWidth="1"/>
    <col min="2" max="2" width="56.7109375" style="241" customWidth="1"/>
    <col min="3" max="8" width="14.28515625" style="242" customWidth="1"/>
    <col min="9" max="256" width="9.28515625" style="241"/>
    <col min="257" max="257" width="7.140625" style="241" customWidth="1"/>
    <col min="258" max="258" width="56.7109375" style="241" customWidth="1"/>
    <col min="259" max="264" width="14.28515625" style="241" customWidth="1"/>
    <col min="265" max="512" width="9.28515625" style="241"/>
    <col min="513" max="513" width="7.140625" style="241" customWidth="1"/>
    <col min="514" max="514" width="56.7109375" style="241" customWidth="1"/>
    <col min="515" max="520" width="14.28515625" style="241" customWidth="1"/>
    <col min="521" max="768" width="9.28515625" style="241"/>
    <col min="769" max="769" width="7.140625" style="241" customWidth="1"/>
    <col min="770" max="770" width="56.7109375" style="241" customWidth="1"/>
    <col min="771" max="776" width="14.28515625" style="241" customWidth="1"/>
    <col min="777" max="1024" width="9.28515625" style="241"/>
    <col min="1025" max="1025" width="7.140625" style="241" customWidth="1"/>
    <col min="1026" max="1026" width="56.7109375" style="241" customWidth="1"/>
    <col min="1027" max="1032" width="14.28515625" style="241" customWidth="1"/>
    <col min="1033" max="1280" width="9.28515625" style="241"/>
    <col min="1281" max="1281" width="7.140625" style="241" customWidth="1"/>
    <col min="1282" max="1282" width="56.7109375" style="241" customWidth="1"/>
    <col min="1283" max="1288" width="14.28515625" style="241" customWidth="1"/>
    <col min="1289" max="1536" width="9.28515625" style="241"/>
    <col min="1537" max="1537" width="7.140625" style="241" customWidth="1"/>
    <col min="1538" max="1538" width="56.7109375" style="241" customWidth="1"/>
    <col min="1539" max="1544" width="14.28515625" style="241" customWidth="1"/>
    <col min="1545" max="1792" width="9.28515625" style="241"/>
    <col min="1793" max="1793" width="7.140625" style="241" customWidth="1"/>
    <col min="1794" max="1794" width="56.7109375" style="241" customWidth="1"/>
    <col min="1795" max="1800" width="14.28515625" style="241" customWidth="1"/>
    <col min="1801" max="2048" width="9.28515625" style="241"/>
    <col min="2049" max="2049" width="7.140625" style="241" customWidth="1"/>
    <col min="2050" max="2050" width="56.7109375" style="241" customWidth="1"/>
    <col min="2051" max="2056" width="14.28515625" style="241" customWidth="1"/>
    <col min="2057" max="2304" width="9.28515625" style="241"/>
    <col min="2305" max="2305" width="7.140625" style="241" customWidth="1"/>
    <col min="2306" max="2306" width="56.7109375" style="241" customWidth="1"/>
    <col min="2307" max="2312" width="14.28515625" style="241" customWidth="1"/>
    <col min="2313" max="2560" width="9.28515625" style="241"/>
    <col min="2561" max="2561" width="7.140625" style="241" customWidth="1"/>
    <col min="2562" max="2562" width="56.7109375" style="241" customWidth="1"/>
    <col min="2563" max="2568" width="14.28515625" style="241" customWidth="1"/>
    <col min="2569" max="2816" width="9.28515625" style="241"/>
    <col min="2817" max="2817" width="7.140625" style="241" customWidth="1"/>
    <col min="2818" max="2818" width="56.7109375" style="241" customWidth="1"/>
    <col min="2819" max="2824" width="14.28515625" style="241" customWidth="1"/>
    <col min="2825" max="3072" width="9.28515625" style="241"/>
    <col min="3073" max="3073" width="7.140625" style="241" customWidth="1"/>
    <col min="3074" max="3074" width="56.7109375" style="241" customWidth="1"/>
    <col min="3075" max="3080" width="14.28515625" style="241" customWidth="1"/>
    <col min="3081" max="3328" width="9.28515625" style="241"/>
    <col min="3329" max="3329" width="7.140625" style="241" customWidth="1"/>
    <col min="3330" max="3330" width="56.7109375" style="241" customWidth="1"/>
    <col min="3331" max="3336" width="14.28515625" style="241" customWidth="1"/>
    <col min="3337" max="3584" width="9.28515625" style="241"/>
    <col min="3585" max="3585" width="7.140625" style="241" customWidth="1"/>
    <col min="3586" max="3586" width="56.7109375" style="241" customWidth="1"/>
    <col min="3587" max="3592" width="14.28515625" style="241" customWidth="1"/>
    <col min="3593" max="3840" width="9.28515625" style="241"/>
    <col min="3841" max="3841" width="7.140625" style="241" customWidth="1"/>
    <col min="3842" max="3842" width="56.7109375" style="241" customWidth="1"/>
    <col min="3843" max="3848" width="14.28515625" style="241" customWidth="1"/>
    <col min="3849" max="4096" width="9.28515625" style="241"/>
    <col min="4097" max="4097" width="7.140625" style="241" customWidth="1"/>
    <col min="4098" max="4098" width="56.7109375" style="241" customWidth="1"/>
    <col min="4099" max="4104" width="14.28515625" style="241" customWidth="1"/>
    <col min="4105" max="4352" width="9.28515625" style="241"/>
    <col min="4353" max="4353" width="7.140625" style="241" customWidth="1"/>
    <col min="4354" max="4354" width="56.7109375" style="241" customWidth="1"/>
    <col min="4355" max="4360" width="14.28515625" style="241" customWidth="1"/>
    <col min="4361" max="4608" width="9.28515625" style="241"/>
    <col min="4609" max="4609" width="7.140625" style="241" customWidth="1"/>
    <col min="4610" max="4610" width="56.7109375" style="241" customWidth="1"/>
    <col min="4611" max="4616" width="14.28515625" style="241" customWidth="1"/>
    <col min="4617" max="4864" width="9.28515625" style="241"/>
    <col min="4865" max="4865" width="7.140625" style="241" customWidth="1"/>
    <col min="4866" max="4866" width="56.7109375" style="241" customWidth="1"/>
    <col min="4867" max="4872" width="14.28515625" style="241" customWidth="1"/>
    <col min="4873" max="5120" width="9.28515625" style="241"/>
    <col min="5121" max="5121" width="7.140625" style="241" customWidth="1"/>
    <col min="5122" max="5122" width="56.7109375" style="241" customWidth="1"/>
    <col min="5123" max="5128" width="14.28515625" style="241" customWidth="1"/>
    <col min="5129" max="5376" width="9.28515625" style="241"/>
    <col min="5377" max="5377" width="7.140625" style="241" customWidth="1"/>
    <col min="5378" max="5378" width="56.7109375" style="241" customWidth="1"/>
    <col min="5379" max="5384" width="14.28515625" style="241" customWidth="1"/>
    <col min="5385" max="5632" width="9.28515625" style="241"/>
    <col min="5633" max="5633" width="7.140625" style="241" customWidth="1"/>
    <col min="5634" max="5634" width="56.7109375" style="241" customWidth="1"/>
    <col min="5635" max="5640" width="14.28515625" style="241" customWidth="1"/>
    <col min="5641" max="5888" width="9.28515625" style="241"/>
    <col min="5889" max="5889" width="7.140625" style="241" customWidth="1"/>
    <col min="5890" max="5890" width="56.7109375" style="241" customWidth="1"/>
    <col min="5891" max="5896" width="14.28515625" style="241" customWidth="1"/>
    <col min="5897" max="6144" width="9.28515625" style="241"/>
    <col min="6145" max="6145" width="7.140625" style="241" customWidth="1"/>
    <col min="6146" max="6146" width="56.7109375" style="241" customWidth="1"/>
    <col min="6147" max="6152" width="14.28515625" style="241" customWidth="1"/>
    <col min="6153" max="6400" width="9.28515625" style="241"/>
    <col min="6401" max="6401" width="7.140625" style="241" customWidth="1"/>
    <col min="6402" max="6402" width="56.7109375" style="241" customWidth="1"/>
    <col min="6403" max="6408" width="14.28515625" style="241" customWidth="1"/>
    <col min="6409" max="6656" width="9.28515625" style="241"/>
    <col min="6657" max="6657" width="7.140625" style="241" customWidth="1"/>
    <col min="6658" max="6658" width="56.7109375" style="241" customWidth="1"/>
    <col min="6659" max="6664" width="14.28515625" style="241" customWidth="1"/>
    <col min="6665" max="6912" width="9.28515625" style="241"/>
    <col min="6913" max="6913" width="7.140625" style="241" customWidth="1"/>
    <col min="6914" max="6914" width="56.7109375" style="241" customWidth="1"/>
    <col min="6915" max="6920" width="14.28515625" style="241" customWidth="1"/>
    <col min="6921" max="7168" width="9.28515625" style="241"/>
    <col min="7169" max="7169" width="7.140625" style="241" customWidth="1"/>
    <col min="7170" max="7170" width="56.7109375" style="241" customWidth="1"/>
    <col min="7171" max="7176" width="14.28515625" style="241" customWidth="1"/>
    <col min="7177" max="7424" width="9.28515625" style="241"/>
    <col min="7425" max="7425" width="7.140625" style="241" customWidth="1"/>
    <col min="7426" max="7426" width="56.7109375" style="241" customWidth="1"/>
    <col min="7427" max="7432" width="14.28515625" style="241" customWidth="1"/>
    <col min="7433" max="7680" width="9.28515625" style="241"/>
    <col min="7681" max="7681" width="7.140625" style="241" customWidth="1"/>
    <col min="7682" max="7682" width="56.7109375" style="241" customWidth="1"/>
    <col min="7683" max="7688" width="14.28515625" style="241" customWidth="1"/>
    <col min="7689" max="7936" width="9.28515625" style="241"/>
    <col min="7937" max="7937" width="7.140625" style="241" customWidth="1"/>
    <col min="7938" max="7938" width="56.7109375" style="241" customWidth="1"/>
    <col min="7939" max="7944" width="14.28515625" style="241" customWidth="1"/>
    <col min="7945" max="8192" width="9.28515625" style="241"/>
    <col min="8193" max="8193" width="7.140625" style="241" customWidth="1"/>
    <col min="8194" max="8194" width="56.7109375" style="241" customWidth="1"/>
    <col min="8195" max="8200" width="14.28515625" style="241" customWidth="1"/>
    <col min="8201" max="8448" width="9.28515625" style="241"/>
    <col min="8449" max="8449" width="7.140625" style="241" customWidth="1"/>
    <col min="8450" max="8450" width="56.7109375" style="241" customWidth="1"/>
    <col min="8451" max="8456" width="14.28515625" style="241" customWidth="1"/>
    <col min="8457" max="8704" width="9.28515625" style="241"/>
    <col min="8705" max="8705" width="7.140625" style="241" customWidth="1"/>
    <col min="8706" max="8706" width="56.7109375" style="241" customWidth="1"/>
    <col min="8707" max="8712" width="14.28515625" style="241" customWidth="1"/>
    <col min="8713" max="8960" width="9.28515625" style="241"/>
    <col min="8961" max="8961" width="7.140625" style="241" customWidth="1"/>
    <col min="8962" max="8962" width="56.7109375" style="241" customWidth="1"/>
    <col min="8963" max="8968" width="14.28515625" style="241" customWidth="1"/>
    <col min="8969" max="9216" width="9.28515625" style="241"/>
    <col min="9217" max="9217" width="7.140625" style="241" customWidth="1"/>
    <col min="9218" max="9218" width="56.7109375" style="241" customWidth="1"/>
    <col min="9219" max="9224" width="14.28515625" style="241" customWidth="1"/>
    <col min="9225" max="9472" width="9.28515625" style="241"/>
    <col min="9473" max="9473" width="7.140625" style="241" customWidth="1"/>
    <col min="9474" max="9474" width="56.7109375" style="241" customWidth="1"/>
    <col min="9475" max="9480" width="14.28515625" style="241" customWidth="1"/>
    <col min="9481" max="9728" width="9.28515625" style="241"/>
    <col min="9729" max="9729" width="7.140625" style="241" customWidth="1"/>
    <col min="9730" max="9730" width="56.7109375" style="241" customWidth="1"/>
    <col min="9731" max="9736" width="14.28515625" style="241" customWidth="1"/>
    <col min="9737" max="9984" width="9.28515625" style="241"/>
    <col min="9985" max="9985" width="7.140625" style="241" customWidth="1"/>
    <col min="9986" max="9986" width="56.7109375" style="241" customWidth="1"/>
    <col min="9987" max="9992" width="14.28515625" style="241" customWidth="1"/>
    <col min="9993" max="10240" width="9.28515625" style="241"/>
    <col min="10241" max="10241" width="7.140625" style="241" customWidth="1"/>
    <col min="10242" max="10242" width="56.7109375" style="241" customWidth="1"/>
    <col min="10243" max="10248" width="14.28515625" style="241" customWidth="1"/>
    <col min="10249" max="10496" width="9.28515625" style="241"/>
    <col min="10497" max="10497" width="7.140625" style="241" customWidth="1"/>
    <col min="10498" max="10498" width="56.7109375" style="241" customWidth="1"/>
    <col min="10499" max="10504" width="14.28515625" style="241" customWidth="1"/>
    <col min="10505" max="10752" width="9.28515625" style="241"/>
    <col min="10753" max="10753" width="7.140625" style="241" customWidth="1"/>
    <col min="10754" max="10754" width="56.7109375" style="241" customWidth="1"/>
    <col min="10755" max="10760" width="14.28515625" style="241" customWidth="1"/>
    <col min="10761" max="11008" width="9.28515625" style="241"/>
    <col min="11009" max="11009" width="7.140625" style="241" customWidth="1"/>
    <col min="11010" max="11010" width="56.7109375" style="241" customWidth="1"/>
    <col min="11011" max="11016" width="14.28515625" style="241" customWidth="1"/>
    <col min="11017" max="11264" width="9.28515625" style="241"/>
    <col min="11265" max="11265" width="7.140625" style="241" customWidth="1"/>
    <col min="11266" max="11266" width="56.7109375" style="241" customWidth="1"/>
    <col min="11267" max="11272" width="14.28515625" style="241" customWidth="1"/>
    <col min="11273" max="11520" width="9.28515625" style="241"/>
    <col min="11521" max="11521" width="7.140625" style="241" customWidth="1"/>
    <col min="11522" max="11522" width="56.7109375" style="241" customWidth="1"/>
    <col min="11523" max="11528" width="14.28515625" style="241" customWidth="1"/>
    <col min="11529" max="11776" width="9.28515625" style="241"/>
    <col min="11777" max="11777" width="7.140625" style="241" customWidth="1"/>
    <col min="11778" max="11778" width="56.7109375" style="241" customWidth="1"/>
    <col min="11779" max="11784" width="14.28515625" style="241" customWidth="1"/>
    <col min="11785" max="12032" width="9.28515625" style="241"/>
    <col min="12033" max="12033" width="7.140625" style="241" customWidth="1"/>
    <col min="12034" max="12034" width="56.7109375" style="241" customWidth="1"/>
    <col min="12035" max="12040" width="14.28515625" style="241" customWidth="1"/>
    <col min="12041" max="12288" width="9.28515625" style="241"/>
    <col min="12289" max="12289" width="7.140625" style="241" customWidth="1"/>
    <col min="12290" max="12290" width="56.7109375" style="241" customWidth="1"/>
    <col min="12291" max="12296" width="14.28515625" style="241" customWidth="1"/>
    <col min="12297" max="12544" width="9.28515625" style="241"/>
    <col min="12545" max="12545" width="7.140625" style="241" customWidth="1"/>
    <col min="12546" max="12546" width="56.7109375" style="241" customWidth="1"/>
    <col min="12547" max="12552" width="14.28515625" style="241" customWidth="1"/>
    <col min="12553" max="12800" width="9.28515625" style="241"/>
    <col min="12801" max="12801" width="7.140625" style="241" customWidth="1"/>
    <col min="12802" max="12802" width="56.7109375" style="241" customWidth="1"/>
    <col min="12803" max="12808" width="14.28515625" style="241" customWidth="1"/>
    <col min="12809" max="13056" width="9.28515625" style="241"/>
    <col min="13057" max="13057" width="7.140625" style="241" customWidth="1"/>
    <col min="13058" max="13058" width="56.7109375" style="241" customWidth="1"/>
    <col min="13059" max="13064" width="14.28515625" style="241" customWidth="1"/>
    <col min="13065" max="13312" width="9.28515625" style="241"/>
    <col min="13313" max="13313" width="7.140625" style="241" customWidth="1"/>
    <col min="13314" max="13314" width="56.7109375" style="241" customWidth="1"/>
    <col min="13315" max="13320" width="14.28515625" style="241" customWidth="1"/>
    <col min="13321" max="13568" width="9.28515625" style="241"/>
    <col min="13569" max="13569" width="7.140625" style="241" customWidth="1"/>
    <col min="13570" max="13570" width="56.7109375" style="241" customWidth="1"/>
    <col min="13571" max="13576" width="14.28515625" style="241" customWidth="1"/>
    <col min="13577" max="13824" width="9.28515625" style="241"/>
    <col min="13825" max="13825" width="7.140625" style="241" customWidth="1"/>
    <col min="13826" max="13826" width="56.7109375" style="241" customWidth="1"/>
    <col min="13827" max="13832" width="14.28515625" style="241" customWidth="1"/>
    <col min="13833" max="14080" width="9.28515625" style="241"/>
    <col min="14081" max="14081" width="7.140625" style="241" customWidth="1"/>
    <col min="14082" max="14082" width="56.7109375" style="241" customWidth="1"/>
    <col min="14083" max="14088" width="14.28515625" style="241" customWidth="1"/>
    <col min="14089" max="14336" width="9.28515625" style="241"/>
    <col min="14337" max="14337" width="7.140625" style="241" customWidth="1"/>
    <col min="14338" max="14338" width="56.7109375" style="241" customWidth="1"/>
    <col min="14339" max="14344" width="14.28515625" style="241" customWidth="1"/>
    <col min="14345" max="14592" width="9.28515625" style="241"/>
    <col min="14593" max="14593" width="7.140625" style="241" customWidth="1"/>
    <col min="14594" max="14594" width="56.7109375" style="241" customWidth="1"/>
    <col min="14595" max="14600" width="14.28515625" style="241" customWidth="1"/>
    <col min="14601" max="14848" width="9.28515625" style="241"/>
    <col min="14849" max="14849" width="7.140625" style="241" customWidth="1"/>
    <col min="14850" max="14850" width="56.7109375" style="241" customWidth="1"/>
    <col min="14851" max="14856" width="14.28515625" style="241" customWidth="1"/>
    <col min="14857" max="15104" width="9.28515625" style="241"/>
    <col min="15105" max="15105" width="7.140625" style="241" customWidth="1"/>
    <col min="15106" max="15106" width="56.7109375" style="241" customWidth="1"/>
    <col min="15107" max="15112" width="14.28515625" style="241" customWidth="1"/>
    <col min="15113" max="15360" width="9.28515625" style="241"/>
    <col min="15361" max="15361" width="7.140625" style="241" customWidth="1"/>
    <col min="15362" max="15362" width="56.7109375" style="241" customWidth="1"/>
    <col min="15363" max="15368" width="14.28515625" style="241" customWidth="1"/>
    <col min="15369" max="15616" width="9.28515625" style="241"/>
    <col min="15617" max="15617" width="7.140625" style="241" customWidth="1"/>
    <col min="15618" max="15618" width="56.7109375" style="241" customWidth="1"/>
    <col min="15619" max="15624" width="14.28515625" style="241" customWidth="1"/>
    <col min="15625" max="15872" width="9.28515625" style="241"/>
    <col min="15873" max="15873" width="7.140625" style="241" customWidth="1"/>
    <col min="15874" max="15874" width="56.7109375" style="241" customWidth="1"/>
    <col min="15875" max="15880" width="14.28515625" style="241" customWidth="1"/>
    <col min="15881" max="16128" width="9.28515625" style="241"/>
    <col min="16129" max="16129" width="7.140625" style="241" customWidth="1"/>
    <col min="16130" max="16130" width="56.7109375" style="241" customWidth="1"/>
    <col min="16131" max="16136" width="14.28515625" style="241" customWidth="1"/>
    <col min="16137" max="16384" width="9.28515625" style="241"/>
  </cols>
  <sheetData>
    <row r="1" spans="1:8" ht="35.1" customHeight="1">
      <c r="A1" s="998" t="str">
        <f>+Títulos!$B$2&amp;"
ESTADO ANALÍTICO DEL EJERCICIO DEL PRESUPUESTO DE EGRESOS CLASIFICACIÓN ADMINISTRATIVA
DEL 01 DE ENERO AL "&amp;Títulos!$B$3</f>
        <v>TRIBUNAL DE JUSTICIA ADMINISTRATIVA
ESTADO ANALÍTICO DEL EJERCICIO DEL PRESUPUESTO DE EGRESOS CLASIFICACIÓN ADMINISTRATIVA
DEL 01 DE ENERO AL 31 DE DICIEMBRE DE 2017</v>
      </c>
      <c r="B1" s="999"/>
      <c r="C1" s="999"/>
      <c r="D1" s="999"/>
      <c r="E1" s="999"/>
      <c r="F1" s="999"/>
      <c r="G1" s="999"/>
      <c r="H1" s="1000"/>
    </row>
    <row r="2" spans="1:8" ht="24.95" customHeight="1">
      <c r="A2" s="6" t="s">
        <v>655</v>
      </c>
      <c r="B2" s="5" t="s">
        <v>71</v>
      </c>
      <c r="C2" s="7" t="s">
        <v>253</v>
      </c>
      <c r="D2" s="7" t="s">
        <v>254</v>
      </c>
      <c r="E2" s="7" t="s">
        <v>230</v>
      </c>
      <c r="F2" s="7" t="s">
        <v>231</v>
      </c>
      <c r="G2" s="7" t="s">
        <v>255</v>
      </c>
      <c r="H2" s="7" t="s">
        <v>256</v>
      </c>
    </row>
    <row r="3" spans="1:8">
      <c r="A3" s="385">
        <v>900001</v>
      </c>
      <c r="B3" s="392" t="s">
        <v>257</v>
      </c>
      <c r="C3" s="393">
        <f>+C4</f>
        <v>80405840.50999999</v>
      </c>
      <c r="D3" s="393">
        <f t="shared" ref="D3:H7" si="0">+D4</f>
        <v>8457903.8100000024</v>
      </c>
      <c r="E3" s="393">
        <f t="shared" si="0"/>
        <v>88863744.319999993</v>
      </c>
      <c r="F3" s="393">
        <f t="shared" si="0"/>
        <v>86193205.109999999</v>
      </c>
      <c r="G3" s="393">
        <f t="shared" si="0"/>
        <v>84872096.260000005</v>
      </c>
      <c r="H3" s="393">
        <f t="shared" si="0"/>
        <v>2670539.2099999934</v>
      </c>
    </row>
    <row r="4" spans="1:8">
      <c r="A4" s="404" t="s">
        <v>754</v>
      </c>
      <c r="B4" s="404" t="s">
        <v>759</v>
      </c>
      <c r="C4" s="405">
        <f>+C5</f>
        <v>80405840.50999999</v>
      </c>
      <c r="D4" s="405">
        <f t="shared" si="0"/>
        <v>8457903.8100000024</v>
      </c>
      <c r="E4" s="405">
        <f t="shared" si="0"/>
        <v>88863744.319999993</v>
      </c>
      <c r="F4" s="405">
        <f t="shared" si="0"/>
        <v>86193205.109999999</v>
      </c>
      <c r="G4" s="405">
        <f t="shared" si="0"/>
        <v>84872096.260000005</v>
      </c>
      <c r="H4" s="405">
        <f t="shared" si="0"/>
        <v>2670539.2099999934</v>
      </c>
    </row>
    <row r="5" spans="1:8">
      <c r="A5" s="404" t="s">
        <v>756</v>
      </c>
      <c r="B5" s="404" t="s">
        <v>758</v>
      </c>
      <c r="C5" s="405">
        <f>+C6</f>
        <v>80405840.50999999</v>
      </c>
      <c r="D5" s="405">
        <f t="shared" si="0"/>
        <v>8457903.8100000024</v>
      </c>
      <c r="E5" s="405">
        <f t="shared" si="0"/>
        <v>88863744.319999993</v>
      </c>
      <c r="F5" s="405">
        <f t="shared" si="0"/>
        <v>86193205.109999999</v>
      </c>
      <c r="G5" s="405">
        <f t="shared" si="0"/>
        <v>84872096.260000005</v>
      </c>
      <c r="H5" s="405">
        <f t="shared" si="0"/>
        <v>2670539.2099999934</v>
      </c>
    </row>
    <row r="6" spans="1:8">
      <c r="A6" s="404" t="s">
        <v>757</v>
      </c>
      <c r="B6" s="404" t="s">
        <v>760</v>
      </c>
      <c r="C6" s="405">
        <f>+C7</f>
        <v>80405840.50999999</v>
      </c>
      <c r="D6" s="405">
        <f t="shared" si="0"/>
        <v>8457903.8100000024</v>
      </c>
      <c r="E6" s="405">
        <f t="shared" si="0"/>
        <v>88863744.319999993</v>
      </c>
      <c r="F6" s="405">
        <f t="shared" si="0"/>
        <v>86193205.109999999</v>
      </c>
      <c r="G6" s="405">
        <f t="shared" si="0"/>
        <v>84872096.260000005</v>
      </c>
      <c r="H6" s="405">
        <f t="shared" si="0"/>
        <v>2670539.2099999934</v>
      </c>
    </row>
    <row r="7" spans="1:8">
      <c r="A7" s="404" t="s">
        <v>753</v>
      </c>
      <c r="B7" s="404" t="s">
        <v>761</v>
      </c>
      <c r="C7" s="405">
        <f>+C8</f>
        <v>80405840.50999999</v>
      </c>
      <c r="D7" s="405">
        <f t="shared" si="0"/>
        <v>8457903.8100000024</v>
      </c>
      <c r="E7" s="405">
        <f t="shared" si="0"/>
        <v>88863744.319999993</v>
      </c>
      <c r="F7" s="405">
        <f t="shared" si="0"/>
        <v>86193205.109999999</v>
      </c>
      <c r="G7" s="405">
        <f t="shared" si="0"/>
        <v>84872096.260000005</v>
      </c>
      <c r="H7" s="405">
        <f t="shared" si="0"/>
        <v>2670539.2099999934</v>
      </c>
    </row>
    <row r="8" spans="1:8">
      <c r="A8" s="462">
        <v>21115</v>
      </c>
      <c r="B8" s="404" t="s">
        <v>2287</v>
      </c>
      <c r="C8" s="405">
        <f>SUM(C9:C14)</f>
        <v>80405840.50999999</v>
      </c>
      <c r="D8" s="405">
        <f t="shared" ref="D8:H8" si="1">SUM(D9:D14)</f>
        <v>8457903.8100000024</v>
      </c>
      <c r="E8" s="405">
        <f t="shared" si="1"/>
        <v>88863744.319999993</v>
      </c>
      <c r="F8" s="405">
        <f t="shared" si="1"/>
        <v>86193205.109999999</v>
      </c>
      <c r="G8" s="405">
        <f t="shared" si="1"/>
        <v>84872096.260000005</v>
      </c>
      <c r="H8" s="405">
        <f t="shared" si="1"/>
        <v>2670539.2099999934</v>
      </c>
    </row>
    <row r="9" spans="1:8">
      <c r="A9" s="404" t="s">
        <v>2270</v>
      </c>
      <c r="B9" s="404" t="s">
        <v>2288</v>
      </c>
      <c r="C9" s="338">
        <f>SUMIF(PE_CA,MID(A9,1,10)&amp;"*",PE_A)</f>
        <v>49888057.919999994</v>
      </c>
      <c r="D9" s="338">
        <f>SUMIF(PE_CA,MID(A9,1,10)&amp;"*",PE_M)</f>
        <v>5782459.6500000013</v>
      </c>
      <c r="E9" s="338">
        <f>+C9+D9</f>
        <v>55670517.569999993</v>
      </c>
      <c r="F9" s="338">
        <f>SUMIF(PE_CA,MID(A9,1,10)&amp;"*",PE_D)</f>
        <v>55670517.57</v>
      </c>
      <c r="G9" s="338">
        <f>SUMIF(PE_CA,MID(A9,1,10)&amp;"*",PE_P)</f>
        <v>55669467.57</v>
      </c>
      <c r="H9" s="338">
        <f>+E9-F9</f>
        <v>0</v>
      </c>
    </row>
    <row r="10" spans="1:8">
      <c r="A10" s="404" t="s">
        <v>2189</v>
      </c>
      <c r="B10" s="404" t="s">
        <v>2289</v>
      </c>
      <c r="C10" s="338">
        <f>SUMIF(PE_CA,MID(A10,1,10)&amp;"*",PE_A)</f>
        <v>17395331.420000002</v>
      </c>
      <c r="D10" s="338">
        <f>SUMIF(PE_CA,MID(A10,1,10)&amp;"*",PE_M)</f>
        <v>2784672.7800000003</v>
      </c>
      <c r="E10" s="338">
        <f t="shared" ref="E10:E13" si="2">+C10+D10</f>
        <v>20180004.200000003</v>
      </c>
      <c r="F10" s="338">
        <f>SUMIF(PE_CA,MID(A10,1,10)&amp;"*",PE_D)</f>
        <v>17509464.99000001</v>
      </c>
      <c r="G10" s="338">
        <f>SUMIF(PE_CA,MID(A10,1,10)&amp;"*",PE_P)</f>
        <v>16189406.140000002</v>
      </c>
      <c r="H10" s="338">
        <f t="shared" ref="H10:H13" si="3">+E10-F10</f>
        <v>2670539.2099999934</v>
      </c>
    </row>
    <row r="11" spans="1:8">
      <c r="A11" s="404" t="s">
        <v>2276</v>
      </c>
      <c r="B11" s="404" t="s">
        <v>2290</v>
      </c>
      <c r="C11" s="338">
        <f>SUMIF(PE_CA,MID(A11,1,10)&amp;"*",PE_A)</f>
        <v>8213662.959999999</v>
      </c>
      <c r="D11" s="338">
        <f>SUMIF(PE_CA,MID(A11,1,10)&amp;"*",PE_M)</f>
        <v>-310264.88</v>
      </c>
      <c r="E11" s="338">
        <f t="shared" si="2"/>
        <v>7903398.0799999991</v>
      </c>
      <c r="F11" s="338">
        <f>SUMIF(PE_CA,MID(A11,1,10)&amp;"*",PE_D)</f>
        <v>7903398.080000001</v>
      </c>
      <c r="G11" s="338">
        <f>SUMIF(PE_CA,MID(A11,1,10)&amp;"*",PE_P)</f>
        <v>7903398.080000001</v>
      </c>
      <c r="H11" s="338">
        <f t="shared" si="3"/>
        <v>0</v>
      </c>
    </row>
    <row r="12" spans="1:8">
      <c r="A12" s="404" t="s">
        <v>2266</v>
      </c>
      <c r="B12" s="404" t="s">
        <v>2291</v>
      </c>
      <c r="C12" s="338">
        <f>SUMIF(PE_CA,MID(A12,1,10)&amp;"*",PE_A)</f>
        <v>3308984.8499999996</v>
      </c>
      <c r="D12" s="338">
        <f>SUMIF(PE_CA,MID(A12,1,10)&amp;"*",PE_M)</f>
        <v>400554.9200000001</v>
      </c>
      <c r="E12" s="338">
        <f t="shared" si="2"/>
        <v>3709539.7699999996</v>
      </c>
      <c r="F12" s="338">
        <f>SUMIF(PE_CA,MID(A12,1,10)&amp;"*",PE_D)</f>
        <v>3709539.77</v>
      </c>
      <c r="G12" s="338">
        <f>SUMIF(PE_CA,MID(A12,1,10)&amp;"*",PE_P)</f>
        <v>3709539.77</v>
      </c>
      <c r="H12" s="338">
        <f t="shared" si="3"/>
        <v>0</v>
      </c>
    </row>
    <row r="13" spans="1:8">
      <c r="A13" s="404" t="s">
        <v>2268</v>
      </c>
      <c r="B13" s="404" t="s">
        <v>2292</v>
      </c>
      <c r="C13" s="338">
        <f>SUMIF(PE_CA,MID(A13,1,10)&amp;"*",PE_A)</f>
        <v>1599803.36</v>
      </c>
      <c r="D13" s="338">
        <f>SUMIF(PE_CA,MID(A13,1,10)&amp;"*",PE_M)</f>
        <v>-199518.66</v>
      </c>
      <c r="E13" s="338">
        <f t="shared" si="2"/>
        <v>1400284.7000000002</v>
      </c>
      <c r="F13" s="338">
        <f>SUMIF(PE_CA,MID(A13,1,10)&amp;"*",PE_D)</f>
        <v>1400284.7000000002</v>
      </c>
      <c r="G13" s="338">
        <f>SUMIF(PE_CA,MID(A13,1,10)&amp;"*",PE_P)</f>
        <v>1400284.7000000002</v>
      </c>
      <c r="H13" s="338">
        <f t="shared" si="3"/>
        <v>0</v>
      </c>
    </row>
    <row r="14" spans="1:8">
      <c r="A14" s="406"/>
      <c r="B14" s="406"/>
      <c r="C14" s="407"/>
      <c r="D14" s="407"/>
      <c r="E14" s="407"/>
      <c r="F14" s="407"/>
      <c r="G14" s="407"/>
      <c r="H14" s="407"/>
    </row>
  </sheetData>
  <sheetProtection insertRows="0" deleteRows="0" autoFilter="0"/>
  <mergeCells count="1">
    <mergeCell ref="A1:H1"/>
  </mergeCells>
  <dataValidations count="8">
    <dataValidation allowBlank="1" showInputMessage="1" showErrorMessage="1" prompt="Modificado menos devengado"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dataValidation allowBlank="1" showInputMessage="1" showErrorMessage="1" prompt="Refleja las modificaciones realizadas al Presupuesto Aprobado"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 allowBlank="1" showInputMessage="1" showErrorMessage="1" prompt="De acuerdo a la Clasificación Administrativa, publicada en el DOF del 7 de julio de 2011.  Además incluir la UR, separado por guion (CA - UR)."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allowBlank="1" showInputMessage="1" showErrorMessage="1" prompt="Se refiere al nombre que se asigna a cada uno de los desagregados que se señala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 allowBlank="1" showInputMessage="1" showErrorMessage="1" prompt="Refleja las asignaciones presupuestarias anuales comprometidas en el Presupuesto de Egreso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Es el momento que refleja la asignación presupuestaria que resulta de incorporar; en su caso, las adecuaciones presupuestarias al presupuesto aprobado."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dataValidation allowBlank="1" showInputMessage="1" showErrorMessage="1" prompt="Es el momento que refleja la cancelación total o parcial de las obligaciones de pago, que se concreta mediante el desembolso de efectivo o cualquier otro medio de pago."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tabSelected="1" workbookViewId="0">
      <selection activeCell="A23" sqref="A23"/>
    </sheetView>
  </sheetViews>
  <sheetFormatPr baseColWidth="10" defaultColWidth="9.28515625" defaultRowHeight="11.25"/>
  <cols>
    <col min="1" max="1" width="4.5703125" style="226" customWidth="1"/>
    <col min="2" max="2" width="63.85546875" style="226" customWidth="1"/>
    <col min="3" max="8" width="14.28515625" style="226" customWidth="1"/>
    <col min="9" max="256" width="9.28515625" style="226"/>
    <col min="257" max="257" width="4.5703125" style="226" customWidth="1"/>
    <col min="258" max="258" width="56.7109375" style="226" customWidth="1"/>
    <col min="259" max="264" width="14.28515625" style="226" customWidth="1"/>
    <col min="265" max="512" width="9.28515625" style="226"/>
    <col min="513" max="513" width="4.5703125" style="226" customWidth="1"/>
    <col min="514" max="514" width="56.7109375" style="226" customWidth="1"/>
    <col min="515" max="520" width="14.28515625" style="226" customWidth="1"/>
    <col min="521" max="768" width="9.28515625" style="226"/>
    <col min="769" max="769" width="4.5703125" style="226" customWidth="1"/>
    <col min="770" max="770" width="56.7109375" style="226" customWidth="1"/>
    <col min="771" max="776" width="14.28515625" style="226" customWidth="1"/>
    <col min="777" max="1024" width="9.28515625" style="226"/>
    <col min="1025" max="1025" width="4.5703125" style="226" customWidth="1"/>
    <col min="1026" max="1026" width="56.7109375" style="226" customWidth="1"/>
    <col min="1027" max="1032" width="14.28515625" style="226" customWidth="1"/>
    <col min="1033" max="1280" width="9.28515625" style="226"/>
    <col min="1281" max="1281" width="4.5703125" style="226" customWidth="1"/>
    <col min="1282" max="1282" width="56.7109375" style="226" customWidth="1"/>
    <col min="1283" max="1288" width="14.28515625" style="226" customWidth="1"/>
    <col min="1289" max="1536" width="9.28515625" style="226"/>
    <col min="1537" max="1537" width="4.5703125" style="226" customWidth="1"/>
    <col min="1538" max="1538" width="56.7109375" style="226" customWidth="1"/>
    <col min="1539" max="1544" width="14.28515625" style="226" customWidth="1"/>
    <col min="1545" max="1792" width="9.28515625" style="226"/>
    <col min="1793" max="1793" width="4.5703125" style="226" customWidth="1"/>
    <col min="1794" max="1794" width="56.7109375" style="226" customWidth="1"/>
    <col min="1795" max="1800" width="14.28515625" style="226" customWidth="1"/>
    <col min="1801" max="2048" width="9.28515625" style="226"/>
    <col min="2049" max="2049" width="4.5703125" style="226" customWidth="1"/>
    <col min="2050" max="2050" width="56.7109375" style="226" customWidth="1"/>
    <col min="2051" max="2056" width="14.28515625" style="226" customWidth="1"/>
    <col min="2057" max="2304" width="9.28515625" style="226"/>
    <col min="2305" max="2305" width="4.5703125" style="226" customWidth="1"/>
    <col min="2306" max="2306" width="56.7109375" style="226" customWidth="1"/>
    <col min="2307" max="2312" width="14.28515625" style="226" customWidth="1"/>
    <col min="2313" max="2560" width="9.28515625" style="226"/>
    <col min="2561" max="2561" width="4.5703125" style="226" customWidth="1"/>
    <col min="2562" max="2562" width="56.7109375" style="226" customWidth="1"/>
    <col min="2563" max="2568" width="14.28515625" style="226" customWidth="1"/>
    <col min="2569" max="2816" width="9.28515625" style="226"/>
    <col min="2817" max="2817" width="4.5703125" style="226" customWidth="1"/>
    <col min="2818" max="2818" width="56.7109375" style="226" customWidth="1"/>
    <col min="2819" max="2824" width="14.28515625" style="226" customWidth="1"/>
    <col min="2825" max="3072" width="9.28515625" style="226"/>
    <col min="3073" max="3073" width="4.5703125" style="226" customWidth="1"/>
    <col min="3074" max="3074" width="56.7109375" style="226" customWidth="1"/>
    <col min="3075" max="3080" width="14.28515625" style="226" customWidth="1"/>
    <col min="3081" max="3328" width="9.28515625" style="226"/>
    <col min="3329" max="3329" width="4.5703125" style="226" customWidth="1"/>
    <col min="3330" max="3330" width="56.7109375" style="226" customWidth="1"/>
    <col min="3331" max="3336" width="14.28515625" style="226" customWidth="1"/>
    <col min="3337" max="3584" width="9.28515625" style="226"/>
    <col min="3585" max="3585" width="4.5703125" style="226" customWidth="1"/>
    <col min="3586" max="3586" width="56.7109375" style="226" customWidth="1"/>
    <col min="3587" max="3592" width="14.28515625" style="226" customWidth="1"/>
    <col min="3593" max="3840" width="9.28515625" style="226"/>
    <col min="3841" max="3841" width="4.5703125" style="226" customWidth="1"/>
    <col min="3842" max="3842" width="56.7109375" style="226" customWidth="1"/>
    <col min="3843" max="3848" width="14.28515625" style="226" customWidth="1"/>
    <col min="3849" max="4096" width="9.28515625" style="226"/>
    <col min="4097" max="4097" width="4.5703125" style="226" customWidth="1"/>
    <col min="4098" max="4098" width="56.7109375" style="226" customWidth="1"/>
    <col min="4099" max="4104" width="14.28515625" style="226" customWidth="1"/>
    <col min="4105" max="4352" width="9.28515625" style="226"/>
    <col min="4353" max="4353" width="4.5703125" style="226" customWidth="1"/>
    <col min="4354" max="4354" width="56.7109375" style="226" customWidth="1"/>
    <col min="4355" max="4360" width="14.28515625" style="226" customWidth="1"/>
    <col min="4361" max="4608" width="9.28515625" style="226"/>
    <col min="4609" max="4609" width="4.5703125" style="226" customWidth="1"/>
    <col min="4610" max="4610" width="56.7109375" style="226" customWidth="1"/>
    <col min="4611" max="4616" width="14.28515625" style="226" customWidth="1"/>
    <col min="4617" max="4864" width="9.28515625" style="226"/>
    <col min="4865" max="4865" width="4.5703125" style="226" customWidth="1"/>
    <col min="4866" max="4866" width="56.7109375" style="226" customWidth="1"/>
    <col min="4867" max="4872" width="14.28515625" style="226" customWidth="1"/>
    <col min="4873" max="5120" width="9.28515625" style="226"/>
    <col min="5121" max="5121" width="4.5703125" style="226" customWidth="1"/>
    <col min="5122" max="5122" width="56.7109375" style="226" customWidth="1"/>
    <col min="5123" max="5128" width="14.28515625" style="226" customWidth="1"/>
    <col min="5129" max="5376" width="9.28515625" style="226"/>
    <col min="5377" max="5377" width="4.5703125" style="226" customWidth="1"/>
    <col min="5378" max="5378" width="56.7109375" style="226" customWidth="1"/>
    <col min="5379" max="5384" width="14.28515625" style="226" customWidth="1"/>
    <col min="5385" max="5632" width="9.28515625" style="226"/>
    <col min="5633" max="5633" width="4.5703125" style="226" customWidth="1"/>
    <col min="5634" max="5634" width="56.7109375" style="226" customWidth="1"/>
    <col min="5635" max="5640" width="14.28515625" style="226" customWidth="1"/>
    <col min="5641" max="5888" width="9.28515625" style="226"/>
    <col min="5889" max="5889" width="4.5703125" style="226" customWidth="1"/>
    <col min="5890" max="5890" width="56.7109375" style="226" customWidth="1"/>
    <col min="5891" max="5896" width="14.28515625" style="226" customWidth="1"/>
    <col min="5897" max="6144" width="9.28515625" style="226"/>
    <col min="6145" max="6145" width="4.5703125" style="226" customWidth="1"/>
    <col min="6146" max="6146" width="56.7109375" style="226" customWidth="1"/>
    <col min="6147" max="6152" width="14.28515625" style="226" customWidth="1"/>
    <col min="6153" max="6400" width="9.28515625" style="226"/>
    <col min="6401" max="6401" width="4.5703125" style="226" customWidth="1"/>
    <col min="6402" max="6402" width="56.7109375" style="226" customWidth="1"/>
    <col min="6403" max="6408" width="14.28515625" style="226" customWidth="1"/>
    <col min="6409" max="6656" width="9.28515625" style="226"/>
    <col min="6657" max="6657" width="4.5703125" style="226" customWidth="1"/>
    <col min="6658" max="6658" width="56.7109375" style="226" customWidth="1"/>
    <col min="6659" max="6664" width="14.28515625" style="226" customWidth="1"/>
    <col min="6665" max="6912" width="9.28515625" style="226"/>
    <col min="6913" max="6913" width="4.5703125" style="226" customWidth="1"/>
    <col min="6914" max="6914" width="56.7109375" style="226" customWidth="1"/>
    <col min="6915" max="6920" width="14.28515625" style="226" customWidth="1"/>
    <col min="6921" max="7168" width="9.28515625" style="226"/>
    <col min="7169" max="7169" width="4.5703125" style="226" customWidth="1"/>
    <col min="7170" max="7170" width="56.7109375" style="226" customWidth="1"/>
    <col min="7171" max="7176" width="14.28515625" style="226" customWidth="1"/>
    <col min="7177" max="7424" width="9.28515625" style="226"/>
    <col min="7425" max="7425" width="4.5703125" style="226" customWidth="1"/>
    <col min="7426" max="7426" width="56.7109375" style="226" customWidth="1"/>
    <col min="7427" max="7432" width="14.28515625" style="226" customWidth="1"/>
    <col min="7433" max="7680" width="9.28515625" style="226"/>
    <col min="7681" max="7681" width="4.5703125" style="226" customWidth="1"/>
    <col min="7682" max="7682" width="56.7109375" style="226" customWidth="1"/>
    <col min="7683" max="7688" width="14.28515625" style="226" customWidth="1"/>
    <col min="7689" max="7936" width="9.28515625" style="226"/>
    <col min="7937" max="7937" width="4.5703125" style="226" customWidth="1"/>
    <col min="7938" max="7938" width="56.7109375" style="226" customWidth="1"/>
    <col min="7939" max="7944" width="14.28515625" style="226" customWidth="1"/>
    <col min="7945" max="8192" width="9.28515625" style="226"/>
    <col min="8193" max="8193" width="4.5703125" style="226" customWidth="1"/>
    <col min="8194" max="8194" width="56.7109375" style="226" customWidth="1"/>
    <col min="8195" max="8200" width="14.28515625" style="226" customWidth="1"/>
    <col min="8201" max="8448" width="9.28515625" style="226"/>
    <col min="8449" max="8449" width="4.5703125" style="226" customWidth="1"/>
    <col min="8450" max="8450" width="56.7109375" style="226" customWidth="1"/>
    <col min="8451" max="8456" width="14.28515625" style="226" customWidth="1"/>
    <col min="8457" max="8704" width="9.28515625" style="226"/>
    <col min="8705" max="8705" width="4.5703125" style="226" customWidth="1"/>
    <col min="8706" max="8706" width="56.7109375" style="226" customWidth="1"/>
    <col min="8707" max="8712" width="14.28515625" style="226" customWidth="1"/>
    <col min="8713" max="8960" width="9.28515625" style="226"/>
    <col min="8961" max="8961" width="4.5703125" style="226" customWidth="1"/>
    <col min="8962" max="8962" width="56.7109375" style="226" customWidth="1"/>
    <col min="8963" max="8968" width="14.28515625" style="226" customWidth="1"/>
    <col min="8969" max="9216" width="9.28515625" style="226"/>
    <col min="9217" max="9217" width="4.5703125" style="226" customWidth="1"/>
    <col min="9218" max="9218" width="56.7109375" style="226" customWidth="1"/>
    <col min="9219" max="9224" width="14.28515625" style="226" customWidth="1"/>
    <col min="9225" max="9472" width="9.28515625" style="226"/>
    <col min="9473" max="9473" width="4.5703125" style="226" customWidth="1"/>
    <col min="9474" max="9474" width="56.7109375" style="226" customWidth="1"/>
    <col min="9475" max="9480" width="14.28515625" style="226" customWidth="1"/>
    <col min="9481" max="9728" width="9.28515625" style="226"/>
    <col min="9729" max="9729" width="4.5703125" style="226" customWidth="1"/>
    <col min="9730" max="9730" width="56.7109375" style="226" customWidth="1"/>
    <col min="9731" max="9736" width="14.28515625" style="226" customWidth="1"/>
    <col min="9737" max="9984" width="9.28515625" style="226"/>
    <col min="9985" max="9985" width="4.5703125" style="226" customWidth="1"/>
    <col min="9986" max="9986" width="56.7109375" style="226" customWidth="1"/>
    <col min="9987" max="9992" width="14.28515625" style="226" customWidth="1"/>
    <col min="9993" max="10240" width="9.28515625" style="226"/>
    <col min="10241" max="10241" width="4.5703125" style="226" customWidth="1"/>
    <col min="10242" max="10242" width="56.7109375" style="226" customWidth="1"/>
    <col min="10243" max="10248" width="14.28515625" style="226" customWidth="1"/>
    <col min="10249" max="10496" width="9.28515625" style="226"/>
    <col min="10497" max="10497" width="4.5703125" style="226" customWidth="1"/>
    <col min="10498" max="10498" width="56.7109375" style="226" customWidth="1"/>
    <col min="10499" max="10504" width="14.28515625" style="226" customWidth="1"/>
    <col min="10505" max="10752" width="9.28515625" style="226"/>
    <col min="10753" max="10753" width="4.5703125" style="226" customWidth="1"/>
    <col min="10754" max="10754" width="56.7109375" style="226" customWidth="1"/>
    <col min="10755" max="10760" width="14.28515625" style="226" customWidth="1"/>
    <col min="10761" max="11008" width="9.28515625" style="226"/>
    <col min="11009" max="11009" width="4.5703125" style="226" customWidth="1"/>
    <col min="11010" max="11010" width="56.7109375" style="226" customWidth="1"/>
    <col min="11011" max="11016" width="14.28515625" style="226" customWidth="1"/>
    <col min="11017" max="11264" width="9.28515625" style="226"/>
    <col min="11265" max="11265" width="4.5703125" style="226" customWidth="1"/>
    <col min="11266" max="11266" width="56.7109375" style="226" customWidth="1"/>
    <col min="11267" max="11272" width="14.28515625" style="226" customWidth="1"/>
    <col min="11273" max="11520" width="9.28515625" style="226"/>
    <col min="11521" max="11521" width="4.5703125" style="226" customWidth="1"/>
    <col min="11522" max="11522" width="56.7109375" style="226" customWidth="1"/>
    <col min="11523" max="11528" width="14.28515625" style="226" customWidth="1"/>
    <col min="11529" max="11776" width="9.28515625" style="226"/>
    <col min="11777" max="11777" width="4.5703125" style="226" customWidth="1"/>
    <col min="11778" max="11778" width="56.7109375" style="226" customWidth="1"/>
    <col min="11779" max="11784" width="14.28515625" style="226" customWidth="1"/>
    <col min="11785" max="12032" width="9.28515625" style="226"/>
    <col min="12033" max="12033" width="4.5703125" style="226" customWidth="1"/>
    <col min="12034" max="12034" width="56.7109375" style="226" customWidth="1"/>
    <col min="12035" max="12040" width="14.28515625" style="226" customWidth="1"/>
    <col min="12041" max="12288" width="9.28515625" style="226"/>
    <col min="12289" max="12289" width="4.5703125" style="226" customWidth="1"/>
    <col min="12290" max="12290" width="56.7109375" style="226" customWidth="1"/>
    <col min="12291" max="12296" width="14.28515625" style="226" customWidth="1"/>
    <col min="12297" max="12544" width="9.28515625" style="226"/>
    <col min="12545" max="12545" width="4.5703125" style="226" customWidth="1"/>
    <col min="12546" max="12546" width="56.7109375" style="226" customWidth="1"/>
    <col min="12547" max="12552" width="14.28515625" style="226" customWidth="1"/>
    <col min="12553" max="12800" width="9.28515625" style="226"/>
    <col min="12801" max="12801" width="4.5703125" style="226" customWidth="1"/>
    <col min="12802" max="12802" width="56.7109375" style="226" customWidth="1"/>
    <col min="12803" max="12808" width="14.28515625" style="226" customWidth="1"/>
    <col min="12809" max="13056" width="9.28515625" style="226"/>
    <col min="13057" max="13057" width="4.5703125" style="226" customWidth="1"/>
    <col min="13058" max="13058" width="56.7109375" style="226" customWidth="1"/>
    <col min="13059" max="13064" width="14.28515625" style="226" customWidth="1"/>
    <col min="13065" max="13312" width="9.28515625" style="226"/>
    <col min="13313" max="13313" width="4.5703125" style="226" customWidth="1"/>
    <col min="13314" max="13314" width="56.7109375" style="226" customWidth="1"/>
    <col min="13315" max="13320" width="14.28515625" style="226" customWidth="1"/>
    <col min="13321" max="13568" width="9.28515625" style="226"/>
    <col min="13569" max="13569" width="4.5703125" style="226" customWidth="1"/>
    <col min="13570" max="13570" width="56.7109375" style="226" customWidth="1"/>
    <col min="13571" max="13576" width="14.28515625" style="226" customWidth="1"/>
    <col min="13577" max="13824" width="9.28515625" style="226"/>
    <col min="13825" max="13825" width="4.5703125" style="226" customWidth="1"/>
    <col min="13826" max="13826" width="56.7109375" style="226" customWidth="1"/>
    <col min="13827" max="13832" width="14.28515625" style="226" customWidth="1"/>
    <col min="13833" max="14080" width="9.28515625" style="226"/>
    <col min="14081" max="14081" width="4.5703125" style="226" customWidth="1"/>
    <col min="14082" max="14082" width="56.7109375" style="226" customWidth="1"/>
    <col min="14083" max="14088" width="14.28515625" style="226" customWidth="1"/>
    <col min="14089" max="14336" width="9.28515625" style="226"/>
    <col min="14337" max="14337" width="4.5703125" style="226" customWidth="1"/>
    <col min="14338" max="14338" width="56.7109375" style="226" customWidth="1"/>
    <col min="14339" max="14344" width="14.28515625" style="226" customWidth="1"/>
    <col min="14345" max="14592" width="9.28515625" style="226"/>
    <col min="14593" max="14593" width="4.5703125" style="226" customWidth="1"/>
    <col min="14594" max="14594" width="56.7109375" style="226" customWidth="1"/>
    <col min="14595" max="14600" width="14.28515625" style="226" customWidth="1"/>
    <col min="14601" max="14848" width="9.28515625" style="226"/>
    <col min="14849" max="14849" width="4.5703125" style="226" customWidth="1"/>
    <col min="14850" max="14850" width="56.7109375" style="226" customWidth="1"/>
    <col min="14851" max="14856" width="14.28515625" style="226" customWidth="1"/>
    <col min="14857" max="15104" width="9.28515625" style="226"/>
    <col min="15105" max="15105" width="4.5703125" style="226" customWidth="1"/>
    <col min="15106" max="15106" width="56.7109375" style="226" customWidth="1"/>
    <col min="15107" max="15112" width="14.28515625" style="226" customWidth="1"/>
    <col min="15113" max="15360" width="9.28515625" style="226"/>
    <col min="15361" max="15361" width="4.5703125" style="226" customWidth="1"/>
    <col min="15362" max="15362" width="56.7109375" style="226" customWidth="1"/>
    <col min="15363" max="15368" width="14.28515625" style="226" customWidth="1"/>
    <col min="15369" max="15616" width="9.28515625" style="226"/>
    <col min="15617" max="15617" width="4.5703125" style="226" customWidth="1"/>
    <col min="15618" max="15618" width="56.7109375" style="226" customWidth="1"/>
    <col min="15619" max="15624" width="14.28515625" style="226" customWidth="1"/>
    <col min="15625" max="15872" width="9.28515625" style="226"/>
    <col min="15873" max="15873" width="4.5703125" style="226" customWidth="1"/>
    <col min="15874" max="15874" width="56.7109375" style="226" customWidth="1"/>
    <col min="15875" max="15880" width="14.28515625" style="226" customWidth="1"/>
    <col min="15881" max="16128" width="9.28515625" style="226"/>
    <col min="16129" max="16129" width="4.5703125" style="226" customWidth="1"/>
    <col min="16130" max="16130" width="56.7109375" style="226" customWidth="1"/>
    <col min="16131" max="16136" width="14.28515625" style="226" customWidth="1"/>
    <col min="16137" max="16384" width="9.28515625" style="226"/>
  </cols>
  <sheetData>
    <row r="1" spans="1:8" ht="35.1" customHeight="1">
      <c r="A1" s="998" t="str">
        <f>+Títulos!$B$2&amp;"
ESTADO ANALÍTICO DEL EJERCICIO DEL PRESUPUESTO DE EGRESOS CLASIFICACIÓN FUNCIONAL (FINALIDAD Y FUNCIÓN)
DEL 01 DE ENERO AL "&amp;Títulos!$B$3</f>
        <v>TRIBUNAL DE JUSTICIA ADMINISTRATIVA
ESTADO ANALÍTICO DEL EJERCICIO DEL PRESUPUESTO DE EGRESOS CLASIFICACIÓN FUNCIONAL (FINALIDAD Y FUNCIÓN)
DEL 01 DE ENERO AL 31 DE DICIEMBRE DE 2017</v>
      </c>
      <c r="B1" s="999"/>
      <c r="C1" s="999"/>
      <c r="D1" s="999"/>
      <c r="E1" s="999"/>
      <c r="F1" s="999"/>
      <c r="G1" s="999"/>
      <c r="H1" s="1000"/>
    </row>
    <row r="2" spans="1:8" ht="24.95" customHeight="1">
      <c r="A2" s="5" t="s">
        <v>249</v>
      </c>
      <c r="B2" s="5" t="s">
        <v>71</v>
      </c>
      <c r="C2" s="7" t="s">
        <v>253</v>
      </c>
      <c r="D2" s="7" t="s">
        <v>254</v>
      </c>
      <c r="E2" s="7" t="s">
        <v>230</v>
      </c>
      <c r="F2" s="7" t="s">
        <v>231</v>
      </c>
      <c r="G2" s="7" t="s">
        <v>255</v>
      </c>
      <c r="H2" s="7" t="s">
        <v>256</v>
      </c>
    </row>
    <row r="3" spans="1:8">
      <c r="A3" s="233">
        <v>900001</v>
      </c>
      <c r="B3" s="234" t="s">
        <v>257</v>
      </c>
      <c r="C3" s="393">
        <f t="shared" ref="C3:H3" si="0">+C4+C13+C21+C31</f>
        <v>80405840.509999976</v>
      </c>
      <c r="D3" s="393">
        <f t="shared" si="0"/>
        <v>8457903.8100000042</v>
      </c>
      <c r="E3" s="393">
        <f t="shared" si="0"/>
        <v>88863744.319999978</v>
      </c>
      <c r="F3" s="393">
        <f t="shared" si="0"/>
        <v>86193205.110000029</v>
      </c>
      <c r="G3" s="393">
        <f t="shared" si="0"/>
        <v>84872096.260000035</v>
      </c>
      <c r="H3" s="393">
        <f t="shared" si="0"/>
        <v>2670539.2099999487</v>
      </c>
    </row>
    <row r="4" spans="1:8">
      <c r="A4" s="235">
        <v>1</v>
      </c>
      <c r="B4" s="236" t="s">
        <v>662</v>
      </c>
      <c r="C4" s="337">
        <f t="shared" ref="C4:H4" si="1">SUM(C5:C12)</f>
        <v>80405840.509999976</v>
      </c>
      <c r="D4" s="337">
        <f t="shared" si="1"/>
        <v>8457903.8100000042</v>
      </c>
      <c r="E4" s="337">
        <f t="shared" si="1"/>
        <v>88863744.319999978</v>
      </c>
      <c r="F4" s="337">
        <f t="shared" si="1"/>
        <v>86193205.110000029</v>
      </c>
      <c r="G4" s="337">
        <f t="shared" si="1"/>
        <v>84872096.260000035</v>
      </c>
      <c r="H4" s="337">
        <f t="shared" si="1"/>
        <v>2670539.2099999487</v>
      </c>
    </row>
    <row r="5" spans="1:8">
      <c r="A5" s="237">
        <v>11</v>
      </c>
      <c r="B5" s="238" t="s">
        <v>663</v>
      </c>
      <c r="C5" s="338">
        <f t="shared" ref="C5:C12" si="2">SUMIF(PE_CFG,MID(A5,1,1)&amp;"."&amp;MID(A5,2,1)&amp;".*",PE_A)</f>
        <v>0</v>
      </c>
      <c r="D5" s="338">
        <f t="shared" ref="D5:D12" si="3">SUMIF(PE_CFG,MID(A5,1,1)&amp;"."&amp;MID(A5,2,1)&amp;".*",PE_M)</f>
        <v>0</v>
      </c>
      <c r="E5" s="338">
        <f>+C5+D5</f>
        <v>0</v>
      </c>
      <c r="F5" s="338">
        <f t="shared" ref="F5:F12" si="4">SUMIF(PE_CFG,MID(A5,1,1)&amp;"."&amp;MID(A5,2,1)&amp;".*",PE_D)</f>
        <v>0</v>
      </c>
      <c r="G5" s="338">
        <f t="shared" ref="G5:G12" si="5">SUMIF(PE_CFG,MID(A5,1,1)&amp;"."&amp;MID(A5,2,1)&amp;".*",PE_P)</f>
        <v>0</v>
      </c>
      <c r="H5" s="338">
        <f>+E5-F5</f>
        <v>0</v>
      </c>
    </row>
    <row r="6" spans="1:8">
      <c r="A6" s="237">
        <v>12</v>
      </c>
      <c r="B6" s="238" t="s">
        <v>664</v>
      </c>
      <c r="C6" s="338">
        <f t="shared" si="2"/>
        <v>80405840.509999976</v>
      </c>
      <c r="D6" s="338">
        <f t="shared" si="3"/>
        <v>8457903.8100000042</v>
      </c>
      <c r="E6" s="338">
        <f>+C6+D6</f>
        <v>88863744.319999978</v>
      </c>
      <c r="F6" s="338">
        <f t="shared" si="4"/>
        <v>86193205.110000029</v>
      </c>
      <c r="G6" s="338">
        <f t="shared" si="5"/>
        <v>84872096.260000035</v>
      </c>
      <c r="H6" s="338">
        <f>+E6-F6</f>
        <v>2670539.2099999487</v>
      </c>
    </row>
    <row r="7" spans="1:8">
      <c r="A7" s="237">
        <v>13</v>
      </c>
      <c r="B7" s="238" t="s">
        <v>665</v>
      </c>
      <c r="C7" s="338">
        <f t="shared" si="2"/>
        <v>0</v>
      </c>
      <c r="D7" s="338">
        <f t="shared" si="3"/>
        <v>0</v>
      </c>
      <c r="E7" s="338">
        <f t="shared" ref="E7:E35" si="6">+C7+D7</f>
        <v>0</v>
      </c>
      <c r="F7" s="338">
        <f t="shared" si="4"/>
        <v>0</v>
      </c>
      <c r="G7" s="338">
        <f t="shared" si="5"/>
        <v>0</v>
      </c>
      <c r="H7" s="338">
        <f t="shared" ref="H7:H35" si="7">+E7-F7</f>
        <v>0</v>
      </c>
    </row>
    <row r="8" spans="1:8">
      <c r="A8" s="237">
        <v>14</v>
      </c>
      <c r="B8" s="238" t="s">
        <v>666</v>
      </c>
      <c r="C8" s="338">
        <f t="shared" si="2"/>
        <v>0</v>
      </c>
      <c r="D8" s="338">
        <f t="shared" si="3"/>
        <v>0</v>
      </c>
      <c r="E8" s="338">
        <f t="shared" si="6"/>
        <v>0</v>
      </c>
      <c r="F8" s="338">
        <f t="shared" si="4"/>
        <v>0</v>
      </c>
      <c r="G8" s="338">
        <f t="shared" si="5"/>
        <v>0</v>
      </c>
      <c r="H8" s="338">
        <f t="shared" si="7"/>
        <v>0</v>
      </c>
    </row>
    <row r="9" spans="1:8">
      <c r="A9" s="237">
        <v>15</v>
      </c>
      <c r="B9" s="238" t="s">
        <v>667</v>
      </c>
      <c r="C9" s="338">
        <f t="shared" si="2"/>
        <v>0</v>
      </c>
      <c r="D9" s="338">
        <f t="shared" si="3"/>
        <v>0</v>
      </c>
      <c r="E9" s="338">
        <f t="shared" si="6"/>
        <v>0</v>
      </c>
      <c r="F9" s="338">
        <f t="shared" si="4"/>
        <v>0</v>
      </c>
      <c r="G9" s="338">
        <f t="shared" si="5"/>
        <v>0</v>
      </c>
      <c r="H9" s="338">
        <f t="shared" si="7"/>
        <v>0</v>
      </c>
    </row>
    <row r="10" spans="1:8">
      <c r="A10" s="237">
        <v>16</v>
      </c>
      <c r="B10" s="238" t="s">
        <v>668</v>
      </c>
      <c r="C10" s="338">
        <f t="shared" si="2"/>
        <v>0</v>
      </c>
      <c r="D10" s="338">
        <f t="shared" si="3"/>
        <v>0</v>
      </c>
      <c r="E10" s="338">
        <f t="shared" si="6"/>
        <v>0</v>
      </c>
      <c r="F10" s="338">
        <f t="shared" si="4"/>
        <v>0</v>
      </c>
      <c r="G10" s="338">
        <f t="shared" si="5"/>
        <v>0</v>
      </c>
      <c r="H10" s="338">
        <f t="shared" si="7"/>
        <v>0</v>
      </c>
    </row>
    <row r="11" spans="1:8">
      <c r="A11" s="237">
        <v>17</v>
      </c>
      <c r="B11" s="238" t="s">
        <v>669</v>
      </c>
      <c r="C11" s="338">
        <f t="shared" si="2"/>
        <v>0</v>
      </c>
      <c r="D11" s="338">
        <f t="shared" si="3"/>
        <v>0</v>
      </c>
      <c r="E11" s="338">
        <f t="shared" si="6"/>
        <v>0</v>
      </c>
      <c r="F11" s="338">
        <f t="shared" si="4"/>
        <v>0</v>
      </c>
      <c r="G11" s="338">
        <f t="shared" si="5"/>
        <v>0</v>
      </c>
      <c r="H11" s="338">
        <f t="shared" si="7"/>
        <v>0</v>
      </c>
    </row>
    <row r="12" spans="1:8">
      <c r="A12" s="237">
        <v>18</v>
      </c>
      <c r="B12" s="238" t="s">
        <v>670</v>
      </c>
      <c r="C12" s="338">
        <f t="shared" si="2"/>
        <v>0</v>
      </c>
      <c r="D12" s="338">
        <f t="shared" si="3"/>
        <v>0</v>
      </c>
      <c r="E12" s="338">
        <f t="shared" si="6"/>
        <v>0</v>
      </c>
      <c r="F12" s="338">
        <f t="shared" si="4"/>
        <v>0</v>
      </c>
      <c r="G12" s="338">
        <f t="shared" si="5"/>
        <v>0</v>
      </c>
      <c r="H12" s="338">
        <f t="shared" si="7"/>
        <v>0</v>
      </c>
    </row>
    <row r="13" spans="1:8">
      <c r="A13" s="235">
        <v>2</v>
      </c>
      <c r="B13" s="236" t="s">
        <v>671</v>
      </c>
      <c r="C13" s="337">
        <f t="shared" ref="C13:H13" si="8">SUM(C14:C20)</f>
        <v>0</v>
      </c>
      <c r="D13" s="337">
        <f t="shared" si="8"/>
        <v>0</v>
      </c>
      <c r="E13" s="337">
        <f t="shared" si="8"/>
        <v>0</v>
      </c>
      <c r="F13" s="337">
        <f t="shared" si="8"/>
        <v>0</v>
      </c>
      <c r="G13" s="337">
        <f t="shared" si="8"/>
        <v>0</v>
      </c>
      <c r="H13" s="337">
        <f t="shared" si="8"/>
        <v>0</v>
      </c>
    </row>
    <row r="14" spans="1:8">
      <c r="A14" s="237">
        <v>21</v>
      </c>
      <c r="B14" s="238" t="s">
        <v>672</v>
      </c>
      <c r="C14" s="338">
        <f t="shared" ref="C14:C20" si="9">SUMIF(PE_CFG,MID(A14,1,1)&amp;"."&amp;MID(A14,2,1)&amp;".*",PE_A)</f>
        <v>0</v>
      </c>
      <c r="D14" s="338">
        <f t="shared" ref="D14:D20" si="10">SUMIF(PE_CFG,MID(A14,1,1)&amp;"."&amp;MID(A14,2,1)&amp;".*",PE_M)</f>
        <v>0</v>
      </c>
      <c r="E14" s="338">
        <f t="shared" si="6"/>
        <v>0</v>
      </c>
      <c r="F14" s="338">
        <f t="shared" ref="F14:F20" si="11">SUMIF(PE_CFG,MID(A14,1,1)&amp;"."&amp;MID(A14,2,1)&amp;".*",PE_D)</f>
        <v>0</v>
      </c>
      <c r="G14" s="338">
        <f t="shared" ref="G14:G20" si="12">SUMIF(PE_CFG,MID(A14,1,1)&amp;"."&amp;MID(A14,2,1)&amp;".*",PE_P)</f>
        <v>0</v>
      </c>
      <c r="H14" s="338">
        <f t="shared" si="7"/>
        <v>0</v>
      </c>
    </row>
    <row r="15" spans="1:8">
      <c r="A15" s="237">
        <v>22</v>
      </c>
      <c r="B15" s="238" t="s">
        <v>673</v>
      </c>
      <c r="C15" s="338">
        <f t="shared" si="9"/>
        <v>0</v>
      </c>
      <c r="D15" s="338">
        <f t="shared" si="10"/>
        <v>0</v>
      </c>
      <c r="E15" s="338">
        <f t="shared" si="6"/>
        <v>0</v>
      </c>
      <c r="F15" s="338">
        <f t="shared" si="11"/>
        <v>0</v>
      </c>
      <c r="G15" s="338">
        <f t="shared" si="12"/>
        <v>0</v>
      </c>
      <c r="H15" s="338">
        <f t="shared" si="7"/>
        <v>0</v>
      </c>
    </row>
    <row r="16" spans="1:8">
      <c r="A16" s="237">
        <v>23</v>
      </c>
      <c r="B16" s="238" t="s">
        <v>674</v>
      </c>
      <c r="C16" s="338">
        <f t="shared" si="9"/>
        <v>0</v>
      </c>
      <c r="D16" s="338">
        <f t="shared" si="10"/>
        <v>0</v>
      </c>
      <c r="E16" s="338">
        <f t="shared" si="6"/>
        <v>0</v>
      </c>
      <c r="F16" s="338">
        <f t="shared" si="11"/>
        <v>0</v>
      </c>
      <c r="G16" s="338">
        <f t="shared" si="12"/>
        <v>0</v>
      </c>
      <c r="H16" s="338">
        <f t="shared" si="7"/>
        <v>0</v>
      </c>
    </row>
    <row r="17" spans="1:8">
      <c r="A17" s="237">
        <v>24</v>
      </c>
      <c r="B17" s="238" t="s">
        <v>675</v>
      </c>
      <c r="C17" s="338">
        <f t="shared" si="9"/>
        <v>0</v>
      </c>
      <c r="D17" s="338">
        <f t="shared" si="10"/>
        <v>0</v>
      </c>
      <c r="E17" s="338">
        <f t="shared" si="6"/>
        <v>0</v>
      </c>
      <c r="F17" s="338">
        <f t="shared" si="11"/>
        <v>0</v>
      </c>
      <c r="G17" s="338">
        <f t="shared" si="12"/>
        <v>0</v>
      </c>
      <c r="H17" s="338">
        <f t="shared" si="7"/>
        <v>0</v>
      </c>
    </row>
    <row r="18" spans="1:8">
      <c r="A18" s="237">
        <v>25</v>
      </c>
      <c r="B18" s="238" t="s">
        <v>676</v>
      </c>
      <c r="C18" s="338">
        <f t="shared" si="9"/>
        <v>0</v>
      </c>
      <c r="D18" s="338">
        <f t="shared" si="10"/>
        <v>0</v>
      </c>
      <c r="E18" s="338">
        <f t="shared" si="6"/>
        <v>0</v>
      </c>
      <c r="F18" s="338">
        <f t="shared" si="11"/>
        <v>0</v>
      </c>
      <c r="G18" s="338">
        <f t="shared" si="12"/>
        <v>0</v>
      </c>
      <c r="H18" s="338">
        <f t="shared" si="7"/>
        <v>0</v>
      </c>
    </row>
    <row r="19" spans="1:8">
      <c r="A19" s="237">
        <v>26</v>
      </c>
      <c r="B19" s="238" t="s">
        <v>677</v>
      </c>
      <c r="C19" s="338">
        <f t="shared" si="9"/>
        <v>0</v>
      </c>
      <c r="D19" s="338">
        <f t="shared" si="10"/>
        <v>0</v>
      </c>
      <c r="E19" s="338">
        <f t="shared" si="6"/>
        <v>0</v>
      </c>
      <c r="F19" s="338">
        <f t="shared" si="11"/>
        <v>0</v>
      </c>
      <c r="G19" s="338">
        <f t="shared" si="12"/>
        <v>0</v>
      </c>
      <c r="H19" s="338">
        <f t="shared" si="7"/>
        <v>0</v>
      </c>
    </row>
    <row r="20" spans="1:8">
      <c r="A20" s="237">
        <v>27</v>
      </c>
      <c r="B20" s="238" t="s">
        <v>678</v>
      </c>
      <c r="C20" s="338">
        <f t="shared" si="9"/>
        <v>0</v>
      </c>
      <c r="D20" s="338">
        <f t="shared" si="10"/>
        <v>0</v>
      </c>
      <c r="E20" s="338">
        <f t="shared" si="6"/>
        <v>0</v>
      </c>
      <c r="F20" s="338">
        <f t="shared" si="11"/>
        <v>0</v>
      </c>
      <c r="G20" s="338">
        <f t="shared" si="12"/>
        <v>0</v>
      </c>
      <c r="H20" s="338">
        <f t="shared" si="7"/>
        <v>0</v>
      </c>
    </row>
    <row r="21" spans="1:8">
      <c r="A21" s="235">
        <v>3</v>
      </c>
      <c r="B21" s="236" t="s">
        <v>679</v>
      </c>
      <c r="C21" s="337">
        <f>SUM(C22:C30)</f>
        <v>0</v>
      </c>
      <c r="D21" s="337">
        <f>SUM(D22:D29)</f>
        <v>0</v>
      </c>
      <c r="E21" s="337">
        <f>SUM(E22:E29)</f>
        <v>0</v>
      </c>
      <c r="F21" s="337">
        <f>SUM(F22:F29)</f>
        <v>0</v>
      </c>
      <c r="G21" s="337">
        <f>SUM(G22:G29)</f>
        <v>0</v>
      </c>
      <c r="H21" s="337">
        <f>SUM(H22:H29)</f>
        <v>0</v>
      </c>
    </row>
    <row r="22" spans="1:8">
      <c r="A22" s="237">
        <v>31</v>
      </c>
      <c r="B22" s="238" t="s">
        <v>680</v>
      </c>
      <c r="C22" s="338">
        <f t="shared" ref="C22:C30" si="13">SUMIF(PE_CFG,MID(A22,1,1)&amp;"."&amp;MID(A22,2,1)&amp;".*",PE_A)</f>
        <v>0</v>
      </c>
      <c r="D22" s="338">
        <f t="shared" ref="D22:D30" si="14">SUMIF(PE_CFG,MID(A22,1,1)&amp;"."&amp;MID(A22,2,1)&amp;".*",PE_M)</f>
        <v>0</v>
      </c>
      <c r="E22" s="338">
        <f t="shared" si="6"/>
        <v>0</v>
      </c>
      <c r="F22" s="338">
        <f t="shared" ref="F22:F30" si="15">SUMIF(PE_CFG,MID(A22,1,1)&amp;"."&amp;MID(A22,2,1)&amp;".*",PE_D)</f>
        <v>0</v>
      </c>
      <c r="G22" s="338">
        <f t="shared" ref="G22:G30" si="16">SUMIF(PE_CFG,MID(A22,1,1)&amp;"."&amp;MID(A22,2,1)&amp;".*",PE_P)</f>
        <v>0</v>
      </c>
      <c r="H22" s="338">
        <f t="shared" si="7"/>
        <v>0</v>
      </c>
    </row>
    <row r="23" spans="1:8">
      <c r="A23" s="237">
        <v>32</v>
      </c>
      <c r="B23" s="238" t="s">
        <v>681</v>
      </c>
      <c r="C23" s="338">
        <f t="shared" si="13"/>
        <v>0</v>
      </c>
      <c r="D23" s="338">
        <f t="shared" si="14"/>
        <v>0</v>
      </c>
      <c r="E23" s="338">
        <f t="shared" si="6"/>
        <v>0</v>
      </c>
      <c r="F23" s="338">
        <f t="shared" si="15"/>
        <v>0</v>
      </c>
      <c r="G23" s="338">
        <f t="shared" si="16"/>
        <v>0</v>
      </c>
      <c r="H23" s="338">
        <f t="shared" si="7"/>
        <v>0</v>
      </c>
    </row>
    <row r="24" spans="1:8">
      <c r="A24" s="237">
        <v>33</v>
      </c>
      <c r="B24" s="238" t="s">
        <v>682</v>
      </c>
      <c r="C24" s="338">
        <f t="shared" si="13"/>
        <v>0</v>
      </c>
      <c r="D24" s="338">
        <f t="shared" si="14"/>
        <v>0</v>
      </c>
      <c r="E24" s="338">
        <f t="shared" si="6"/>
        <v>0</v>
      </c>
      <c r="F24" s="338">
        <f t="shared" si="15"/>
        <v>0</v>
      </c>
      <c r="G24" s="338">
        <f t="shared" si="16"/>
        <v>0</v>
      </c>
      <c r="H24" s="338">
        <f t="shared" si="7"/>
        <v>0</v>
      </c>
    </row>
    <row r="25" spans="1:8">
      <c r="A25" s="237">
        <v>34</v>
      </c>
      <c r="B25" s="238" t="s">
        <v>683</v>
      </c>
      <c r="C25" s="338">
        <f t="shared" si="13"/>
        <v>0</v>
      </c>
      <c r="D25" s="338">
        <f t="shared" si="14"/>
        <v>0</v>
      </c>
      <c r="E25" s="338">
        <f t="shared" si="6"/>
        <v>0</v>
      </c>
      <c r="F25" s="338">
        <f t="shared" si="15"/>
        <v>0</v>
      </c>
      <c r="G25" s="338">
        <f t="shared" si="16"/>
        <v>0</v>
      </c>
      <c r="H25" s="338">
        <f t="shared" si="7"/>
        <v>0</v>
      </c>
    </row>
    <row r="26" spans="1:8">
      <c r="A26" s="237">
        <v>35</v>
      </c>
      <c r="B26" s="238" t="s">
        <v>684</v>
      </c>
      <c r="C26" s="338">
        <f t="shared" si="13"/>
        <v>0</v>
      </c>
      <c r="D26" s="338">
        <f t="shared" si="14"/>
        <v>0</v>
      </c>
      <c r="E26" s="338">
        <f t="shared" si="6"/>
        <v>0</v>
      </c>
      <c r="F26" s="338">
        <f t="shared" si="15"/>
        <v>0</v>
      </c>
      <c r="G26" s="338">
        <f t="shared" si="16"/>
        <v>0</v>
      </c>
      <c r="H26" s="338">
        <f t="shared" si="7"/>
        <v>0</v>
      </c>
    </row>
    <row r="27" spans="1:8">
      <c r="A27" s="237">
        <v>36</v>
      </c>
      <c r="B27" s="238" t="s">
        <v>685</v>
      </c>
      <c r="C27" s="338">
        <f t="shared" si="13"/>
        <v>0</v>
      </c>
      <c r="D27" s="338">
        <f t="shared" si="14"/>
        <v>0</v>
      </c>
      <c r="E27" s="338">
        <f t="shared" si="6"/>
        <v>0</v>
      </c>
      <c r="F27" s="338">
        <f t="shared" si="15"/>
        <v>0</v>
      </c>
      <c r="G27" s="338">
        <f t="shared" si="16"/>
        <v>0</v>
      </c>
      <c r="H27" s="338">
        <f t="shared" si="7"/>
        <v>0</v>
      </c>
    </row>
    <row r="28" spans="1:8">
      <c r="A28" s="237">
        <v>37</v>
      </c>
      <c r="B28" s="238" t="s">
        <v>686</v>
      </c>
      <c r="C28" s="338">
        <f t="shared" si="13"/>
        <v>0</v>
      </c>
      <c r="D28" s="338">
        <f t="shared" si="14"/>
        <v>0</v>
      </c>
      <c r="E28" s="338">
        <f t="shared" si="6"/>
        <v>0</v>
      </c>
      <c r="F28" s="338">
        <f t="shared" si="15"/>
        <v>0</v>
      </c>
      <c r="G28" s="338">
        <f t="shared" si="16"/>
        <v>0</v>
      </c>
      <c r="H28" s="338">
        <f t="shared" si="7"/>
        <v>0</v>
      </c>
    </row>
    <row r="29" spans="1:8">
      <c r="A29" s="237">
        <v>38</v>
      </c>
      <c r="B29" s="238" t="s">
        <v>687</v>
      </c>
      <c r="C29" s="338">
        <f t="shared" si="13"/>
        <v>0</v>
      </c>
      <c r="D29" s="338">
        <f t="shared" si="14"/>
        <v>0</v>
      </c>
      <c r="E29" s="338">
        <f t="shared" si="6"/>
        <v>0</v>
      </c>
      <c r="F29" s="338">
        <f t="shared" si="15"/>
        <v>0</v>
      </c>
      <c r="G29" s="338">
        <f t="shared" si="16"/>
        <v>0</v>
      </c>
      <c r="H29" s="338">
        <f t="shared" si="7"/>
        <v>0</v>
      </c>
    </row>
    <row r="30" spans="1:8">
      <c r="A30" s="237">
        <v>39</v>
      </c>
      <c r="B30" s="238" t="s">
        <v>688</v>
      </c>
      <c r="C30" s="338">
        <f t="shared" si="13"/>
        <v>0</v>
      </c>
      <c r="D30" s="338">
        <f t="shared" si="14"/>
        <v>0</v>
      </c>
      <c r="E30" s="338">
        <f t="shared" si="6"/>
        <v>0</v>
      </c>
      <c r="F30" s="338">
        <f t="shared" si="15"/>
        <v>0</v>
      </c>
      <c r="G30" s="338">
        <f t="shared" si="16"/>
        <v>0</v>
      </c>
      <c r="H30" s="338">
        <f t="shared" si="7"/>
        <v>0</v>
      </c>
    </row>
    <row r="31" spans="1:8">
      <c r="A31" s="235">
        <v>4</v>
      </c>
      <c r="B31" s="236" t="s">
        <v>689</v>
      </c>
      <c r="C31" s="337">
        <f t="shared" ref="C31:H31" si="17">SUM(C32:C35)</f>
        <v>0</v>
      </c>
      <c r="D31" s="337">
        <f t="shared" si="17"/>
        <v>0</v>
      </c>
      <c r="E31" s="337">
        <f t="shared" si="17"/>
        <v>0</v>
      </c>
      <c r="F31" s="337">
        <f t="shared" si="17"/>
        <v>0</v>
      </c>
      <c r="G31" s="337">
        <f t="shared" si="17"/>
        <v>0</v>
      </c>
      <c r="H31" s="337">
        <f t="shared" si="17"/>
        <v>0</v>
      </c>
    </row>
    <row r="32" spans="1:8">
      <c r="A32" s="237">
        <v>41</v>
      </c>
      <c r="B32" s="238" t="s">
        <v>690</v>
      </c>
      <c r="C32" s="338">
        <f>SUMIF(PE_CFG,MID(A32,1,1)&amp;"."&amp;MID(A32,2,1)&amp;".*",PE_A)</f>
        <v>0</v>
      </c>
      <c r="D32" s="338">
        <f>SUMIF(PE_CFG,MID(A32,1,1)&amp;"."&amp;MID(A32,2,1)&amp;".*",PE_M)</f>
        <v>0</v>
      </c>
      <c r="E32" s="338">
        <f t="shared" si="6"/>
        <v>0</v>
      </c>
      <c r="F32" s="338">
        <f>SUMIF(PE_CFG,MID(A32,1,1)&amp;"."&amp;MID(A32,2,1)&amp;".*",PE_D)</f>
        <v>0</v>
      </c>
      <c r="G32" s="338">
        <f>SUMIF(PE_CFG,MID(A32,1,1)&amp;"."&amp;MID(A32,2,1)&amp;".*",PE_P)</f>
        <v>0</v>
      </c>
      <c r="H32" s="338">
        <f t="shared" si="7"/>
        <v>0</v>
      </c>
    </row>
    <row r="33" spans="1:8" ht="22.5">
      <c r="A33" s="237">
        <v>42</v>
      </c>
      <c r="B33" s="238" t="s">
        <v>691</v>
      </c>
      <c r="C33" s="338">
        <f>SUMIF(PE_CFG,MID(A33,1,1)&amp;"."&amp;MID(A33,2,1)&amp;".*",PE_A)</f>
        <v>0</v>
      </c>
      <c r="D33" s="338">
        <f>SUMIF(PE_CFG,MID(A33,1,1)&amp;"."&amp;MID(A33,2,1)&amp;".*",PE_M)</f>
        <v>0</v>
      </c>
      <c r="E33" s="338">
        <f t="shared" si="6"/>
        <v>0</v>
      </c>
      <c r="F33" s="338">
        <f>SUMIF(PE_CFG,MID(A33,1,1)&amp;"."&amp;MID(A33,2,1)&amp;".*",PE_D)</f>
        <v>0</v>
      </c>
      <c r="G33" s="338">
        <f>SUMIF(PE_CFG,MID(A33,1,1)&amp;"."&amp;MID(A33,2,1)&amp;".*",PE_P)</f>
        <v>0</v>
      </c>
      <c r="H33" s="338">
        <f t="shared" si="7"/>
        <v>0</v>
      </c>
    </row>
    <row r="34" spans="1:8">
      <c r="A34" s="237">
        <v>43</v>
      </c>
      <c r="B34" s="238" t="s">
        <v>692</v>
      </c>
      <c r="C34" s="338">
        <f>SUMIF(PE_CFG,MID(A34,1,1)&amp;"."&amp;MID(A34,2,1)&amp;".*",PE_A)</f>
        <v>0</v>
      </c>
      <c r="D34" s="338">
        <f>SUMIF(PE_CFG,MID(A34,1,1)&amp;"."&amp;MID(A34,2,1)&amp;".*",PE_M)</f>
        <v>0</v>
      </c>
      <c r="E34" s="338">
        <f t="shared" si="6"/>
        <v>0</v>
      </c>
      <c r="F34" s="338">
        <f>SUMIF(PE_CFG,MID(A34,1,1)&amp;"."&amp;MID(A34,2,1)&amp;".*",PE_D)</f>
        <v>0</v>
      </c>
      <c r="G34" s="338">
        <f>SUMIF(PE_CFG,MID(A34,1,1)&amp;"."&amp;MID(A34,2,1)&amp;".*",PE_P)</f>
        <v>0</v>
      </c>
      <c r="H34" s="338">
        <f t="shared" si="7"/>
        <v>0</v>
      </c>
    </row>
    <row r="35" spans="1:8">
      <c r="A35" s="239">
        <v>44</v>
      </c>
      <c r="B35" s="240" t="s">
        <v>693</v>
      </c>
      <c r="C35" s="339">
        <f>SUMIF(PE_CFG,MID(A35,1,1)&amp;"."&amp;MID(A35,2,1)&amp;".*",PE_A)</f>
        <v>0</v>
      </c>
      <c r="D35" s="339">
        <f>SUMIF(PE_CFG,MID(A35,1,1)&amp;"."&amp;MID(A35,2,1)&amp;".*",PE_M)</f>
        <v>0</v>
      </c>
      <c r="E35" s="339">
        <f t="shared" si="6"/>
        <v>0</v>
      </c>
      <c r="F35" s="339">
        <f>SUMIF(PE_CFG,MID(A35,1,1)&amp;"."&amp;MID(A35,2,1)&amp;".*",PE_D)</f>
        <v>0</v>
      </c>
      <c r="G35" s="339">
        <f>SUMIF(PE_CFG,MID(A35,1,1)&amp;"."&amp;MID(A35,2,1)&amp;".*",PE_P)</f>
        <v>0</v>
      </c>
      <c r="H35" s="339">
        <f t="shared" si="7"/>
        <v>0</v>
      </c>
    </row>
  </sheetData>
  <sheetProtection autoFilter="0"/>
  <protectedRanges>
    <protectedRange sqref="C3:H3" name="Rango1_2"/>
  </protectedRanges>
  <mergeCells count="1">
    <mergeCell ref="A1:H1"/>
  </mergeCells>
  <dataValidations count="8">
    <dataValidation allowBlank="1" showInputMessage="1" showErrorMessage="1" prompt="Para el llenado de este formato se debe utilizar el Clasificador Funcional aprobado por el CONAC a nivel de Finalidad y Función."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allowBlank="1" showInputMessage="1" showErrorMessage="1" prompt="Modificado menos devengado"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dataValidation allowBlank="1" showInputMessage="1" showErrorMessage="1" prompt="Refleja las modificaciones realizadas al Presupuesto Aprobado"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 allowBlank="1" showInputMessage="1" showErrorMessage="1" prompt="Se refiere al nombre que se asigna a cada uno de los desagregados que se señala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 allowBlank="1" showInputMessage="1" showErrorMessage="1" prompt="Refleja las asignaciones presupuestarias anuales comprometidas en el Presupuesto de Egreso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Es el momento que refleja la asignación presupuestaria que resulta de incorporar; en su caso, las adecuaciones presupuestarias al presupuesto aprobado."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dataValidation allowBlank="1" showInputMessage="1" showErrorMessage="1" prompt="Es el momento que refleja la cancelación total o parcial de las obligaciones de pago, que se concreta mediante el desembolso de efectivo o cualquier otro medio de pago."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dataValidations>
  <pageMargins left="0.7" right="0.7" top="0.75" bottom="0.75" header="0.3" footer="0.3"/>
  <ignoredErrors>
    <ignoredError sqref="C4:H35 C3 D3:H3"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election activeCell="B4" sqref="B4"/>
    </sheetView>
  </sheetViews>
  <sheetFormatPr baseColWidth="10" defaultColWidth="9.28515625" defaultRowHeight="11.25"/>
  <cols>
    <col min="1" max="1" width="1.42578125" style="243" customWidth="1"/>
    <col min="2" max="2" width="27.42578125" style="243" customWidth="1"/>
    <col min="3" max="3" width="20.7109375" style="243" customWidth="1"/>
    <col min="4" max="4" width="16.28515625" style="243" customWidth="1"/>
    <col min="5" max="5" width="16.85546875" style="243" customWidth="1"/>
    <col min="6" max="256" width="9.28515625" style="243"/>
    <col min="257" max="257" width="1.42578125" style="243" customWidth="1"/>
    <col min="258" max="258" width="27.42578125" style="243" customWidth="1"/>
    <col min="259" max="259" width="20.7109375" style="243" customWidth="1"/>
    <col min="260" max="260" width="16.28515625" style="243" customWidth="1"/>
    <col min="261" max="261" width="16.85546875" style="243" customWidth="1"/>
    <col min="262" max="512" width="9.28515625" style="243"/>
    <col min="513" max="513" width="1.42578125" style="243" customWidth="1"/>
    <col min="514" max="514" width="27.42578125" style="243" customWidth="1"/>
    <col min="515" max="515" width="20.7109375" style="243" customWidth="1"/>
    <col min="516" max="516" width="16.28515625" style="243" customWidth="1"/>
    <col min="517" max="517" width="16.85546875" style="243" customWidth="1"/>
    <col min="518" max="768" width="9.28515625" style="243"/>
    <col min="769" max="769" width="1.42578125" style="243" customWidth="1"/>
    <col min="770" max="770" width="27.42578125" style="243" customWidth="1"/>
    <col min="771" max="771" width="20.7109375" style="243" customWidth="1"/>
    <col min="772" max="772" width="16.28515625" style="243" customWidth="1"/>
    <col min="773" max="773" width="16.85546875" style="243" customWidth="1"/>
    <col min="774" max="1024" width="9.28515625" style="243"/>
    <col min="1025" max="1025" width="1.42578125" style="243" customWidth="1"/>
    <col min="1026" max="1026" width="27.42578125" style="243" customWidth="1"/>
    <col min="1027" max="1027" width="20.7109375" style="243" customWidth="1"/>
    <col min="1028" max="1028" width="16.28515625" style="243" customWidth="1"/>
    <col min="1029" max="1029" width="16.85546875" style="243" customWidth="1"/>
    <col min="1030" max="1280" width="9.28515625" style="243"/>
    <col min="1281" max="1281" width="1.42578125" style="243" customWidth="1"/>
    <col min="1282" max="1282" width="27.42578125" style="243" customWidth="1"/>
    <col min="1283" max="1283" width="20.7109375" style="243" customWidth="1"/>
    <col min="1284" max="1284" width="16.28515625" style="243" customWidth="1"/>
    <col min="1285" max="1285" width="16.85546875" style="243" customWidth="1"/>
    <col min="1286" max="1536" width="9.28515625" style="243"/>
    <col min="1537" max="1537" width="1.42578125" style="243" customWidth="1"/>
    <col min="1538" max="1538" width="27.42578125" style="243" customWidth="1"/>
    <col min="1539" max="1539" width="20.7109375" style="243" customWidth="1"/>
    <col min="1540" max="1540" width="16.28515625" style="243" customWidth="1"/>
    <col min="1541" max="1541" width="16.85546875" style="243" customWidth="1"/>
    <col min="1542" max="1792" width="9.28515625" style="243"/>
    <col min="1793" max="1793" width="1.42578125" style="243" customWidth="1"/>
    <col min="1794" max="1794" width="27.42578125" style="243" customWidth="1"/>
    <col min="1795" max="1795" width="20.7109375" style="243" customWidth="1"/>
    <col min="1796" max="1796" width="16.28515625" style="243" customWidth="1"/>
    <col min="1797" max="1797" width="16.85546875" style="243" customWidth="1"/>
    <col min="1798" max="2048" width="9.28515625" style="243"/>
    <col min="2049" max="2049" width="1.42578125" style="243" customWidth="1"/>
    <col min="2050" max="2050" width="27.42578125" style="243" customWidth="1"/>
    <col min="2051" max="2051" width="20.7109375" style="243" customWidth="1"/>
    <col min="2052" max="2052" width="16.28515625" style="243" customWidth="1"/>
    <col min="2053" max="2053" width="16.85546875" style="243" customWidth="1"/>
    <col min="2054" max="2304" width="9.28515625" style="243"/>
    <col min="2305" max="2305" width="1.42578125" style="243" customWidth="1"/>
    <col min="2306" max="2306" width="27.42578125" style="243" customWidth="1"/>
    <col min="2307" max="2307" width="20.7109375" style="243" customWidth="1"/>
    <col min="2308" max="2308" width="16.28515625" style="243" customWidth="1"/>
    <col min="2309" max="2309" width="16.85546875" style="243" customWidth="1"/>
    <col min="2310" max="2560" width="9.28515625" style="243"/>
    <col min="2561" max="2561" width="1.42578125" style="243" customWidth="1"/>
    <col min="2562" max="2562" width="27.42578125" style="243" customWidth="1"/>
    <col min="2563" max="2563" width="20.7109375" style="243" customWidth="1"/>
    <col min="2564" max="2564" width="16.28515625" style="243" customWidth="1"/>
    <col min="2565" max="2565" width="16.85546875" style="243" customWidth="1"/>
    <col min="2566" max="2816" width="9.28515625" style="243"/>
    <col min="2817" max="2817" width="1.42578125" style="243" customWidth="1"/>
    <col min="2818" max="2818" width="27.42578125" style="243" customWidth="1"/>
    <col min="2819" max="2819" width="20.7109375" style="243" customWidth="1"/>
    <col min="2820" max="2820" width="16.28515625" style="243" customWidth="1"/>
    <col min="2821" max="2821" width="16.85546875" style="243" customWidth="1"/>
    <col min="2822" max="3072" width="9.28515625" style="243"/>
    <col min="3073" max="3073" width="1.42578125" style="243" customWidth="1"/>
    <col min="3074" max="3074" width="27.42578125" style="243" customWidth="1"/>
    <col min="3075" max="3075" width="20.7109375" style="243" customWidth="1"/>
    <col min="3076" max="3076" width="16.28515625" style="243" customWidth="1"/>
    <col min="3077" max="3077" width="16.85546875" style="243" customWidth="1"/>
    <col min="3078" max="3328" width="9.28515625" style="243"/>
    <col min="3329" max="3329" width="1.42578125" style="243" customWidth="1"/>
    <col min="3330" max="3330" width="27.42578125" style="243" customWidth="1"/>
    <col min="3331" max="3331" width="20.7109375" style="243" customWidth="1"/>
    <col min="3332" max="3332" width="16.28515625" style="243" customWidth="1"/>
    <col min="3333" max="3333" width="16.85546875" style="243" customWidth="1"/>
    <col min="3334" max="3584" width="9.28515625" style="243"/>
    <col min="3585" max="3585" width="1.42578125" style="243" customWidth="1"/>
    <col min="3586" max="3586" width="27.42578125" style="243" customWidth="1"/>
    <col min="3587" max="3587" width="20.7109375" style="243" customWidth="1"/>
    <col min="3588" max="3588" width="16.28515625" style="243" customWidth="1"/>
    <col min="3589" max="3589" width="16.85546875" style="243" customWidth="1"/>
    <col min="3590" max="3840" width="9.28515625" style="243"/>
    <col min="3841" max="3841" width="1.42578125" style="243" customWidth="1"/>
    <col min="3842" max="3842" width="27.42578125" style="243" customWidth="1"/>
    <col min="3843" max="3843" width="20.7109375" style="243" customWidth="1"/>
    <col min="3844" max="3844" width="16.28515625" style="243" customWidth="1"/>
    <col min="3845" max="3845" width="16.85546875" style="243" customWidth="1"/>
    <col min="3846" max="4096" width="9.28515625" style="243"/>
    <col min="4097" max="4097" width="1.42578125" style="243" customWidth="1"/>
    <col min="4098" max="4098" width="27.42578125" style="243" customWidth="1"/>
    <col min="4099" max="4099" width="20.7109375" style="243" customWidth="1"/>
    <col min="4100" max="4100" width="16.28515625" style="243" customWidth="1"/>
    <col min="4101" max="4101" width="16.85546875" style="243" customWidth="1"/>
    <col min="4102" max="4352" width="9.28515625" style="243"/>
    <col min="4353" max="4353" width="1.42578125" style="243" customWidth="1"/>
    <col min="4354" max="4354" width="27.42578125" style="243" customWidth="1"/>
    <col min="4355" max="4355" width="20.7109375" style="243" customWidth="1"/>
    <col min="4356" max="4356" width="16.28515625" style="243" customWidth="1"/>
    <col min="4357" max="4357" width="16.85546875" style="243" customWidth="1"/>
    <col min="4358" max="4608" width="9.28515625" style="243"/>
    <col min="4609" max="4609" width="1.42578125" style="243" customWidth="1"/>
    <col min="4610" max="4610" width="27.42578125" style="243" customWidth="1"/>
    <col min="4611" max="4611" width="20.7109375" style="243" customWidth="1"/>
    <col min="4612" max="4612" width="16.28515625" style="243" customWidth="1"/>
    <col min="4613" max="4613" width="16.85546875" style="243" customWidth="1"/>
    <col min="4614" max="4864" width="9.28515625" style="243"/>
    <col min="4865" max="4865" width="1.42578125" style="243" customWidth="1"/>
    <col min="4866" max="4866" width="27.42578125" style="243" customWidth="1"/>
    <col min="4867" max="4867" width="20.7109375" style="243" customWidth="1"/>
    <col min="4868" max="4868" width="16.28515625" style="243" customWidth="1"/>
    <col min="4869" max="4869" width="16.85546875" style="243" customWidth="1"/>
    <col min="4870" max="5120" width="9.28515625" style="243"/>
    <col min="5121" max="5121" width="1.42578125" style="243" customWidth="1"/>
    <col min="5122" max="5122" width="27.42578125" style="243" customWidth="1"/>
    <col min="5123" max="5123" width="20.7109375" style="243" customWidth="1"/>
    <col min="5124" max="5124" width="16.28515625" style="243" customWidth="1"/>
    <col min="5125" max="5125" width="16.85546875" style="243" customWidth="1"/>
    <col min="5126" max="5376" width="9.28515625" style="243"/>
    <col min="5377" max="5377" width="1.42578125" style="243" customWidth="1"/>
    <col min="5378" max="5378" width="27.42578125" style="243" customWidth="1"/>
    <col min="5379" max="5379" width="20.7109375" style="243" customWidth="1"/>
    <col min="5380" max="5380" width="16.28515625" style="243" customWidth="1"/>
    <col min="5381" max="5381" width="16.85546875" style="243" customWidth="1"/>
    <col min="5382" max="5632" width="9.28515625" style="243"/>
    <col min="5633" max="5633" width="1.42578125" style="243" customWidth="1"/>
    <col min="5634" max="5634" width="27.42578125" style="243" customWidth="1"/>
    <col min="5635" max="5635" width="20.7109375" style="243" customWidth="1"/>
    <col min="5636" max="5636" width="16.28515625" style="243" customWidth="1"/>
    <col min="5637" max="5637" width="16.85546875" style="243" customWidth="1"/>
    <col min="5638" max="5888" width="9.28515625" style="243"/>
    <col min="5889" max="5889" width="1.42578125" style="243" customWidth="1"/>
    <col min="5890" max="5890" width="27.42578125" style="243" customWidth="1"/>
    <col min="5891" max="5891" width="20.7109375" style="243" customWidth="1"/>
    <col min="5892" max="5892" width="16.28515625" style="243" customWidth="1"/>
    <col min="5893" max="5893" width="16.85546875" style="243" customWidth="1"/>
    <col min="5894" max="6144" width="9.28515625" style="243"/>
    <col min="6145" max="6145" width="1.42578125" style="243" customWidth="1"/>
    <col min="6146" max="6146" width="27.42578125" style="243" customWidth="1"/>
    <col min="6147" max="6147" width="20.7109375" style="243" customWidth="1"/>
    <col min="6148" max="6148" width="16.28515625" style="243" customWidth="1"/>
    <col min="6149" max="6149" width="16.85546875" style="243" customWidth="1"/>
    <col min="6150" max="6400" width="9.28515625" style="243"/>
    <col min="6401" max="6401" width="1.42578125" style="243" customWidth="1"/>
    <col min="6402" max="6402" width="27.42578125" style="243" customWidth="1"/>
    <col min="6403" max="6403" width="20.7109375" style="243" customWidth="1"/>
    <col min="6404" max="6404" width="16.28515625" style="243" customWidth="1"/>
    <col min="6405" max="6405" width="16.85546875" style="243" customWidth="1"/>
    <col min="6406" max="6656" width="9.28515625" style="243"/>
    <col min="6657" max="6657" width="1.42578125" style="243" customWidth="1"/>
    <col min="6658" max="6658" width="27.42578125" style="243" customWidth="1"/>
    <col min="6659" max="6659" width="20.7109375" style="243" customWidth="1"/>
    <col min="6660" max="6660" width="16.28515625" style="243" customWidth="1"/>
    <col min="6661" max="6661" width="16.85546875" style="243" customWidth="1"/>
    <col min="6662" max="6912" width="9.28515625" style="243"/>
    <col min="6913" max="6913" width="1.42578125" style="243" customWidth="1"/>
    <col min="6914" max="6914" width="27.42578125" style="243" customWidth="1"/>
    <col min="6915" max="6915" width="20.7109375" style="243" customWidth="1"/>
    <col min="6916" max="6916" width="16.28515625" style="243" customWidth="1"/>
    <col min="6917" max="6917" width="16.85546875" style="243" customWidth="1"/>
    <col min="6918" max="7168" width="9.28515625" style="243"/>
    <col min="7169" max="7169" width="1.42578125" style="243" customWidth="1"/>
    <col min="7170" max="7170" width="27.42578125" style="243" customWidth="1"/>
    <col min="7171" max="7171" width="20.7109375" style="243" customWidth="1"/>
    <col min="7172" max="7172" width="16.28515625" style="243" customWidth="1"/>
    <col min="7173" max="7173" width="16.85546875" style="243" customWidth="1"/>
    <col min="7174" max="7424" width="9.28515625" style="243"/>
    <col min="7425" max="7425" width="1.42578125" style="243" customWidth="1"/>
    <col min="7426" max="7426" width="27.42578125" style="243" customWidth="1"/>
    <col min="7427" max="7427" width="20.7109375" style="243" customWidth="1"/>
    <col min="7428" max="7428" width="16.28515625" style="243" customWidth="1"/>
    <col min="7429" max="7429" width="16.85546875" style="243" customWidth="1"/>
    <col min="7430" max="7680" width="9.28515625" style="243"/>
    <col min="7681" max="7681" width="1.42578125" style="243" customWidth="1"/>
    <col min="7682" max="7682" width="27.42578125" style="243" customWidth="1"/>
    <col min="7683" max="7683" width="20.7109375" style="243" customWidth="1"/>
    <col min="7684" max="7684" width="16.28515625" style="243" customWidth="1"/>
    <col min="7685" max="7685" width="16.85546875" style="243" customWidth="1"/>
    <col min="7686" max="7936" width="9.28515625" style="243"/>
    <col min="7937" max="7937" width="1.42578125" style="243" customWidth="1"/>
    <col min="7938" max="7938" width="27.42578125" style="243" customWidth="1"/>
    <col min="7939" max="7939" width="20.7109375" style="243" customWidth="1"/>
    <col min="7940" max="7940" width="16.28515625" style="243" customWidth="1"/>
    <col min="7941" max="7941" width="16.85546875" style="243" customWidth="1"/>
    <col min="7942" max="8192" width="9.28515625" style="243"/>
    <col min="8193" max="8193" width="1.42578125" style="243" customWidth="1"/>
    <col min="8194" max="8194" width="27.42578125" style="243" customWidth="1"/>
    <col min="8195" max="8195" width="20.7109375" style="243" customWidth="1"/>
    <col min="8196" max="8196" width="16.28515625" style="243" customWidth="1"/>
    <col min="8197" max="8197" width="16.85546875" style="243" customWidth="1"/>
    <col min="8198" max="8448" width="9.28515625" style="243"/>
    <col min="8449" max="8449" width="1.42578125" style="243" customWidth="1"/>
    <col min="8450" max="8450" width="27.42578125" style="243" customWidth="1"/>
    <col min="8451" max="8451" width="20.7109375" style="243" customWidth="1"/>
    <col min="8452" max="8452" width="16.28515625" style="243" customWidth="1"/>
    <col min="8453" max="8453" width="16.85546875" style="243" customWidth="1"/>
    <col min="8454" max="8704" width="9.28515625" style="243"/>
    <col min="8705" max="8705" width="1.42578125" style="243" customWidth="1"/>
    <col min="8706" max="8706" width="27.42578125" style="243" customWidth="1"/>
    <col min="8707" max="8707" width="20.7109375" style="243" customWidth="1"/>
    <col min="8708" max="8708" width="16.28515625" style="243" customWidth="1"/>
    <col min="8709" max="8709" width="16.85546875" style="243" customWidth="1"/>
    <col min="8710" max="8960" width="9.28515625" style="243"/>
    <col min="8961" max="8961" width="1.42578125" style="243" customWidth="1"/>
    <col min="8962" max="8962" width="27.42578125" style="243" customWidth="1"/>
    <col min="8963" max="8963" width="20.7109375" style="243" customWidth="1"/>
    <col min="8964" max="8964" width="16.28515625" style="243" customWidth="1"/>
    <col min="8965" max="8965" width="16.85546875" style="243" customWidth="1"/>
    <col min="8966" max="9216" width="9.28515625" style="243"/>
    <col min="9217" max="9217" width="1.42578125" style="243" customWidth="1"/>
    <col min="9218" max="9218" width="27.42578125" style="243" customWidth="1"/>
    <col min="9219" max="9219" width="20.7109375" style="243" customWidth="1"/>
    <col min="9220" max="9220" width="16.28515625" style="243" customWidth="1"/>
    <col min="9221" max="9221" width="16.85546875" style="243" customWidth="1"/>
    <col min="9222" max="9472" width="9.28515625" style="243"/>
    <col min="9473" max="9473" width="1.42578125" style="243" customWidth="1"/>
    <col min="9474" max="9474" width="27.42578125" style="243" customWidth="1"/>
    <col min="9475" max="9475" width="20.7109375" style="243" customWidth="1"/>
    <col min="9476" max="9476" width="16.28515625" style="243" customWidth="1"/>
    <col min="9477" max="9477" width="16.85546875" style="243" customWidth="1"/>
    <col min="9478" max="9728" width="9.28515625" style="243"/>
    <col min="9729" max="9729" width="1.42578125" style="243" customWidth="1"/>
    <col min="9730" max="9730" width="27.42578125" style="243" customWidth="1"/>
    <col min="9731" max="9731" width="20.7109375" style="243" customWidth="1"/>
    <col min="9732" max="9732" width="16.28515625" style="243" customWidth="1"/>
    <col min="9733" max="9733" width="16.85546875" style="243" customWidth="1"/>
    <col min="9734" max="9984" width="9.28515625" style="243"/>
    <col min="9985" max="9985" width="1.42578125" style="243" customWidth="1"/>
    <col min="9986" max="9986" width="27.42578125" style="243" customWidth="1"/>
    <col min="9987" max="9987" width="20.7109375" style="243" customWidth="1"/>
    <col min="9988" max="9988" width="16.28515625" style="243" customWidth="1"/>
    <col min="9989" max="9989" width="16.85546875" style="243" customWidth="1"/>
    <col min="9990" max="10240" width="9.28515625" style="243"/>
    <col min="10241" max="10241" width="1.42578125" style="243" customWidth="1"/>
    <col min="10242" max="10242" width="27.42578125" style="243" customWidth="1"/>
    <col min="10243" max="10243" width="20.7109375" style="243" customWidth="1"/>
    <col min="10244" max="10244" width="16.28515625" style="243" customWidth="1"/>
    <col min="10245" max="10245" width="16.85546875" style="243" customWidth="1"/>
    <col min="10246" max="10496" width="9.28515625" style="243"/>
    <col min="10497" max="10497" width="1.42578125" style="243" customWidth="1"/>
    <col min="10498" max="10498" width="27.42578125" style="243" customWidth="1"/>
    <col min="10499" max="10499" width="20.7109375" style="243" customWidth="1"/>
    <col min="10500" max="10500" width="16.28515625" style="243" customWidth="1"/>
    <col min="10501" max="10501" width="16.85546875" style="243" customWidth="1"/>
    <col min="10502" max="10752" width="9.28515625" style="243"/>
    <col min="10753" max="10753" width="1.42578125" style="243" customWidth="1"/>
    <col min="10754" max="10754" width="27.42578125" style="243" customWidth="1"/>
    <col min="10755" max="10755" width="20.7109375" style="243" customWidth="1"/>
    <col min="10756" max="10756" width="16.28515625" style="243" customWidth="1"/>
    <col min="10757" max="10757" width="16.85546875" style="243" customWidth="1"/>
    <col min="10758" max="11008" width="9.28515625" style="243"/>
    <col min="11009" max="11009" width="1.42578125" style="243" customWidth="1"/>
    <col min="11010" max="11010" width="27.42578125" style="243" customWidth="1"/>
    <col min="11011" max="11011" width="20.7109375" style="243" customWidth="1"/>
    <col min="11012" max="11012" width="16.28515625" style="243" customWidth="1"/>
    <col min="11013" max="11013" width="16.85546875" style="243" customWidth="1"/>
    <col min="11014" max="11264" width="9.28515625" style="243"/>
    <col min="11265" max="11265" width="1.42578125" style="243" customWidth="1"/>
    <col min="11266" max="11266" width="27.42578125" style="243" customWidth="1"/>
    <col min="11267" max="11267" width="20.7109375" style="243" customWidth="1"/>
    <col min="11268" max="11268" width="16.28515625" style="243" customWidth="1"/>
    <col min="11269" max="11269" width="16.85546875" style="243" customWidth="1"/>
    <col min="11270" max="11520" width="9.28515625" style="243"/>
    <col min="11521" max="11521" width="1.42578125" style="243" customWidth="1"/>
    <col min="11522" max="11522" width="27.42578125" style="243" customWidth="1"/>
    <col min="11523" max="11523" width="20.7109375" style="243" customWidth="1"/>
    <col min="11524" max="11524" width="16.28515625" style="243" customWidth="1"/>
    <col min="11525" max="11525" width="16.85546875" style="243" customWidth="1"/>
    <col min="11526" max="11776" width="9.28515625" style="243"/>
    <col min="11777" max="11777" width="1.42578125" style="243" customWidth="1"/>
    <col min="11778" max="11778" width="27.42578125" style="243" customWidth="1"/>
    <col min="11779" max="11779" width="20.7109375" style="243" customWidth="1"/>
    <col min="11780" max="11780" width="16.28515625" style="243" customWidth="1"/>
    <col min="11781" max="11781" width="16.85546875" style="243" customWidth="1"/>
    <col min="11782" max="12032" width="9.28515625" style="243"/>
    <col min="12033" max="12033" width="1.42578125" style="243" customWidth="1"/>
    <col min="12034" max="12034" width="27.42578125" style="243" customWidth="1"/>
    <col min="12035" max="12035" width="20.7109375" style="243" customWidth="1"/>
    <col min="12036" max="12036" width="16.28515625" style="243" customWidth="1"/>
    <col min="12037" max="12037" width="16.85546875" style="243" customWidth="1"/>
    <col min="12038" max="12288" width="9.28515625" style="243"/>
    <col min="12289" max="12289" width="1.42578125" style="243" customWidth="1"/>
    <col min="12290" max="12290" width="27.42578125" style="243" customWidth="1"/>
    <col min="12291" max="12291" width="20.7109375" style="243" customWidth="1"/>
    <col min="12292" max="12292" width="16.28515625" style="243" customWidth="1"/>
    <col min="12293" max="12293" width="16.85546875" style="243" customWidth="1"/>
    <col min="12294" max="12544" width="9.28515625" style="243"/>
    <col min="12545" max="12545" width="1.42578125" style="243" customWidth="1"/>
    <col min="12546" max="12546" width="27.42578125" style="243" customWidth="1"/>
    <col min="12547" max="12547" width="20.7109375" style="243" customWidth="1"/>
    <col min="12548" max="12548" width="16.28515625" style="243" customWidth="1"/>
    <col min="12549" max="12549" width="16.85546875" style="243" customWidth="1"/>
    <col min="12550" max="12800" width="9.28515625" style="243"/>
    <col min="12801" max="12801" width="1.42578125" style="243" customWidth="1"/>
    <col min="12802" max="12802" width="27.42578125" style="243" customWidth="1"/>
    <col min="12803" max="12803" width="20.7109375" style="243" customWidth="1"/>
    <col min="12804" max="12804" width="16.28515625" style="243" customWidth="1"/>
    <col min="12805" max="12805" width="16.85546875" style="243" customWidth="1"/>
    <col min="12806" max="13056" width="9.28515625" style="243"/>
    <col min="13057" max="13057" width="1.42578125" style="243" customWidth="1"/>
    <col min="13058" max="13058" width="27.42578125" style="243" customWidth="1"/>
    <col min="13059" max="13059" width="20.7109375" style="243" customWidth="1"/>
    <col min="13060" max="13060" width="16.28515625" style="243" customWidth="1"/>
    <col min="13061" max="13061" width="16.85546875" style="243" customWidth="1"/>
    <col min="13062" max="13312" width="9.28515625" style="243"/>
    <col min="13313" max="13313" width="1.42578125" style="243" customWidth="1"/>
    <col min="13314" max="13314" width="27.42578125" style="243" customWidth="1"/>
    <col min="13315" max="13315" width="20.7109375" style="243" customWidth="1"/>
    <col min="13316" max="13316" width="16.28515625" style="243" customWidth="1"/>
    <col min="13317" max="13317" width="16.85546875" style="243" customWidth="1"/>
    <col min="13318" max="13568" width="9.28515625" style="243"/>
    <col min="13569" max="13569" width="1.42578125" style="243" customWidth="1"/>
    <col min="13570" max="13570" width="27.42578125" style="243" customWidth="1"/>
    <col min="13571" max="13571" width="20.7109375" style="243" customWidth="1"/>
    <col min="13572" max="13572" width="16.28515625" style="243" customWidth="1"/>
    <col min="13573" max="13573" width="16.85546875" style="243" customWidth="1"/>
    <col min="13574" max="13824" width="9.28515625" style="243"/>
    <col min="13825" max="13825" width="1.42578125" style="243" customWidth="1"/>
    <col min="13826" max="13826" width="27.42578125" style="243" customWidth="1"/>
    <col min="13827" max="13827" width="20.7109375" style="243" customWidth="1"/>
    <col min="13828" max="13828" width="16.28515625" style="243" customWidth="1"/>
    <col min="13829" max="13829" width="16.85546875" style="243" customWidth="1"/>
    <col min="13830" max="14080" width="9.28515625" style="243"/>
    <col min="14081" max="14081" width="1.42578125" style="243" customWidth="1"/>
    <col min="14082" max="14082" width="27.42578125" style="243" customWidth="1"/>
    <col min="14083" max="14083" width="20.7109375" style="243" customWidth="1"/>
    <col min="14084" max="14084" width="16.28515625" style="243" customWidth="1"/>
    <col min="14085" max="14085" width="16.85546875" style="243" customWidth="1"/>
    <col min="14086" max="14336" width="9.28515625" style="243"/>
    <col min="14337" max="14337" width="1.42578125" style="243" customWidth="1"/>
    <col min="14338" max="14338" width="27.42578125" style="243" customWidth="1"/>
    <col min="14339" max="14339" width="20.7109375" style="243" customWidth="1"/>
    <col min="14340" max="14340" width="16.28515625" style="243" customWidth="1"/>
    <col min="14341" max="14341" width="16.85546875" style="243" customWidth="1"/>
    <col min="14342" max="14592" width="9.28515625" style="243"/>
    <col min="14593" max="14593" width="1.42578125" style="243" customWidth="1"/>
    <col min="14594" max="14594" width="27.42578125" style="243" customWidth="1"/>
    <col min="14595" max="14595" width="20.7109375" style="243" customWidth="1"/>
    <col min="14596" max="14596" width="16.28515625" style="243" customWidth="1"/>
    <col min="14597" max="14597" width="16.85546875" style="243" customWidth="1"/>
    <col min="14598" max="14848" width="9.28515625" style="243"/>
    <col min="14849" max="14849" width="1.42578125" style="243" customWidth="1"/>
    <col min="14850" max="14850" width="27.42578125" style="243" customWidth="1"/>
    <col min="14851" max="14851" width="20.7109375" style="243" customWidth="1"/>
    <col min="14852" max="14852" width="16.28515625" style="243" customWidth="1"/>
    <col min="14853" max="14853" width="16.85546875" style="243" customWidth="1"/>
    <col min="14854" max="15104" width="9.28515625" style="243"/>
    <col min="15105" max="15105" width="1.42578125" style="243" customWidth="1"/>
    <col min="15106" max="15106" width="27.42578125" style="243" customWidth="1"/>
    <col min="15107" max="15107" width="20.7109375" style="243" customWidth="1"/>
    <col min="15108" max="15108" width="16.28515625" style="243" customWidth="1"/>
    <col min="15109" max="15109" width="16.85546875" style="243" customWidth="1"/>
    <col min="15110" max="15360" width="9.28515625" style="243"/>
    <col min="15361" max="15361" width="1.42578125" style="243" customWidth="1"/>
    <col min="15362" max="15362" width="27.42578125" style="243" customWidth="1"/>
    <col min="15363" max="15363" width="20.7109375" style="243" customWidth="1"/>
    <col min="15364" max="15364" width="16.28515625" style="243" customWidth="1"/>
    <col min="15365" max="15365" width="16.85546875" style="243" customWidth="1"/>
    <col min="15366" max="15616" width="9.28515625" style="243"/>
    <col min="15617" max="15617" width="1.42578125" style="243" customWidth="1"/>
    <col min="15618" max="15618" width="27.42578125" style="243" customWidth="1"/>
    <col min="15619" max="15619" width="20.7109375" style="243" customWidth="1"/>
    <col min="15620" max="15620" width="16.28515625" style="243" customWidth="1"/>
    <col min="15621" max="15621" width="16.85546875" style="243" customWidth="1"/>
    <col min="15622" max="15872" width="9.28515625" style="243"/>
    <col min="15873" max="15873" width="1.42578125" style="243" customWidth="1"/>
    <col min="15874" max="15874" width="27.42578125" style="243" customWidth="1"/>
    <col min="15875" max="15875" width="20.7109375" style="243" customWidth="1"/>
    <col min="15876" max="15876" width="16.28515625" style="243" customWidth="1"/>
    <col min="15877" max="15877" width="16.85546875" style="243" customWidth="1"/>
    <col min="15878" max="16128" width="9.28515625" style="243"/>
    <col min="16129" max="16129" width="1.42578125" style="243" customWidth="1"/>
    <col min="16130" max="16130" width="27.42578125" style="243" customWidth="1"/>
    <col min="16131" max="16131" width="20.7109375" style="243" customWidth="1"/>
    <col min="16132" max="16132" width="16.28515625" style="243" customWidth="1"/>
    <col min="16133" max="16133" width="16.85546875" style="243" customWidth="1"/>
    <col min="16134" max="16384" width="9.28515625" style="243"/>
  </cols>
  <sheetData>
    <row r="1" spans="1:5" ht="35.1" customHeight="1">
      <c r="A1" s="1056" t="str">
        <f>+Títulos!$B$2&amp;"
ENDEUDAMIENTO NETO
DEL 01 DE ENERO AL "&amp;Títulos!$B$3</f>
        <v>TRIBUNAL DE JUSTICIA ADMINISTRATIVA
ENDEUDAMIENTO NETO
DEL 01 DE ENERO AL 31 DE DICIEMBRE DE 2017</v>
      </c>
      <c r="B1" s="1056"/>
      <c r="C1" s="1056"/>
      <c r="D1" s="1056"/>
      <c r="E1" s="1057"/>
    </row>
    <row r="2" spans="1:5" ht="34.15" customHeight="1">
      <c r="A2" s="8"/>
      <c r="B2" s="9" t="s">
        <v>281</v>
      </c>
      <c r="C2" s="8" t="s">
        <v>282</v>
      </c>
      <c r="D2" s="8" t="s">
        <v>283</v>
      </c>
      <c r="E2" s="10" t="s">
        <v>284</v>
      </c>
    </row>
    <row r="3" spans="1:5">
      <c r="A3" s="678"/>
      <c r="B3" s="245" t="s">
        <v>285</v>
      </c>
      <c r="C3" s="245"/>
      <c r="D3" s="245"/>
      <c r="E3" s="670"/>
    </row>
    <row r="4" spans="1:5">
      <c r="A4" s="679"/>
      <c r="B4" s="74" t="s">
        <v>381</v>
      </c>
      <c r="C4" s="681"/>
      <c r="D4" s="681"/>
      <c r="E4" s="682">
        <f t="shared" ref="E4:E11" si="0">IF(AND(C4&gt;=0,D4&gt;=0),(C4-D4),"-")</f>
        <v>0</v>
      </c>
    </row>
    <row r="5" spans="1:5">
      <c r="A5" s="679"/>
      <c r="B5" s="680"/>
      <c r="C5" s="681"/>
      <c r="D5" s="681"/>
      <c r="E5" s="682">
        <f t="shared" si="0"/>
        <v>0</v>
      </c>
    </row>
    <row r="6" spans="1:5">
      <c r="A6" s="679"/>
      <c r="B6" s="680"/>
      <c r="C6" s="681"/>
      <c r="D6" s="681"/>
      <c r="E6" s="682">
        <f t="shared" si="0"/>
        <v>0</v>
      </c>
    </row>
    <row r="7" spans="1:5">
      <c r="A7" s="679"/>
      <c r="B7" s="680"/>
      <c r="C7" s="681"/>
      <c r="D7" s="681"/>
      <c r="E7" s="682">
        <f t="shared" si="0"/>
        <v>0</v>
      </c>
    </row>
    <row r="8" spans="1:5">
      <c r="A8" s="679"/>
      <c r="B8" s="680"/>
      <c r="C8" s="681"/>
      <c r="D8" s="681"/>
      <c r="E8" s="682">
        <f t="shared" si="0"/>
        <v>0</v>
      </c>
    </row>
    <row r="9" spans="1:5">
      <c r="A9" s="679"/>
      <c r="B9" s="680"/>
      <c r="C9" s="681"/>
      <c r="D9" s="681"/>
      <c r="E9" s="682">
        <f t="shared" si="0"/>
        <v>0</v>
      </c>
    </row>
    <row r="10" spans="1:5">
      <c r="A10" s="679"/>
      <c r="B10" s="680"/>
      <c r="C10" s="681"/>
      <c r="D10" s="681"/>
      <c r="E10" s="682">
        <f t="shared" si="0"/>
        <v>0</v>
      </c>
    </row>
    <row r="11" spans="1:5">
      <c r="A11" s="679"/>
      <c r="B11" s="680"/>
      <c r="C11" s="681"/>
      <c r="D11" s="681"/>
      <c r="E11" s="682">
        <f t="shared" si="0"/>
        <v>0</v>
      </c>
    </row>
    <row r="12" spans="1:5">
      <c r="A12" s="181">
        <v>900001</v>
      </c>
      <c r="B12" s="671" t="s">
        <v>287</v>
      </c>
      <c r="C12" s="672">
        <f>SUM(C4:C11)</f>
        <v>0</v>
      </c>
      <c r="D12" s="672">
        <f>SUM(D4:D11)</f>
        <v>0</v>
      </c>
      <c r="E12" s="673">
        <f>SUM(E4:E11)</f>
        <v>0</v>
      </c>
    </row>
    <row r="13" spans="1:5">
      <c r="A13" s="8"/>
      <c r="B13" s="674" t="s">
        <v>288</v>
      </c>
      <c r="C13" s="674"/>
      <c r="D13" s="674"/>
      <c r="E13" s="9"/>
    </row>
    <row r="14" spans="1:5">
      <c r="A14" s="679"/>
      <c r="B14" s="680"/>
      <c r="C14" s="681"/>
      <c r="D14" s="681"/>
      <c r="E14" s="682">
        <f t="shared" ref="E14:E23" si="1">IF(AND(C14&gt;=0,D14&gt;=0),(C14-D14),"-")</f>
        <v>0</v>
      </c>
    </row>
    <row r="15" spans="1:5">
      <c r="A15" s="679"/>
      <c r="B15" s="74" t="s">
        <v>381</v>
      </c>
      <c r="C15" s="681"/>
      <c r="D15" s="681"/>
      <c r="E15" s="682">
        <f t="shared" si="1"/>
        <v>0</v>
      </c>
    </row>
    <row r="16" spans="1:5">
      <c r="A16" s="679"/>
      <c r="B16" s="680"/>
      <c r="C16" s="681"/>
      <c r="D16" s="681"/>
      <c r="E16" s="682">
        <f t="shared" si="1"/>
        <v>0</v>
      </c>
    </row>
    <row r="17" spans="1:5">
      <c r="A17" s="679"/>
      <c r="B17" s="680"/>
      <c r="C17" s="681"/>
      <c r="D17" s="681"/>
      <c r="E17" s="682">
        <f t="shared" si="1"/>
        <v>0</v>
      </c>
    </row>
    <row r="18" spans="1:5">
      <c r="A18" s="679"/>
      <c r="B18" s="680"/>
      <c r="C18" s="681"/>
      <c r="D18" s="681"/>
      <c r="E18" s="682">
        <f t="shared" si="1"/>
        <v>0</v>
      </c>
    </row>
    <row r="19" spans="1:5">
      <c r="A19" s="679"/>
      <c r="B19" s="680"/>
      <c r="C19" s="681"/>
      <c r="D19" s="681"/>
      <c r="E19" s="682">
        <f t="shared" si="1"/>
        <v>0</v>
      </c>
    </row>
    <row r="20" spans="1:5">
      <c r="A20" s="679"/>
      <c r="B20" s="680"/>
      <c r="C20" s="681"/>
      <c r="D20" s="681"/>
      <c r="E20" s="682">
        <f t="shared" si="1"/>
        <v>0</v>
      </c>
    </row>
    <row r="21" spans="1:5">
      <c r="A21" s="679"/>
      <c r="B21" s="680"/>
      <c r="C21" s="681"/>
      <c r="D21" s="681"/>
      <c r="E21" s="682">
        <f t="shared" si="1"/>
        <v>0</v>
      </c>
    </row>
    <row r="22" spans="1:5">
      <c r="A22" s="679"/>
      <c r="B22" s="680"/>
      <c r="C22" s="681"/>
      <c r="D22" s="681"/>
      <c r="E22" s="682">
        <f t="shared" si="1"/>
        <v>0</v>
      </c>
    </row>
    <row r="23" spans="1:5">
      <c r="A23" s="679"/>
      <c r="B23" s="680"/>
      <c r="C23" s="681"/>
      <c r="D23" s="681"/>
      <c r="E23" s="682">
        <f t="shared" si="1"/>
        <v>0</v>
      </c>
    </row>
    <row r="24" spans="1:5">
      <c r="A24" s="181">
        <v>900002</v>
      </c>
      <c r="B24" s="671" t="s">
        <v>289</v>
      </c>
      <c r="C24" s="672">
        <f>SUM(C14:C23)</f>
        <v>0</v>
      </c>
      <c r="D24" s="672">
        <f>SUM(D14:D23)</f>
        <v>0</v>
      </c>
      <c r="E24" s="673">
        <f>SUM(E14:E23)</f>
        <v>0</v>
      </c>
    </row>
    <row r="25" spans="1:5">
      <c r="A25" s="186">
        <v>900003</v>
      </c>
      <c r="B25" s="675" t="s">
        <v>290</v>
      </c>
      <c r="C25" s="676">
        <f>SUM(C12,C24)</f>
        <v>0</v>
      </c>
      <c r="D25" s="676">
        <f>SUM(D12,D24)</f>
        <v>0</v>
      </c>
      <c r="E25" s="677">
        <f>SUM(E12,E24)</f>
        <v>0</v>
      </c>
    </row>
  </sheetData>
  <sheetProtection insertRows="0" deleteRows="0" autoFilter="0"/>
  <mergeCells count="1">
    <mergeCell ref="A1:E1"/>
  </mergeCells>
  <dataValidations count="3">
    <dataValidation allowBlank="1" showInputMessage="1" showErrorMessage="1" prompt="El uso del financiamiento, durante el periodo que se informa."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Pagos efectuados de las obligaciones constitutivas de deuda pública, durante el período que se informa."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 allowBlank="1" showInputMessage="1" showErrorMessage="1" prompt="Diferencia entre el uso del financiamiento y las amortizaciones efectuadas de las obligaciones constitutivas de deuda pública, durante el período que se informa."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s>
  <pageMargins left="0.7" right="0.7" top="0.75" bottom="0.75" header="0.3" footer="0.3"/>
  <ignoredErrors>
    <ignoredError sqref="C12:E25 E4:E11"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election activeCell="C33" sqref="C33"/>
    </sheetView>
  </sheetViews>
  <sheetFormatPr baseColWidth="10" defaultColWidth="11.42578125" defaultRowHeight="11.25"/>
  <cols>
    <col min="1" max="1" width="1.5703125" style="243" customWidth="1"/>
    <col min="2" max="2" width="40.7109375" style="243" customWidth="1"/>
    <col min="3" max="3" width="22.85546875" style="254" customWidth="1"/>
    <col min="4" max="4" width="17.85546875" style="254" customWidth="1"/>
    <col min="5" max="256" width="11.42578125" style="243"/>
    <col min="257" max="257" width="1.5703125" style="243" customWidth="1"/>
    <col min="258" max="258" width="40.7109375" style="243" customWidth="1"/>
    <col min="259" max="259" width="22.85546875" style="243" customWidth="1"/>
    <col min="260" max="260" width="17.85546875" style="243" customWidth="1"/>
    <col min="261" max="512" width="11.42578125" style="243"/>
    <col min="513" max="513" width="1.5703125" style="243" customWidth="1"/>
    <col min="514" max="514" width="40.7109375" style="243" customWidth="1"/>
    <col min="515" max="515" width="22.85546875" style="243" customWidth="1"/>
    <col min="516" max="516" width="17.85546875" style="243" customWidth="1"/>
    <col min="517" max="768" width="11.42578125" style="243"/>
    <col min="769" max="769" width="1.5703125" style="243" customWidth="1"/>
    <col min="770" max="770" width="40.7109375" style="243" customWidth="1"/>
    <col min="771" max="771" width="22.85546875" style="243" customWidth="1"/>
    <col min="772" max="772" width="17.85546875" style="243" customWidth="1"/>
    <col min="773" max="1024" width="11.42578125" style="243"/>
    <col min="1025" max="1025" width="1.5703125" style="243" customWidth="1"/>
    <col min="1026" max="1026" width="40.7109375" style="243" customWidth="1"/>
    <col min="1027" max="1027" width="22.85546875" style="243" customWidth="1"/>
    <col min="1028" max="1028" width="17.85546875" style="243" customWidth="1"/>
    <col min="1029" max="1280" width="11.42578125" style="243"/>
    <col min="1281" max="1281" width="1.5703125" style="243" customWidth="1"/>
    <col min="1282" max="1282" width="40.7109375" style="243" customWidth="1"/>
    <col min="1283" max="1283" width="22.85546875" style="243" customWidth="1"/>
    <col min="1284" max="1284" width="17.85546875" style="243" customWidth="1"/>
    <col min="1285" max="1536" width="11.42578125" style="243"/>
    <col min="1537" max="1537" width="1.5703125" style="243" customWidth="1"/>
    <col min="1538" max="1538" width="40.7109375" style="243" customWidth="1"/>
    <col min="1539" max="1539" width="22.85546875" style="243" customWidth="1"/>
    <col min="1540" max="1540" width="17.85546875" style="243" customWidth="1"/>
    <col min="1541" max="1792" width="11.42578125" style="243"/>
    <col min="1793" max="1793" width="1.5703125" style="243" customWidth="1"/>
    <col min="1794" max="1794" width="40.7109375" style="243" customWidth="1"/>
    <col min="1795" max="1795" width="22.85546875" style="243" customWidth="1"/>
    <col min="1796" max="1796" width="17.85546875" style="243" customWidth="1"/>
    <col min="1797" max="2048" width="11.42578125" style="243"/>
    <col min="2049" max="2049" width="1.5703125" style="243" customWidth="1"/>
    <col min="2050" max="2050" width="40.7109375" style="243" customWidth="1"/>
    <col min="2051" max="2051" width="22.85546875" style="243" customWidth="1"/>
    <col min="2052" max="2052" width="17.85546875" style="243" customWidth="1"/>
    <col min="2053" max="2304" width="11.42578125" style="243"/>
    <col min="2305" max="2305" width="1.5703125" style="243" customWidth="1"/>
    <col min="2306" max="2306" width="40.7109375" style="243" customWidth="1"/>
    <col min="2307" max="2307" width="22.85546875" style="243" customWidth="1"/>
    <col min="2308" max="2308" width="17.85546875" style="243" customWidth="1"/>
    <col min="2309" max="2560" width="11.42578125" style="243"/>
    <col min="2561" max="2561" width="1.5703125" style="243" customWidth="1"/>
    <col min="2562" max="2562" width="40.7109375" style="243" customWidth="1"/>
    <col min="2563" max="2563" width="22.85546875" style="243" customWidth="1"/>
    <col min="2564" max="2564" width="17.85546875" style="243" customWidth="1"/>
    <col min="2565" max="2816" width="11.42578125" style="243"/>
    <col min="2817" max="2817" width="1.5703125" style="243" customWidth="1"/>
    <col min="2818" max="2818" width="40.7109375" style="243" customWidth="1"/>
    <col min="2819" max="2819" width="22.85546875" style="243" customWidth="1"/>
    <col min="2820" max="2820" width="17.85546875" style="243" customWidth="1"/>
    <col min="2821" max="3072" width="11.42578125" style="243"/>
    <col min="3073" max="3073" width="1.5703125" style="243" customWidth="1"/>
    <col min="3074" max="3074" width="40.7109375" style="243" customWidth="1"/>
    <col min="3075" max="3075" width="22.85546875" style="243" customWidth="1"/>
    <col min="3076" max="3076" width="17.85546875" style="243" customWidth="1"/>
    <col min="3077" max="3328" width="11.42578125" style="243"/>
    <col min="3329" max="3329" width="1.5703125" style="243" customWidth="1"/>
    <col min="3330" max="3330" width="40.7109375" style="243" customWidth="1"/>
    <col min="3331" max="3331" width="22.85546875" style="243" customWidth="1"/>
    <col min="3332" max="3332" width="17.85546875" style="243" customWidth="1"/>
    <col min="3333" max="3584" width="11.42578125" style="243"/>
    <col min="3585" max="3585" width="1.5703125" style="243" customWidth="1"/>
    <col min="3586" max="3586" width="40.7109375" style="243" customWidth="1"/>
    <col min="3587" max="3587" width="22.85546875" style="243" customWidth="1"/>
    <col min="3588" max="3588" width="17.85546875" style="243" customWidth="1"/>
    <col min="3589" max="3840" width="11.42578125" style="243"/>
    <col min="3841" max="3841" width="1.5703125" style="243" customWidth="1"/>
    <col min="3842" max="3842" width="40.7109375" style="243" customWidth="1"/>
    <col min="3843" max="3843" width="22.85546875" style="243" customWidth="1"/>
    <col min="3844" max="3844" width="17.85546875" style="243" customWidth="1"/>
    <col min="3845" max="4096" width="11.42578125" style="243"/>
    <col min="4097" max="4097" width="1.5703125" style="243" customWidth="1"/>
    <col min="4098" max="4098" width="40.7109375" style="243" customWidth="1"/>
    <col min="4099" max="4099" width="22.85546875" style="243" customWidth="1"/>
    <col min="4100" max="4100" width="17.85546875" style="243" customWidth="1"/>
    <col min="4101" max="4352" width="11.42578125" style="243"/>
    <col min="4353" max="4353" width="1.5703125" style="243" customWidth="1"/>
    <col min="4354" max="4354" width="40.7109375" style="243" customWidth="1"/>
    <col min="4355" max="4355" width="22.85546875" style="243" customWidth="1"/>
    <col min="4356" max="4356" width="17.85546875" style="243" customWidth="1"/>
    <col min="4357" max="4608" width="11.42578125" style="243"/>
    <col min="4609" max="4609" width="1.5703125" style="243" customWidth="1"/>
    <col min="4610" max="4610" width="40.7109375" style="243" customWidth="1"/>
    <col min="4611" max="4611" width="22.85546875" style="243" customWidth="1"/>
    <col min="4612" max="4612" width="17.85546875" style="243" customWidth="1"/>
    <col min="4613" max="4864" width="11.42578125" style="243"/>
    <col min="4865" max="4865" width="1.5703125" style="243" customWidth="1"/>
    <col min="4866" max="4866" width="40.7109375" style="243" customWidth="1"/>
    <col min="4867" max="4867" width="22.85546875" style="243" customWidth="1"/>
    <col min="4868" max="4868" width="17.85546875" style="243" customWidth="1"/>
    <col min="4869" max="5120" width="11.42578125" style="243"/>
    <col min="5121" max="5121" width="1.5703125" style="243" customWidth="1"/>
    <col min="5122" max="5122" width="40.7109375" style="243" customWidth="1"/>
    <col min="5123" max="5123" width="22.85546875" style="243" customWidth="1"/>
    <col min="5124" max="5124" width="17.85546875" style="243" customWidth="1"/>
    <col min="5125" max="5376" width="11.42578125" style="243"/>
    <col min="5377" max="5377" width="1.5703125" style="243" customWidth="1"/>
    <col min="5378" max="5378" width="40.7109375" style="243" customWidth="1"/>
    <col min="5379" max="5379" width="22.85546875" style="243" customWidth="1"/>
    <col min="5380" max="5380" width="17.85546875" style="243" customWidth="1"/>
    <col min="5381" max="5632" width="11.42578125" style="243"/>
    <col min="5633" max="5633" width="1.5703125" style="243" customWidth="1"/>
    <col min="5634" max="5634" width="40.7109375" style="243" customWidth="1"/>
    <col min="5635" max="5635" width="22.85546875" style="243" customWidth="1"/>
    <col min="5636" max="5636" width="17.85546875" style="243" customWidth="1"/>
    <col min="5637" max="5888" width="11.42578125" style="243"/>
    <col min="5889" max="5889" width="1.5703125" style="243" customWidth="1"/>
    <col min="5890" max="5890" width="40.7109375" style="243" customWidth="1"/>
    <col min="5891" max="5891" width="22.85546875" style="243" customWidth="1"/>
    <col min="5892" max="5892" width="17.85546875" style="243" customWidth="1"/>
    <col min="5893" max="6144" width="11.42578125" style="243"/>
    <col min="6145" max="6145" width="1.5703125" style="243" customWidth="1"/>
    <col min="6146" max="6146" width="40.7109375" style="243" customWidth="1"/>
    <col min="6147" max="6147" width="22.85546875" style="243" customWidth="1"/>
    <col min="6148" max="6148" width="17.85546875" style="243" customWidth="1"/>
    <col min="6149" max="6400" width="11.42578125" style="243"/>
    <col min="6401" max="6401" width="1.5703125" style="243" customWidth="1"/>
    <col min="6402" max="6402" width="40.7109375" style="243" customWidth="1"/>
    <col min="6403" max="6403" width="22.85546875" style="243" customWidth="1"/>
    <col min="6404" max="6404" width="17.85546875" style="243" customWidth="1"/>
    <col min="6405" max="6656" width="11.42578125" style="243"/>
    <col min="6657" max="6657" width="1.5703125" style="243" customWidth="1"/>
    <col min="6658" max="6658" width="40.7109375" style="243" customWidth="1"/>
    <col min="6659" max="6659" width="22.85546875" style="243" customWidth="1"/>
    <col min="6660" max="6660" width="17.85546875" style="243" customWidth="1"/>
    <col min="6661" max="6912" width="11.42578125" style="243"/>
    <col min="6913" max="6913" width="1.5703125" style="243" customWidth="1"/>
    <col min="6914" max="6914" width="40.7109375" style="243" customWidth="1"/>
    <col min="6915" max="6915" width="22.85546875" style="243" customWidth="1"/>
    <col min="6916" max="6916" width="17.85546875" style="243" customWidth="1"/>
    <col min="6917" max="7168" width="11.42578125" style="243"/>
    <col min="7169" max="7169" width="1.5703125" style="243" customWidth="1"/>
    <col min="7170" max="7170" width="40.7109375" style="243" customWidth="1"/>
    <col min="7171" max="7171" width="22.85546875" style="243" customWidth="1"/>
    <col min="7172" max="7172" width="17.85546875" style="243" customWidth="1"/>
    <col min="7173" max="7424" width="11.42578125" style="243"/>
    <col min="7425" max="7425" width="1.5703125" style="243" customWidth="1"/>
    <col min="7426" max="7426" width="40.7109375" style="243" customWidth="1"/>
    <col min="7427" max="7427" width="22.85546875" style="243" customWidth="1"/>
    <col min="7428" max="7428" width="17.85546875" style="243" customWidth="1"/>
    <col min="7429" max="7680" width="11.42578125" style="243"/>
    <col min="7681" max="7681" width="1.5703125" style="243" customWidth="1"/>
    <col min="7682" max="7682" width="40.7109375" style="243" customWidth="1"/>
    <col min="7683" max="7683" width="22.85546875" style="243" customWidth="1"/>
    <col min="7684" max="7684" width="17.85546875" style="243" customWidth="1"/>
    <col min="7685" max="7936" width="11.42578125" style="243"/>
    <col min="7937" max="7937" width="1.5703125" style="243" customWidth="1"/>
    <col min="7938" max="7938" width="40.7109375" style="243" customWidth="1"/>
    <col min="7939" max="7939" width="22.85546875" style="243" customWidth="1"/>
    <col min="7940" max="7940" width="17.85546875" style="243" customWidth="1"/>
    <col min="7941" max="8192" width="11.42578125" style="243"/>
    <col min="8193" max="8193" width="1.5703125" style="243" customWidth="1"/>
    <col min="8194" max="8194" width="40.7109375" style="243" customWidth="1"/>
    <col min="8195" max="8195" width="22.85546875" style="243" customWidth="1"/>
    <col min="8196" max="8196" width="17.85546875" style="243" customWidth="1"/>
    <col min="8197" max="8448" width="11.42578125" style="243"/>
    <col min="8449" max="8449" width="1.5703125" style="243" customWidth="1"/>
    <col min="8450" max="8450" width="40.7109375" style="243" customWidth="1"/>
    <col min="8451" max="8451" width="22.85546875" style="243" customWidth="1"/>
    <col min="8452" max="8452" width="17.85546875" style="243" customWidth="1"/>
    <col min="8453" max="8704" width="11.42578125" style="243"/>
    <col min="8705" max="8705" width="1.5703125" style="243" customWidth="1"/>
    <col min="8706" max="8706" width="40.7109375" style="243" customWidth="1"/>
    <col min="8707" max="8707" width="22.85546875" style="243" customWidth="1"/>
    <col min="8708" max="8708" width="17.85546875" style="243" customWidth="1"/>
    <col min="8709" max="8960" width="11.42578125" style="243"/>
    <col min="8961" max="8961" width="1.5703125" style="243" customWidth="1"/>
    <col min="8962" max="8962" width="40.7109375" style="243" customWidth="1"/>
    <col min="8963" max="8963" width="22.85546875" style="243" customWidth="1"/>
    <col min="8964" max="8964" width="17.85546875" style="243" customWidth="1"/>
    <col min="8965" max="9216" width="11.42578125" style="243"/>
    <col min="9217" max="9217" width="1.5703125" style="243" customWidth="1"/>
    <col min="9218" max="9218" width="40.7109375" style="243" customWidth="1"/>
    <col min="9219" max="9219" width="22.85546875" style="243" customWidth="1"/>
    <col min="9220" max="9220" width="17.85546875" style="243" customWidth="1"/>
    <col min="9221" max="9472" width="11.42578125" style="243"/>
    <col min="9473" max="9473" width="1.5703125" style="243" customWidth="1"/>
    <col min="9474" max="9474" width="40.7109375" style="243" customWidth="1"/>
    <col min="9475" max="9475" width="22.85546875" style="243" customWidth="1"/>
    <col min="9476" max="9476" width="17.85546875" style="243" customWidth="1"/>
    <col min="9477" max="9728" width="11.42578125" style="243"/>
    <col min="9729" max="9729" width="1.5703125" style="243" customWidth="1"/>
    <col min="9730" max="9730" width="40.7109375" style="243" customWidth="1"/>
    <col min="9731" max="9731" width="22.85546875" style="243" customWidth="1"/>
    <col min="9732" max="9732" width="17.85546875" style="243" customWidth="1"/>
    <col min="9733" max="9984" width="11.42578125" style="243"/>
    <col min="9985" max="9985" width="1.5703125" style="243" customWidth="1"/>
    <col min="9986" max="9986" width="40.7109375" style="243" customWidth="1"/>
    <col min="9987" max="9987" width="22.85546875" style="243" customWidth="1"/>
    <col min="9988" max="9988" width="17.85546875" style="243" customWidth="1"/>
    <col min="9989" max="10240" width="11.42578125" style="243"/>
    <col min="10241" max="10241" width="1.5703125" style="243" customWidth="1"/>
    <col min="10242" max="10242" width="40.7109375" style="243" customWidth="1"/>
    <col min="10243" max="10243" width="22.85546875" style="243" customWidth="1"/>
    <col min="10244" max="10244" width="17.85546875" style="243" customWidth="1"/>
    <col min="10245" max="10496" width="11.42578125" style="243"/>
    <col min="10497" max="10497" width="1.5703125" style="243" customWidth="1"/>
    <col min="10498" max="10498" width="40.7109375" style="243" customWidth="1"/>
    <col min="10499" max="10499" width="22.85546875" style="243" customWidth="1"/>
    <col min="10500" max="10500" width="17.85546875" style="243" customWidth="1"/>
    <col min="10501" max="10752" width="11.42578125" style="243"/>
    <col min="10753" max="10753" width="1.5703125" style="243" customWidth="1"/>
    <col min="10754" max="10754" width="40.7109375" style="243" customWidth="1"/>
    <col min="10755" max="10755" width="22.85546875" style="243" customWidth="1"/>
    <col min="10756" max="10756" width="17.85546875" style="243" customWidth="1"/>
    <col min="10757" max="11008" width="11.42578125" style="243"/>
    <col min="11009" max="11009" width="1.5703125" style="243" customWidth="1"/>
    <col min="11010" max="11010" width="40.7109375" style="243" customWidth="1"/>
    <col min="11011" max="11011" width="22.85546875" style="243" customWidth="1"/>
    <col min="11012" max="11012" width="17.85546875" style="243" customWidth="1"/>
    <col min="11013" max="11264" width="11.42578125" style="243"/>
    <col min="11265" max="11265" width="1.5703125" style="243" customWidth="1"/>
    <col min="11266" max="11266" width="40.7109375" style="243" customWidth="1"/>
    <col min="11267" max="11267" width="22.85546875" style="243" customWidth="1"/>
    <col min="11268" max="11268" width="17.85546875" style="243" customWidth="1"/>
    <col min="11269" max="11520" width="11.42578125" style="243"/>
    <col min="11521" max="11521" width="1.5703125" style="243" customWidth="1"/>
    <col min="11522" max="11522" width="40.7109375" style="243" customWidth="1"/>
    <col min="11523" max="11523" width="22.85546875" style="243" customWidth="1"/>
    <col min="11524" max="11524" width="17.85546875" style="243" customWidth="1"/>
    <col min="11525" max="11776" width="11.42578125" style="243"/>
    <col min="11777" max="11777" width="1.5703125" style="243" customWidth="1"/>
    <col min="11778" max="11778" width="40.7109375" style="243" customWidth="1"/>
    <col min="11779" max="11779" width="22.85546875" style="243" customWidth="1"/>
    <col min="11780" max="11780" width="17.85546875" style="243" customWidth="1"/>
    <col min="11781" max="12032" width="11.42578125" style="243"/>
    <col min="12033" max="12033" width="1.5703125" style="243" customWidth="1"/>
    <col min="12034" max="12034" width="40.7109375" style="243" customWidth="1"/>
    <col min="12035" max="12035" width="22.85546875" style="243" customWidth="1"/>
    <col min="12036" max="12036" width="17.85546875" style="243" customWidth="1"/>
    <col min="12037" max="12288" width="11.42578125" style="243"/>
    <col min="12289" max="12289" width="1.5703125" style="243" customWidth="1"/>
    <col min="12290" max="12290" width="40.7109375" style="243" customWidth="1"/>
    <col min="12291" max="12291" width="22.85546875" style="243" customWidth="1"/>
    <col min="12292" max="12292" width="17.85546875" style="243" customWidth="1"/>
    <col min="12293" max="12544" width="11.42578125" style="243"/>
    <col min="12545" max="12545" width="1.5703125" style="243" customWidth="1"/>
    <col min="12546" max="12546" width="40.7109375" style="243" customWidth="1"/>
    <col min="12547" max="12547" width="22.85546875" style="243" customWidth="1"/>
    <col min="12548" max="12548" width="17.85546875" style="243" customWidth="1"/>
    <col min="12549" max="12800" width="11.42578125" style="243"/>
    <col min="12801" max="12801" width="1.5703125" style="243" customWidth="1"/>
    <col min="12802" max="12802" width="40.7109375" style="243" customWidth="1"/>
    <col min="12803" max="12803" width="22.85546875" style="243" customWidth="1"/>
    <col min="12804" max="12804" width="17.85546875" style="243" customWidth="1"/>
    <col min="12805" max="13056" width="11.42578125" style="243"/>
    <col min="13057" max="13057" width="1.5703125" style="243" customWidth="1"/>
    <col min="13058" max="13058" width="40.7109375" style="243" customWidth="1"/>
    <col min="13059" max="13059" width="22.85546875" style="243" customWidth="1"/>
    <col min="13060" max="13060" width="17.85546875" style="243" customWidth="1"/>
    <col min="13061" max="13312" width="11.42578125" style="243"/>
    <col min="13313" max="13313" width="1.5703125" style="243" customWidth="1"/>
    <col min="13314" max="13314" width="40.7109375" style="243" customWidth="1"/>
    <col min="13315" max="13315" width="22.85546875" style="243" customWidth="1"/>
    <col min="13316" max="13316" width="17.85546875" style="243" customWidth="1"/>
    <col min="13317" max="13568" width="11.42578125" style="243"/>
    <col min="13569" max="13569" width="1.5703125" style="243" customWidth="1"/>
    <col min="13570" max="13570" width="40.7109375" style="243" customWidth="1"/>
    <col min="13571" max="13571" width="22.85546875" style="243" customWidth="1"/>
    <col min="13572" max="13572" width="17.85546875" style="243" customWidth="1"/>
    <col min="13573" max="13824" width="11.42578125" style="243"/>
    <col min="13825" max="13825" width="1.5703125" style="243" customWidth="1"/>
    <col min="13826" max="13826" width="40.7109375" style="243" customWidth="1"/>
    <col min="13827" max="13827" width="22.85546875" style="243" customWidth="1"/>
    <col min="13828" max="13828" width="17.85546875" style="243" customWidth="1"/>
    <col min="13829" max="14080" width="11.42578125" style="243"/>
    <col min="14081" max="14081" width="1.5703125" style="243" customWidth="1"/>
    <col min="14082" max="14082" width="40.7109375" style="243" customWidth="1"/>
    <col min="14083" max="14083" width="22.85546875" style="243" customWidth="1"/>
    <col min="14084" max="14084" width="17.85546875" style="243" customWidth="1"/>
    <col min="14085" max="14336" width="11.42578125" style="243"/>
    <col min="14337" max="14337" width="1.5703125" style="243" customWidth="1"/>
    <col min="14338" max="14338" width="40.7109375" style="243" customWidth="1"/>
    <col min="14339" max="14339" width="22.85546875" style="243" customWidth="1"/>
    <col min="14340" max="14340" width="17.85546875" style="243" customWidth="1"/>
    <col min="14341" max="14592" width="11.42578125" style="243"/>
    <col min="14593" max="14593" width="1.5703125" style="243" customWidth="1"/>
    <col min="14594" max="14594" width="40.7109375" style="243" customWidth="1"/>
    <col min="14595" max="14595" width="22.85546875" style="243" customWidth="1"/>
    <col min="14596" max="14596" width="17.85546875" style="243" customWidth="1"/>
    <col min="14597" max="14848" width="11.42578125" style="243"/>
    <col min="14849" max="14849" width="1.5703125" style="243" customWidth="1"/>
    <col min="14850" max="14850" width="40.7109375" style="243" customWidth="1"/>
    <col min="14851" max="14851" width="22.85546875" style="243" customWidth="1"/>
    <col min="14852" max="14852" width="17.85546875" style="243" customWidth="1"/>
    <col min="14853" max="15104" width="11.42578125" style="243"/>
    <col min="15105" max="15105" width="1.5703125" style="243" customWidth="1"/>
    <col min="15106" max="15106" width="40.7109375" style="243" customWidth="1"/>
    <col min="15107" max="15107" width="22.85546875" style="243" customWidth="1"/>
    <col min="15108" max="15108" width="17.85546875" style="243" customWidth="1"/>
    <col min="15109" max="15360" width="11.42578125" style="243"/>
    <col min="15361" max="15361" width="1.5703125" style="243" customWidth="1"/>
    <col min="15362" max="15362" width="40.7109375" style="243" customWidth="1"/>
    <col min="15363" max="15363" width="22.85546875" style="243" customWidth="1"/>
    <col min="15364" max="15364" width="17.85546875" style="243" customWidth="1"/>
    <col min="15365" max="15616" width="11.42578125" style="243"/>
    <col min="15617" max="15617" width="1.5703125" style="243" customWidth="1"/>
    <col min="15618" max="15618" width="40.7109375" style="243" customWidth="1"/>
    <col min="15619" max="15619" width="22.85546875" style="243" customWidth="1"/>
    <col min="15620" max="15620" width="17.85546875" style="243" customWidth="1"/>
    <col min="15621" max="15872" width="11.42578125" style="243"/>
    <col min="15873" max="15873" width="1.5703125" style="243" customWidth="1"/>
    <col min="15874" max="15874" width="40.7109375" style="243" customWidth="1"/>
    <col min="15875" max="15875" width="22.85546875" style="243" customWidth="1"/>
    <col min="15876" max="15876" width="17.85546875" style="243" customWidth="1"/>
    <col min="15877" max="16128" width="11.42578125" style="243"/>
    <col min="16129" max="16129" width="1.5703125" style="243" customWidth="1"/>
    <col min="16130" max="16130" width="40.7109375" style="243" customWidth="1"/>
    <col min="16131" max="16131" width="22.85546875" style="243" customWidth="1"/>
    <col min="16132" max="16132" width="17.85546875" style="243" customWidth="1"/>
    <col min="16133" max="16384" width="11.42578125" style="243"/>
  </cols>
  <sheetData>
    <row r="1" spans="1:4" ht="35.1" customHeight="1">
      <c r="A1" s="1008" t="str">
        <f>+Títulos!$B$2&amp;"
INTERESES DE LA DEUDA
DEL 01 DE ENERO AL "&amp;Títulos!$B$3</f>
        <v>TRIBUNAL DE JUSTICIA ADMINISTRATIVA
INTERESES DE LA DEUDA
DEL 01 DE ENERO AL 31 DE DICIEMBRE DE 2017</v>
      </c>
      <c r="B1" s="1008"/>
      <c r="C1" s="1008"/>
      <c r="D1" s="1009"/>
    </row>
    <row r="2" spans="1:4" ht="24.95" customHeight="1">
      <c r="A2" s="8"/>
      <c r="B2" s="9" t="s">
        <v>281</v>
      </c>
      <c r="C2" s="8" t="s">
        <v>231</v>
      </c>
      <c r="D2" s="10" t="s">
        <v>255</v>
      </c>
    </row>
    <row r="3" spans="1:4">
      <c r="A3" s="251"/>
      <c r="B3" s="249" t="s">
        <v>285</v>
      </c>
      <c r="C3" s="683"/>
      <c r="D3" s="684"/>
    </row>
    <row r="4" spans="1:4">
      <c r="A4" s="252"/>
      <c r="B4" s="74" t="s">
        <v>381</v>
      </c>
      <c r="C4" s="686"/>
      <c r="D4" s="687"/>
    </row>
    <row r="5" spans="1:4">
      <c r="A5" s="252"/>
      <c r="B5" s="685"/>
      <c r="C5" s="686"/>
      <c r="D5" s="687"/>
    </row>
    <row r="6" spans="1:4">
      <c r="A6" s="252"/>
      <c r="B6" s="247" t="s">
        <v>286</v>
      </c>
      <c r="C6" s="688"/>
      <c r="D6" s="689"/>
    </row>
    <row r="7" spans="1:4">
      <c r="A7" s="252"/>
      <c r="B7" s="247"/>
      <c r="C7" s="688"/>
      <c r="D7" s="689"/>
    </row>
    <row r="8" spans="1:4">
      <c r="A8" s="252"/>
      <c r="B8" s="247"/>
      <c r="C8" s="688"/>
      <c r="D8" s="689"/>
    </row>
    <row r="9" spans="1:4">
      <c r="A9" s="252"/>
      <c r="B9" s="247"/>
      <c r="C9" s="688"/>
      <c r="D9" s="689"/>
    </row>
    <row r="10" spans="1:4">
      <c r="A10" s="252"/>
      <c r="B10" s="247"/>
      <c r="C10" s="688"/>
      <c r="D10" s="689"/>
    </row>
    <row r="11" spans="1:4">
      <c r="A11" s="252"/>
      <c r="B11" s="247"/>
      <c r="C11" s="688"/>
      <c r="D11" s="689"/>
    </row>
    <row r="12" spans="1:4">
      <c r="A12" s="252"/>
      <c r="B12" s="247"/>
      <c r="C12" s="688"/>
      <c r="D12" s="689"/>
    </row>
    <row r="13" spans="1:4">
      <c r="A13" s="181">
        <v>900001</v>
      </c>
      <c r="B13" s="248" t="s">
        <v>287</v>
      </c>
      <c r="C13" s="690">
        <f>SUM(C4:C12)</f>
        <v>0</v>
      </c>
      <c r="D13" s="691">
        <f>SUM(D4:D12)</f>
        <v>0</v>
      </c>
    </row>
    <row r="14" spans="1:4">
      <c r="A14" s="692"/>
      <c r="B14" s="692" t="s">
        <v>288</v>
      </c>
      <c r="C14" s="692"/>
      <c r="D14" s="588"/>
    </row>
    <row r="15" spans="1:4">
      <c r="A15" s="253"/>
      <c r="B15" s="248"/>
      <c r="C15" s="688"/>
      <c r="D15" s="689"/>
    </row>
    <row r="16" spans="1:4">
      <c r="A16" s="253"/>
      <c r="B16" s="74" t="s">
        <v>381</v>
      </c>
      <c r="C16" s="688"/>
      <c r="D16" s="689"/>
    </row>
    <row r="17" spans="1:4">
      <c r="A17" s="253"/>
      <c r="B17" s="248"/>
      <c r="C17" s="688"/>
      <c r="D17" s="689"/>
    </row>
    <row r="18" spans="1:4">
      <c r="A18" s="253"/>
      <c r="B18" s="248"/>
      <c r="C18" s="688"/>
      <c r="D18" s="689"/>
    </row>
    <row r="19" spans="1:4">
      <c r="A19" s="253"/>
      <c r="B19" s="248"/>
      <c r="C19" s="688"/>
      <c r="D19" s="689"/>
    </row>
    <row r="20" spans="1:4">
      <c r="A20" s="253"/>
      <c r="B20" s="248"/>
      <c r="C20" s="688"/>
      <c r="D20" s="689"/>
    </row>
    <row r="21" spans="1:4">
      <c r="A21" s="253"/>
      <c r="B21" s="248"/>
      <c r="C21" s="688"/>
      <c r="D21" s="689"/>
    </row>
    <row r="22" spans="1:4">
      <c r="A22" s="253"/>
      <c r="B22" s="248"/>
      <c r="C22" s="688"/>
      <c r="D22" s="689"/>
    </row>
    <row r="23" spans="1:4">
      <c r="A23" s="253"/>
      <c r="B23" s="248"/>
      <c r="C23" s="688"/>
      <c r="D23" s="689"/>
    </row>
    <row r="24" spans="1:4">
      <c r="A24" s="181">
        <v>900002</v>
      </c>
      <c r="B24" s="248" t="s">
        <v>289</v>
      </c>
      <c r="C24" s="690">
        <f>SUM(C15:C23)</f>
        <v>0</v>
      </c>
      <c r="D24" s="691">
        <f>SUM(D15:D23)</f>
        <v>0</v>
      </c>
    </row>
    <row r="25" spans="1:4">
      <c r="A25" s="186">
        <v>900003</v>
      </c>
      <c r="B25" s="250" t="s">
        <v>290</v>
      </c>
      <c r="C25" s="693">
        <f>SUM(C13,C24)</f>
        <v>0</v>
      </c>
      <c r="D25" s="694">
        <f>SUM(D13,D24)</f>
        <v>0</v>
      </c>
    </row>
  </sheetData>
  <sheetProtection insertRows="0" deleteRows="0" autoFilter="0"/>
  <mergeCells count="1">
    <mergeCell ref="A1:D1"/>
  </mergeCells>
  <pageMargins left="0.7" right="0.7" top="0.75" bottom="0.75" header="0.3" footer="0.3"/>
  <ignoredErrors>
    <ignoredError sqref="C13:D2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94"/>
  <sheetViews>
    <sheetView showGridLines="0" topLeftCell="BO1" zoomScale="80" zoomScaleNormal="80" workbookViewId="0">
      <pane ySplit="3" topLeftCell="A4" activePane="bottomLeft" state="frozen"/>
      <selection pane="bottomLeft" activeCell="CD2" sqref="CD2"/>
    </sheetView>
  </sheetViews>
  <sheetFormatPr baseColWidth="10" defaultColWidth="7.28515625" defaultRowHeight="11.25"/>
  <cols>
    <col min="1" max="1" width="7.28515625" style="271"/>
    <col min="2" max="2" width="5.7109375" style="271" customWidth="1"/>
    <col min="3" max="3" width="53.5703125" style="579" customWidth="1"/>
    <col min="4" max="5" width="13.28515625" style="580" bestFit="1" customWidth="1"/>
    <col min="6" max="6" width="13.28515625" style="580" hidden="1" customWidth="1"/>
    <col min="7" max="7" width="5.7109375" style="271" customWidth="1"/>
    <col min="8" max="8" width="7.28515625" style="271" customWidth="1"/>
    <col min="9" max="9" width="7.28515625" style="271"/>
    <col min="10" max="10" width="5.7109375" style="271" customWidth="1"/>
    <col min="11" max="11" width="52.7109375" style="271" customWidth="1"/>
    <col min="12" max="12" width="13.28515625" style="271" bestFit="1" customWidth="1"/>
    <col min="13" max="13" width="12.42578125" style="271" customWidth="1"/>
    <col min="14" max="14" width="12.42578125" style="271" hidden="1" customWidth="1"/>
    <col min="15" max="15" width="6.28515625" style="271" bestFit="1" customWidth="1"/>
    <col min="16" max="16" width="7.28515625" style="271" customWidth="1"/>
    <col min="17" max="17" width="7.28515625" style="271"/>
    <col min="18" max="18" width="5.7109375" style="271" customWidth="1"/>
    <col min="19" max="19" width="52.7109375" style="271" customWidth="1"/>
    <col min="20" max="24" width="16.28515625" style="271" customWidth="1"/>
    <col min="25" max="25" width="7.28515625" style="271" customWidth="1"/>
    <col min="26" max="26" width="7.28515625" style="271"/>
    <col min="27" max="27" width="5.7109375" style="271" customWidth="1"/>
    <col min="28" max="28" width="52.7109375" style="271" customWidth="1"/>
    <col min="29" max="30" width="10.7109375" style="271" customWidth="1"/>
    <col min="31" max="32" width="12.28515625" style="271" hidden="1" customWidth="1"/>
    <col min="33" max="33" width="7.28515625" style="271" customWidth="1"/>
    <col min="34" max="34" width="7.28515625" style="271"/>
    <col min="35" max="35" width="5.7109375" style="271" customWidth="1"/>
    <col min="36" max="36" width="52.7109375" style="271" customWidth="1"/>
    <col min="37" max="37" width="13.140625" style="271" customWidth="1"/>
    <col min="38" max="38" width="12.42578125" style="271" customWidth="1"/>
    <col min="39" max="39" width="5.7109375" style="271" customWidth="1"/>
    <col min="40" max="40" width="7.28515625" style="271" customWidth="1"/>
    <col min="41" max="41" width="7.28515625" style="271"/>
    <col min="42" max="42" width="5.7109375" style="271" customWidth="1"/>
    <col min="43" max="43" width="45.42578125" style="271" customWidth="1"/>
    <col min="44" max="48" width="11.7109375" style="271" customWidth="1"/>
    <col min="49" max="49" width="7.28515625" style="271" customWidth="1"/>
    <col min="50" max="50" width="7.28515625" style="271"/>
    <col min="51" max="51" width="5.7109375" style="271" customWidth="1"/>
    <col min="52" max="52" width="29" style="271" customWidth="1"/>
    <col min="53" max="53" width="12.28515625" style="271" customWidth="1"/>
    <col min="54" max="54" width="14.28515625" style="271" customWidth="1"/>
    <col min="55" max="55" width="12.85546875" style="271" customWidth="1"/>
    <col min="56" max="56" width="12.28515625" style="271" customWidth="1"/>
    <col min="57" max="57" width="7.28515625" style="271" customWidth="1"/>
    <col min="58" max="58" width="7.28515625" style="271"/>
    <col min="59" max="59" width="23" style="271" customWidth="1"/>
    <col min="60" max="60" width="37.28515625" style="271" customWidth="1"/>
    <col min="61" max="61" width="7.28515625" style="271" customWidth="1"/>
    <col min="62" max="62" width="7.28515625" style="271"/>
    <col min="63" max="63" width="5.7109375" style="271" customWidth="1"/>
    <col min="64" max="64" width="39.5703125" style="271" customWidth="1"/>
    <col min="65" max="67" width="11.7109375" style="271" customWidth="1"/>
    <col min="68" max="69" width="12.7109375" style="271" bestFit="1" customWidth="1"/>
    <col min="70" max="71" width="11.7109375" style="271" customWidth="1"/>
    <col min="72" max="73" width="7.28515625" style="271"/>
    <col min="74" max="74" width="5.7109375" style="271" customWidth="1"/>
    <col min="75" max="75" width="51.85546875" style="271" customWidth="1"/>
    <col min="76" max="81" width="14.42578125" style="271" customWidth="1"/>
    <col min="82" max="83" width="7.28515625" style="271"/>
    <col min="84" max="84" width="2.28515625" style="271" customWidth="1"/>
    <col min="85" max="85" width="31.28515625" style="271" customWidth="1"/>
    <col min="86" max="87" width="18.5703125" style="271" customWidth="1"/>
    <col min="88" max="88" width="23.28515625" style="271" bestFit="1" customWidth="1"/>
    <col min="89" max="90" width="7.28515625" style="271"/>
    <col min="91" max="91" width="2.28515625" style="271" customWidth="1"/>
    <col min="92" max="92" width="33.28515625" style="271" customWidth="1"/>
    <col min="93" max="94" width="13.140625" style="271" customWidth="1"/>
    <col min="95" max="96" width="7.28515625" style="271"/>
    <col min="97" max="97" width="46.42578125" style="271" customWidth="1"/>
    <col min="98" max="100" width="15.28515625" style="271" customWidth="1"/>
    <col min="101" max="102" width="7.28515625" style="271"/>
    <col min="103" max="103" width="3.28515625" style="271" customWidth="1"/>
    <col min="104" max="104" width="53.140625" style="271" customWidth="1"/>
    <col min="105" max="105" width="12.28515625" style="271" bestFit="1" customWidth="1"/>
    <col min="106" max="106" width="11.7109375" style="271" customWidth="1"/>
    <col min="107" max="107" width="12.7109375" style="271" bestFit="1" customWidth="1"/>
    <col min="108" max="108" width="11.7109375" style="271" customWidth="1"/>
    <col min="109" max="109" width="12.7109375" style="271" bestFit="1" customWidth="1"/>
    <col min="110" max="110" width="11.7109375" style="271" customWidth="1"/>
    <col min="111" max="112" width="7.28515625" style="271"/>
    <col min="113" max="113" width="15.140625" style="271" bestFit="1" customWidth="1"/>
    <col min="114" max="114" width="71.7109375" style="271" bestFit="1" customWidth="1"/>
    <col min="115" max="16384" width="7.28515625" style="271"/>
  </cols>
  <sheetData>
    <row r="1" spans="1:114" ht="12" thickBot="1">
      <c r="A1" s="271" t="s">
        <v>374</v>
      </c>
      <c r="I1" s="271" t="s">
        <v>375</v>
      </c>
      <c r="Q1" s="271" t="s">
        <v>376</v>
      </c>
      <c r="Z1" s="271" t="s">
        <v>377</v>
      </c>
      <c r="AH1" s="271" t="s">
        <v>378</v>
      </c>
      <c r="AO1" s="271" t="s">
        <v>379</v>
      </c>
      <c r="AX1" s="271" t="s">
        <v>380</v>
      </c>
      <c r="AY1" s="581"/>
      <c r="AZ1" s="581"/>
      <c r="BA1" s="581"/>
      <c r="BB1" s="581"/>
      <c r="BC1" s="581"/>
      <c r="BD1" s="581"/>
      <c r="BE1" s="581"/>
      <c r="BF1" s="271" t="s">
        <v>382</v>
      </c>
      <c r="BJ1" s="271" t="s">
        <v>383</v>
      </c>
      <c r="BU1" s="271" t="s">
        <v>752</v>
      </c>
      <c r="CE1" s="271" t="s">
        <v>781</v>
      </c>
      <c r="CL1" s="271" t="s">
        <v>783</v>
      </c>
      <c r="CR1" s="271" t="s">
        <v>784</v>
      </c>
      <c r="CX1" s="271" t="s">
        <v>785</v>
      </c>
      <c r="DH1" s="271" t="s">
        <v>955</v>
      </c>
    </row>
    <row r="2" spans="1:114" ht="44.45" customHeight="1">
      <c r="B2" s="1001" t="str">
        <f>+Títulos!$B$2&amp;"
ESTADO DE SITUACIÓN FINANCIERA
AL "&amp;Títulos!$B$3</f>
        <v>TRIBUNAL DE JUSTICIA ADMINISTRATIVA
ESTADO DE SITUACIÓN FINANCIERA
AL 31 DE DICIEMBRE DE 2017</v>
      </c>
      <c r="C2" s="1002"/>
      <c r="D2" s="1002"/>
      <c r="E2" s="1002"/>
      <c r="F2" s="1002"/>
      <c r="G2" s="1003"/>
      <c r="J2" s="1001" t="str">
        <f>+Títulos!$B$2&amp;"
ESTADO DE ACTIVIDADES
DEL 01 DE ENERO AL "&amp;Títulos!$B$3</f>
        <v>TRIBUNAL DE JUSTICIA ADMINISTRATIVA
ESTADO DE ACTIVIDADES
DEL 01 DE ENERO AL 31 DE DICIEMBRE DE 2017</v>
      </c>
      <c r="K2" s="1002"/>
      <c r="L2" s="1002"/>
      <c r="M2" s="1002"/>
      <c r="N2" s="1002"/>
      <c r="O2" s="1003"/>
      <c r="R2" s="1001" t="str">
        <f>+Títulos!$B$2&amp;"
ESTADO DE VARIACIÓN EN LA HACIENDA PÚBLICA
DEL 01 DE ENERO AL "&amp;Títulos!$B$3</f>
        <v>TRIBUNAL DE JUSTICIA ADMINISTRATIVA
ESTADO DE VARIACIÓN EN LA HACIENDA PÚBLICA
DEL 01 DE ENERO AL 31 DE DICIEMBRE DE 2017</v>
      </c>
      <c r="S2" s="1002"/>
      <c r="T2" s="1002"/>
      <c r="U2" s="1002"/>
      <c r="V2" s="1002"/>
      <c r="W2" s="1002"/>
      <c r="X2" s="1003"/>
      <c r="AA2" s="1001" t="str">
        <f>+Títulos!$B$2&amp;"
ESTADO DE CAMBIOS EN LA SITUACION FINANCIERA
DEL 01 DE ENERO AL "&amp;Títulos!$B$3</f>
        <v>TRIBUNAL DE JUSTICIA ADMINISTRATIVA
ESTADO DE CAMBIOS EN LA SITUACION FINANCIERA
DEL 01 DE ENERO AL 31 DE DICIEMBRE DE 2017</v>
      </c>
      <c r="AB2" s="1002"/>
      <c r="AC2" s="1002"/>
      <c r="AD2" s="1002"/>
      <c r="AE2" s="125"/>
      <c r="AF2" s="125"/>
      <c r="AI2" s="1001" t="str">
        <f>+Títulos!$B$2&amp;"
ESTADO DE FLUJOS DE EFECTIVO
DEL 01 DE ENERO AL "&amp;Títulos!$B$3</f>
        <v>TRIBUNAL DE JUSTICIA ADMINISTRATIVA
ESTADO DE FLUJOS DE EFECTIVO
DEL 01 DE ENERO AL 31 DE DICIEMBRE DE 2017</v>
      </c>
      <c r="AJ2" s="1002"/>
      <c r="AK2" s="1002"/>
      <c r="AL2" s="1002"/>
      <c r="AM2" s="1003"/>
      <c r="AP2" s="1001" t="str">
        <f>+Títulos!$B$2&amp;"
ESTADO ANALITICO DEL ACTIVO
DEL 01 DE ENERO AL "&amp;Títulos!$B$3</f>
        <v>TRIBUNAL DE JUSTICIA ADMINISTRATIVA
ESTADO ANALITICO DEL ACTIVO
DEL 01 DE ENERO AL 31 DE DICIEMBRE DE 2017</v>
      </c>
      <c r="AQ2" s="1002"/>
      <c r="AR2" s="1002"/>
      <c r="AS2" s="1002"/>
      <c r="AT2" s="1002"/>
      <c r="AU2" s="1002"/>
      <c r="AV2" s="1003"/>
      <c r="AY2" s="1001" t="str">
        <f>+Títulos!$B$2&amp;"
ESTADO ANALITICO DE LA DEUDA Y OTROS PASIVOS
DEL 01 DE ENERO AL "&amp;Títulos!$B$3</f>
        <v>TRIBUNAL DE JUSTICIA ADMINISTRATIVA
ESTADO ANALITICO DE LA DEUDA Y OTROS PASIVOS
DEL 01 DE ENERO AL 31 DE DICIEMBRE DE 2017</v>
      </c>
      <c r="AZ2" s="1002"/>
      <c r="BA2" s="1002"/>
      <c r="BB2" s="1002"/>
      <c r="BC2" s="1002"/>
      <c r="BD2" s="1002"/>
      <c r="BG2" s="1004" t="str">
        <f>+Títulos!$B$2&amp;"
INFORME SOBRE PASIVOS CONTINGENTES
AL "&amp;Títulos!$B$3</f>
        <v>TRIBUNAL DE JUSTICIA ADMINISTRATIVA
INFORME SOBRE PASIVOS CONTINGENTES
AL 31 DE DICIEMBRE DE 2017</v>
      </c>
      <c r="BH2" s="1005"/>
      <c r="BK2" s="1016" t="str">
        <f>+Títulos!$B$2&amp;"
ESTADO ANALITICO DE INGRESOS POR RUBRO
DEL 01 DE ENERO AL "&amp;Títulos!$B$3</f>
        <v>TRIBUNAL DE JUSTICIA ADMINISTRATIVA
ESTADO ANALITICO DE INGRESOS POR RUBRO
DEL 01 DE ENERO AL 31 DE DICIEMBRE DE 2017</v>
      </c>
      <c r="BL2" s="1017"/>
      <c r="BM2" s="1017"/>
      <c r="BN2" s="1017"/>
      <c r="BO2" s="1017"/>
      <c r="BP2" s="1017"/>
      <c r="BQ2" s="1017"/>
      <c r="BR2" s="1017"/>
      <c r="BS2" s="1018"/>
      <c r="BV2" s="998" t="str">
        <f>+Títulos!$B$2&amp;"
ESTADO ANALÍTICO DEL EJERCICIO DEL PRESUPUESTO DE EGRESOS
CLASIFICACIÓN POR OBJETO DEL GASTO (CAPÍTULO Y CONCEPTO)
DEL 01 DE ENERO AL "&amp;Títulos!$B$3</f>
        <v>TRIBUNAL DE JUSTICIA ADMINISTRATIVA
ESTADO ANALÍTICO DEL EJERCICIO DEL PRESUPUESTO DE EGRESOS
CLASIFICACIÓN POR OBJETO DEL GASTO (CAPÍTULO Y CONCEPTO)
DEL 01 DE ENERO AL 31 DE DICIEMBRE DE 2017</v>
      </c>
      <c r="BW2" s="999"/>
      <c r="BX2" s="999"/>
      <c r="BY2" s="999"/>
      <c r="BZ2" s="999"/>
      <c r="CA2" s="999"/>
      <c r="CB2" s="999"/>
      <c r="CC2" s="1000"/>
      <c r="CF2" s="1006" t="str">
        <f>+Títulos!$B$2&amp;"
ENDEUDAMIENTO NETO
DEL 01 DE ENERO AL "&amp;Títulos!$B$3</f>
        <v>TRIBUNAL DE JUSTICIA ADMINISTRATIVA
ENDEUDAMIENTO NETO
DEL 01 DE ENERO AL 31 DE DICIEMBRE DE 2017</v>
      </c>
      <c r="CG2" s="1006"/>
      <c r="CH2" s="1006"/>
      <c r="CI2" s="1006"/>
      <c r="CJ2" s="1007"/>
      <c r="CM2" s="1008" t="str">
        <f>+Títulos!$B$2&amp;"
INTERESES DE LA DEUDA
DEL 01 DE ENERO AL "&amp;Títulos!$B$3</f>
        <v>TRIBUNAL DE JUSTICIA ADMINISTRATIVA
INTERESES DE LA DEUDA
DEL 01 DE ENERO AL 31 DE DICIEMBRE DE 2017</v>
      </c>
      <c r="CN2" s="1008"/>
      <c r="CO2" s="1008"/>
      <c r="CP2" s="1009"/>
      <c r="CQ2" s="4"/>
      <c r="CR2" s="4"/>
      <c r="CS2" s="1010" t="str">
        <f>+Títulos!$B$2&amp;"
FLUJO DE FONDOS (INDICADORES DE LA POSTURA FISCAL)
DEL 01 DE ENERO AL "&amp;Títulos!$B$3</f>
        <v>TRIBUNAL DE JUSTICIA ADMINISTRATIVA
FLUJO DE FONDOS (INDICADORES DE LA POSTURA FISCAL)
DEL 01 DE ENERO AL 31 DE DICIEMBRE DE 2017</v>
      </c>
      <c r="CT2" s="1011"/>
      <c r="CU2" s="1011"/>
      <c r="CV2" s="1012"/>
      <c r="CY2" s="998" t="str">
        <f>+Títulos!$B$2&amp;"
GASTO POR CATEGORIA PROGRAMATICA
DEL 01 DE ENERO AL "&amp;Títulos!$B$3</f>
        <v>TRIBUNAL DE JUSTICIA ADMINISTRATIVA
GASTO POR CATEGORIA PROGRAMATICA
DEL 01 DE ENERO AL 31 DE DICIEMBRE DE 2017</v>
      </c>
      <c r="CZ2" s="999"/>
      <c r="DA2" s="999"/>
      <c r="DB2" s="999"/>
      <c r="DC2" s="999"/>
      <c r="DD2" s="999"/>
      <c r="DE2" s="999"/>
      <c r="DF2" s="1000"/>
      <c r="DI2" s="1030" t="s">
        <v>956</v>
      </c>
      <c r="DJ2" s="1031"/>
    </row>
    <row r="3" spans="1:114" ht="25.9" customHeight="1">
      <c r="B3" s="582"/>
      <c r="C3" s="582" t="s">
        <v>1</v>
      </c>
      <c r="D3" s="583" t="s">
        <v>1531</v>
      </c>
      <c r="E3" s="583" t="s">
        <v>1532</v>
      </c>
      <c r="F3" s="584">
        <v>2015</v>
      </c>
      <c r="G3" s="582" t="s">
        <v>2</v>
      </c>
      <c r="J3" s="582" t="s">
        <v>0</v>
      </c>
      <c r="K3" s="582" t="s">
        <v>1</v>
      </c>
      <c r="L3" s="583" t="s">
        <v>1531</v>
      </c>
      <c r="M3" s="583" t="s">
        <v>1532</v>
      </c>
      <c r="N3" s="584">
        <v>2015</v>
      </c>
      <c r="O3" s="582" t="s">
        <v>2</v>
      </c>
      <c r="R3" s="990" t="s">
        <v>0</v>
      </c>
      <c r="S3" s="991" t="s">
        <v>150</v>
      </c>
      <c r="T3" s="993" t="s">
        <v>151</v>
      </c>
      <c r="U3" s="993" t="s">
        <v>152</v>
      </c>
      <c r="V3" s="993" t="s">
        <v>153</v>
      </c>
      <c r="W3" s="993" t="s">
        <v>154</v>
      </c>
      <c r="X3" s="993" t="s">
        <v>155</v>
      </c>
      <c r="AA3" s="582" t="s">
        <v>0</v>
      </c>
      <c r="AB3" s="582" t="s">
        <v>1</v>
      </c>
      <c r="AC3" s="583" t="s">
        <v>101</v>
      </c>
      <c r="AD3" s="583" t="s">
        <v>113</v>
      </c>
      <c r="AE3" s="585" t="s">
        <v>101</v>
      </c>
      <c r="AF3" s="585" t="s">
        <v>113</v>
      </c>
      <c r="AI3" s="582" t="s">
        <v>0</v>
      </c>
      <c r="AJ3" s="583" t="s">
        <v>1</v>
      </c>
      <c r="AK3" s="583" t="s">
        <v>1531</v>
      </c>
      <c r="AL3" s="583" t="s">
        <v>1532</v>
      </c>
      <c r="AM3" s="582" t="s">
        <v>2</v>
      </c>
      <c r="AP3" s="990" t="s">
        <v>0</v>
      </c>
      <c r="AQ3" s="991" t="s">
        <v>1</v>
      </c>
      <c r="AR3" s="994" t="s">
        <v>94</v>
      </c>
      <c r="AS3" s="994" t="s">
        <v>1538</v>
      </c>
      <c r="AT3" s="994" t="s">
        <v>1539</v>
      </c>
      <c r="AU3" s="994" t="s">
        <v>1536</v>
      </c>
      <c r="AV3" s="994" t="s">
        <v>1537</v>
      </c>
      <c r="AY3" s="990" t="s">
        <v>0</v>
      </c>
      <c r="AZ3" s="991" t="s">
        <v>1</v>
      </c>
      <c r="BA3" s="992" t="s">
        <v>76</v>
      </c>
      <c r="BB3" s="992" t="s">
        <v>77</v>
      </c>
      <c r="BC3" s="992" t="s">
        <v>78</v>
      </c>
      <c r="BD3" s="992" t="s">
        <v>79</v>
      </c>
      <c r="BG3" s="583" t="s">
        <v>1</v>
      </c>
      <c r="BH3" s="583" t="s">
        <v>71</v>
      </c>
      <c r="BK3" s="1029" t="s">
        <v>227</v>
      </c>
      <c r="BL3" s="1029" t="s">
        <v>71</v>
      </c>
      <c r="BM3" s="1028" t="s">
        <v>228</v>
      </c>
      <c r="BN3" s="1028" t="s">
        <v>254</v>
      </c>
      <c r="BO3" s="1028" t="s">
        <v>230</v>
      </c>
      <c r="BP3" s="1028" t="s">
        <v>231</v>
      </c>
      <c r="BQ3" s="1028" t="s">
        <v>232</v>
      </c>
      <c r="BR3" s="1028" t="s">
        <v>233</v>
      </c>
      <c r="BS3" s="1028" t="s">
        <v>234</v>
      </c>
      <c r="BV3" s="1014" t="s">
        <v>252</v>
      </c>
      <c r="BW3" s="1014" t="s">
        <v>71</v>
      </c>
      <c r="BX3" s="1015" t="s">
        <v>253</v>
      </c>
      <c r="BY3" s="1015" t="s">
        <v>254</v>
      </c>
      <c r="BZ3" s="1015" t="s">
        <v>230</v>
      </c>
      <c r="CA3" s="1015" t="s">
        <v>231</v>
      </c>
      <c r="CB3" s="1015" t="s">
        <v>255</v>
      </c>
      <c r="CC3" s="1015" t="s">
        <v>256</v>
      </c>
      <c r="CF3" s="587"/>
      <c r="CG3" s="588" t="s">
        <v>281</v>
      </c>
      <c r="CH3" s="587" t="s">
        <v>282</v>
      </c>
      <c r="CI3" s="587" t="s">
        <v>283</v>
      </c>
      <c r="CJ3" s="589" t="s">
        <v>284</v>
      </c>
      <c r="CM3" s="587"/>
      <c r="CN3" s="588" t="s">
        <v>281</v>
      </c>
      <c r="CO3" s="587" t="s">
        <v>231</v>
      </c>
      <c r="CP3" s="589" t="s">
        <v>255</v>
      </c>
      <c r="CQ3" s="4"/>
      <c r="CR3" s="4"/>
      <c r="CS3" s="590" t="s">
        <v>71</v>
      </c>
      <c r="CT3" s="591" t="s">
        <v>291</v>
      </c>
      <c r="CU3" s="591" t="s">
        <v>231</v>
      </c>
      <c r="CV3" s="591" t="s">
        <v>292</v>
      </c>
      <c r="CY3" s="1013" t="s">
        <v>250</v>
      </c>
      <c r="CZ3" s="1014" t="s">
        <v>71</v>
      </c>
      <c r="DA3" s="1015" t="s">
        <v>253</v>
      </c>
      <c r="DB3" s="1015" t="s">
        <v>254</v>
      </c>
      <c r="DC3" s="1015" t="s">
        <v>230</v>
      </c>
      <c r="DD3" s="1015" t="s">
        <v>231</v>
      </c>
      <c r="DE3" s="1015" t="s">
        <v>255</v>
      </c>
      <c r="DF3" s="1015" t="s">
        <v>256</v>
      </c>
      <c r="DI3" s="592" t="s">
        <v>957</v>
      </c>
      <c r="DJ3" s="593" t="s">
        <v>958</v>
      </c>
    </row>
    <row r="4" spans="1:114">
      <c r="A4" s="95"/>
      <c r="B4" s="594">
        <v>1000</v>
      </c>
      <c r="C4" s="595" t="s">
        <v>3</v>
      </c>
      <c r="D4" s="110">
        <f ca="1">+D5+D13</f>
        <v>35898886.349999994</v>
      </c>
      <c r="E4" s="110">
        <f ca="1">+E5+E13</f>
        <v>31227829.200000003</v>
      </c>
      <c r="F4" s="110">
        <f ca="1">+F5+F13</f>
        <v>29519051</v>
      </c>
      <c r="G4" s="596"/>
      <c r="H4" s="95"/>
      <c r="I4" s="95"/>
      <c r="J4" s="597">
        <v>4000</v>
      </c>
      <c r="K4" s="598" t="s">
        <v>170</v>
      </c>
      <c r="L4" s="114">
        <f ca="1">+L5+L14+L17</f>
        <v>86401234.179999992</v>
      </c>
      <c r="M4" s="114">
        <f ca="1">+M5+M14+M17</f>
        <v>73275719.019999996</v>
      </c>
      <c r="N4" s="114">
        <f ca="1">+N5+N14+N17</f>
        <v>67145676.319999993</v>
      </c>
      <c r="O4" s="599"/>
      <c r="P4" s="95"/>
      <c r="Q4" s="95"/>
      <c r="R4" s="990"/>
      <c r="S4" s="991"/>
      <c r="T4" s="993"/>
      <c r="U4" s="993"/>
      <c r="V4" s="993"/>
      <c r="W4" s="993"/>
      <c r="X4" s="993"/>
      <c r="Y4" s="95"/>
      <c r="Z4" s="95"/>
      <c r="AA4" s="594">
        <v>1000</v>
      </c>
      <c r="AB4" s="595" t="s">
        <v>3</v>
      </c>
      <c r="AC4" s="119">
        <f t="shared" ref="AC4:AC22" ca="1" si="0">IF(E4&gt;D4,E4-D4,0)</f>
        <v>0</v>
      </c>
      <c r="AD4" s="119">
        <f t="shared" ref="AD4:AD22" ca="1" si="1">IF(D4&gt;E4,D4-E4,0)</f>
        <v>4671057.1499999911</v>
      </c>
      <c r="AE4" s="119">
        <f t="shared" ref="AE4:AE22" ca="1" si="2">IF(F4&gt;E4,F4-E4,0)</f>
        <v>0</v>
      </c>
      <c r="AF4" s="119">
        <f t="shared" ref="AF4:AF22" ca="1" si="3">IF(E4&gt;F4,E4-F4,0)</f>
        <v>1708778.200000003</v>
      </c>
      <c r="AG4" s="95"/>
      <c r="AH4" s="95"/>
      <c r="AI4" s="600"/>
      <c r="AJ4" s="601" t="s">
        <v>99</v>
      </c>
      <c r="AK4" s="146">
        <f ca="1">+AK34</f>
        <v>2925534.3100000024</v>
      </c>
      <c r="AL4" s="146">
        <f ca="1">+AL34</f>
        <v>905941.17000000179</v>
      </c>
      <c r="AM4" s="602" t="s">
        <v>100</v>
      </c>
      <c r="AN4" s="95"/>
      <c r="AO4" s="95"/>
      <c r="AP4" s="990"/>
      <c r="AQ4" s="991"/>
      <c r="AR4" s="995"/>
      <c r="AS4" s="995"/>
      <c r="AT4" s="995"/>
      <c r="AU4" s="995"/>
      <c r="AV4" s="995"/>
      <c r="AW4" s="95"/>
      <c r="AX4" s="95"/>
      <c r="AY4" s="990"/>
      <c r="AZ4" s="991"/>
      <c r="BA4" s="992"/>
      <c r="BB4" s="992"/>
      <c r="BC4" s="992"/>
      <c r="BD4" s="992"/>
      <c r="BE4" s="95"/>
      <c r="BF4" s="95"/>
      <c r="BG4" s="65" t="s">
        <v>72</v>
      </c>
      <c r="BH4" s="382" t="s">
        <v>381</v>
      </c>
      <c r="BI4" s="95"/>
      <c r="BJ4" s="95"/>
      <c r="BK4" s="1029"/>
      <c r="BL4" s="1029"/>
      <c r="BM4" s="1028"/>
      <c r="BN4" s="1028"/>
      <c r="BO4" s="1028"/>
      <c r="BP4" s="1028"/>
      <c r="BQ4" s="1028"/>
      <c r="BR4" s="1028"/>
      <c r="BS4" s="1028"/>
      <c r="BT4" s="95"/>
      <c r="BU4" s="95"/>
      <c r="BV4" s="1014"/>
      <c r="BW4" s="1014"/>
      <c r="BX4" s="1015"/>
      <c r="BY4" s="1015"/>
      <c r="BZ4" s="1015"/>
      <c r="CA4" s="1015"/>
      <c r="CB4" s="1015"/>
      <c r="CC4" s="1015"/>
      <c r="CD4" s="95"/>
      <c r="CE4" s="95"/>
      <c r="CF4" s="678"/>
      <c r="CG4" s="245" t="s">
        <v>285</v>
      </c>
      <c r="CH4" s="245"/>
      <c r="CI4" s="245"/>
      <c r="CJ4" s="670"/>
      <c r="CK4" s="95"/>
      <c r="CL4" s="95"/>
      <c r="CM4" s="251"/>
      <c r="CN4" s="249" t="s">
        <v>285</v>
      </c>
      <c r="CO4" s="683"/>
      <c r="CP4" s="684"/>
      <c r="CQ4" s="67"/>
      <c r="CR4" s="67"/>
      <c r="CS4" s="603" t="s">
        <v>293</v>
      </c>
      <c r="CT4" s="340">
        <f>CT5+CT6</f>
        <v>80405840.510000005</v>
      </c>
      <c r="CU4" s="340">
        <f>CU5+CU6</f>
        <v>88863739.419999987</v>
      </c>
      <c r="CV4" s="340">
        <f>CV5+CV6</f>
        <v>88863739.419999987</v>
      </c>
      <c r="CW4" s="95"/>
      <c r="CX4" s="95"/>
      <c r="CY4" s="1013"/>
      <c r="CZ4" s="1014"/>
      <c r="DA4" s="1015"/>
      <c r="DB4" s="1015"/>
      <c r="DC4" s="1015"/>
      <c r="DD4" s="1015"/>
      <c r="DE4" s="1015"/>
      <c r="DF4" s="1015"/>
      <c r="DI4" s="604"/>
      <c r="DJ4" s="605"/>
    </row>
    <row r="5" spans="1:114">
      <c r="A5" s="95"/>
      <c r="B5" s="597">
        <v>1100</v>
      </c>
      <c r="C5" s="601" t="s">
        <v>4</v>
      </c>
      <c r="D5" s="111">
        <f ca="1">SUM(D6:D12)</f>
        <v>15730730.699999999</v>
      </c>
      <c r="E5" s="111">
        <f ca="1">SUM(E6:E12)</f>
        <v>11361825.720000001</v>
      </c>
      <c r="F5" s="111">
        <f ca="1">SUM(F6:F12)</f>
        <v>10908678.869999999</v>
      </c>
      <c r="G5" s="602"/>
      <c r="H5" s="95"/>
      <c r="I5" s="95"/>
      <c r="J5" s="597">
        <v>4100</v>
      </c>
      <c r="K5" s="598" t="s">
        <v>171</v>
      </c>
      <c r="L5" s="115">
        <f ca="1">SUM(L6:L13)</f>
        <v>2925534.31</v>
      </c>
      <c r="M5" s="115">
        <f ca="1">SUM(M6:M13)</f>
        <v>905941.16999999993</v>
      </c>
      <c r="N5" s="115">
        <f ca="1">SUM(N6:N13)</f>
        <v>653319.74</v>
      </c>
      <c r="O5" s="606" t="s">
        <v>172</v>
      </c>
      <c r="P5" s="95"/>
      <c r="Q5" s="95"/>
      <c r="R5" s="990"/>
      <c r="S5" s="991"/>
      <c r="T5" s="993"/>
      <c r="U5" s="993"/>
      <c r="V5" s="993"/>
      <c r="W5" s="993"/>
      <c r="X5" s="993"/>
      <c r="Y5" s="95"/>
      <c r="Z5" s="95"/>
      <c r="AA5" s="597">
        <v>1100</v>
      </c>
      <c r="AB5" s="601" t="s">
        <v>4</v>
      </c>
      <c r="AC5" s="121">
        <f t="shared" ca="1" si="0"/>
        <v>0</v>
      </c>
      <c r="AD5" s="121">
        <f t="shared" ca="1" si="1"/>
        <v>4368904.9799999986</v>
      </c>
      <c r="AE5" s="121">
        <f t="shared" ca="1" si="2"/>
        <v>0</v>
      </c>
      <c r="AF5" s="121">
        <f t="shared" ca="1" si="3"/>
        <v>453146.85000000149</v>
      </c>
      <c r="AG5" s="95"/>
      <c r="AH5" s="95"/>
      <c r="AI5" s="27">
        <v>900001</v>
      </c>
      <c r="AJ5" s="601" t="s">
        <v>101</v>
      </c>
      <c r="AK5" s="128">
        <f ca="1">SUM(AK6:AK16)</f>
        <v>86401234.179999992</v>
      </c>
      <c r="AL5" s="128">
        <f ca="1">SUM(AL6:AL16)</f>
        <v>73275719.019999996</v>
      </c>
      <c r="AM5" s="602"/>
      <c r="AN5" s="95"/>
      <c r="AO5" s="95"/>
      <c r="AP5" s="990"/>
      <c r="AQ5" s="991"/>
      <c r="AR5" s="996"/>
      <c r="AS5" s="996"/>
      <c r="AT5" s="996"/>
      <c r="AU5" s="996"/>
      <c r="AV5" s="996"/>
      <c r="AW5" s="95"/>
      <c r="AX5" s="95"/>
      <c r="AY5" s="990"/>
      <c r="AZ5" s="991"/>
      <c r="BA5" s="992"/>
      <c r="BB5" s="992"/>
      <c r="BC5" s="992"/>
      <c r="BD5" s="992"/>
      <c r="BE5" s="95"/>
      <c r="BF5" s="95"/>
      <c r="BG5" s="71"/>
      <c r="BH5" s="383"/>
      <c r="BI5" s="95"/>
      <c r="BJ5" s="95"/>
      <c r="BK5" s="27">
        <v>90001</v>
      </c>
      <c r="BL5" s="12" t="s">
        <v>235</v>
      </c>
      <c r="BM5" s="332">
        <f t="shared" ref="BM5:BS5" si="4">SUM(BM6:BM10)+BM13+SUM(BM17:BM20)</f>
        <v>80405840.510000005</v>
      </c>
      <c r="BN5" s="332">
        <f t="shared" si="4"/>
        <v>8457903.8100000005</v>
      </c>
      <c r="BO5" s="332">
        <f t="shared" si="4"/>
        <v>88863744.320000008</v>
      </c>
      <c r="BP5" s="332">
        <f t="shared" si="4"/>
        <v>88863739.419999987</v>
      </c>
      <c r="BQ5" s="332">
        <f t="shared" si="4"/>
        <v>88863739.419999987</v>
      </c>
      <c r="BR5" s="332">
        <f t="shared" si="4"/>
        <v>8457898.9099999797</v>
      </c>
      <c r="BS5" s="332">
        <f t="shared" si="4"/>
        <v>8457898.9099999797</v>
      </c>
      <c r="BT5" s="95"/>
      <c r="BU5" s="95"/>
      <c r="BV5" s="607">
        <v>900001</v>
      </c>
      <c r="BW5" s="608" t="s">
        <v>257</v>
      </c>
      <c r="BX5" s="340">
        <f t="shared" ref="BX5:CC5" si="5">+BX6+BX14+BX24+BX34+BX44+BX54+BX58+BX66+BX70</f>
        <v>80405840.510000005</v>
      </c>
      <c r="BY5" s="340">
        <f t="shared" si="5"/>
        <v>8457903.8099999987</v>
      </c>
      <c r="BZ5" s="340">
        <f t="shared" si="5"/>
        <v>88863744.319999993</v>
      </c>
      <c r="CA5" s="340">
        <f t="shared" si="5"/>
        <v>86193205.109999985</v>
      </c>
      <c r="CB5" s="340">
        <f t="shared" si="5"/>
        <v>84872096.260000005</v>
      </c>
      <c r="CC5" s="340">
        <f t="shared" si="5"/>
        <v>2670539.2100000004</v>
      </c>
      <c r="CD5" s="95"/>
      <c r="CE5" s="95"/>
      <c r="CF5" s="679"/>
      <c r="CG5" s="74" t="s">
        <v>381</v>
      </c>
      <c r="CH5" s="681"/>
      <c r="CI5" s="681"/>
      <c r="CJ5" s="682">
        <f t="shared" ref="CJ5:CJ12" si="6">IF(AND(CH5&gt;=0,CI5&gt;=0),(CH5-CI5),"-")</f>
        <v>0</v>
      </c>
      <c r="CK5" s="95"/>
      <c r="CL5" s="95"/>
      <c r="CM5" s="252"/>
      <c r="CN5" s="74" t="s">
        <v>381</v>
      </c>
      <c r="CO5" s="686"/>
      <c r="CP5" s="687"/>
      <c r="CQ5" s="67"/>
      <c r="CR5" s="67"/>
      <c r="CS5" s="609" t="s">
        <v>294</v>
      </c>
      <c r="CT5" s="351">
        <f>+BM5</f>
        <v>80405840.510000005</v>
      </c>
      <c r="CU5" s="351">
        <f>+BP5</f>
        <v>88863739.419999987</v>
      </c>
      <c r="CV5" s="351">
        <f>+BQ5</f>
        <v>88863739.419999987</v>
      </c>
      <c r="CW5" s="95"/>
      <c r="CX5" s="95"/>
      <c r="CY5" s="610">
        <v>900001</v>
      </c>
      <c r="CZ5" s="608" t="s">
        <v>257</v>
      </c>
      <c r="DA5" s="340">
        <f t="shared" ref="DA5:DF5" si="7">SUM(DA6,DA33,DA34,DA35)</f>
        <v>80405840.509999976</v>
      </c>
      <c r="DB5" s="340">
        <f t="shared" si="7"/>
        <v>8457903.8100000042</v>
      </c>
      <c r="DC5" s="340">
        <f t="shared" si="7"/>
        <v>88863744.319999978</v>
      </c>
      <c r="DD5" s="340">
        <f t="shared" si="7"/>
        <v>86193205.110000029</v>
      </c>
      <c r="DE5" s="340">
        <f t="shared" si="7"/>
        <v>84872096.260000035</v>
      </c>
      <c r="DF5" s="340">
        <f t="shared" si="7"/>
        <v>2670539.2099999487</v>
      </c>
      <c r="DI5" s="611"/>
      <c r="DJ5" s="612" t="s">
        <v>959</v>
      </c>
    </row>
    <row r="6" spans="1:114">
      <c r="A6" s="95"/>
      <c r="B6" s="613">
        <v>1110</v>
      </c>
      <c r="C6" s="17" t="s">
        <v>5</v>
      </c>
      <c r="D6" s="112">
        <f ca="1">SUMIF(BC[],MID(B6,1,3)&amp;"*",bc_2017)</f>
        <v>15692848.699999999</v>
      </c>
      <c r="E6" s="112">
        <f ca="1">SUMIF(BC[],MID(B6,1,3)&amp;"*",bc_2016)</f>
        <v>11324165.710000001</v>
      </c>
      <c r="F6" s="112">
        <f ca="1">SUMIF(BC[],MID(B6,1,3)&amp;"*",bc_2015)</f>
        <v>10818683.93</v>
      </c>
      <c r="G6" s="602"/>
      <c r="H6" s="95"/>
      <c r="I6" s="95"/>
      <c r="J6" s="613">
        <v>4110</v>
      </c>
      <c r="K6" s="18" t="s">
        <v>102</v>
      </c>
      <c r="L6" s="112">
        <f ca="1">-SUMIF(BC[],MID(J6,1,3)&amp;"*",bc_2017)</f>
        <v>0</v>
      </c>
      <c r="M6" s="112">
        <f ca="1">-SUMIF(BC[],MID(J6,1,3)&amp;"*",bc_2016)</f>
        <v>0</v>
      </c>
      <c r="N6" s="112">
        <f ca="1">-SUMIF(BC[],MID(J6,1,3)&amp;"*",bc_2015)</f>
        <v>0</v>
      </c>
      <c r="O6" s="614"/>
      <c r="P6" s="95"/>
      <c r="Q6" s="95"/>
      <c r="R6" s="990"/>
      <c r="S6" s="991"/>
      <c r="T6" s="993"/>
      <c r="U6" s="993"/>
      <c r="V6" s="993"/>
      <c r="W6" s="993"/>
      <c r="X6" s="993"/>
      <c r="Y6" s="95"/>
      <c r="Z6" s="95"/>
      <c r="AA6" s="613">
        <v>1110</v>
      </c>
      <c r="AB6" s="17" t="s">
        <v>5</v>
      </c>
      <c r="AC6" s="120">
        <f t="shared" ca="1" si="0"/>
        <v>0</v>
      </c>
      <c r="AD6" s="120">
        <f t="shared" ca="1" si="1"/>
        <v>4368682.9899999984</v>
      </c>
      <c r="AE6" s="120">
        <f t="shared" ca="1" si="2"/>
        <v>0</v>
      </c>
      <c r="AF6" s="120">
        <f t="shared" ca="1" si="3"/>
        <v>505481.78000000119</v>
      </c>
      <c r="AG6" s="95"/>
      <c r="AH6" s="95"/>
      <c r="AI6" s="615">
        <v>4110</v>
      </c>
      <c r="AJ6" s="17" t="s">
        <v>102</v>
      </c>
      <c r="AK6" s="112">
        <f ca="1">-SUMIF(BC[],MID(AI6,1,3)&amp;"*",bc_2017)</f>
        <v>0</v>
      </c>
      <c r="AL6" s="112">
        <f ca="1">-SUMIF(BC[],MID(AI6,1,3)&amp;"*",bc_2016)</f>
        <v>0</v>
      </c>
      <c r="AM6" s="602"/>
      <c r="AN6" s="95"/>
      <c r="AO6" s="95"/>
      <c r="AP6" s="616">
        <v>1000</v>
      </c>
      <c r="AQ6" s="595" t="s">
        <v>3</v>
      </c>
      <c r="AR6" s="114">
        <f ca="1">+AR7+AR15</f>
        <v>31227829.200000003</v>
      </c>
      <c r="AS6" s="114">
        <f ca="1">+AS7+AS15</f>
        <v>243269663.41</v>
      </c>
      <c r="AT6" s="114">
        <f ca="1">+AT7+AT15</f>
        <v>238598606.25999999</v>
      </c>
      <c r="AU6" s="114">
        <f ca="1">+AU7+AU15</f>
        <v>35898886.349999994</v>
      </c>
      <c r="AV6" s="114">
        <f ca="1">+AV7+AV15</f>
        <v>4671057.1499999957</v>
      </c>
      <c r="AW6" s="95"/>
      <c r="AX6" s="95"/>
      <c r="AY6" s="617"/>
      <c r="AZ6" s="618" t="s">
        <v>80</v>
      </c>
      <c r="BA6" s="135"/>
      <c r="BB6" s="135"/>
      <c r="BC6" s="114">
        <f ca="1">+BC17+BC28</f>
        <v>0</v>
      </c>
      <c r="BD6" s="114">
        <f ca="1">+BD17+BD28</f>
        <v>0</v>
      </c>
      <c r="BE6" s="95"/>
      <c r="BF6" s="95"/>
      <c r="BG6" s="79"/>
      <c r="BH6" s="383"/>
      <c r="BI6" s="95"/>
      <c r="BJ6" s="95"/>
      <c r="BK6" s="34">
        <v>10</v>
      </c>
      <c r="BL6" s="11" t="s">
        <v>102</v>
      </c>
      <c r="BM6" s="333">
        <f t="shared" ref="BM6:BM20" si="8">SUMIF(pi_cri,MID(BK6,1,1)&amp;"*",pi_e)</f>
        <v>0</v>
      </c>
      <c r="BN6" s="333">
        <f t="shared" ref="BN6:BN20" si="9">SUMIF(pi_cri,MID(BK6,1,1)&amp;"*",pi_m)</f>
        <v>0</v>
      </c>
      <c r="BO6" s="333">
        <f>+BM6+BN6</f>
        <v>0</v>
      </c>
      <c r="BP6" s="333">
        <f t="shared" ref="BP6:BP20" si="10">SUMIF(pi_cri,MID(BK6,1,1)&amp;"*",pi_d)</f>
        <v>0</v>
      </c>
      <c r="BQ6" s="333">
        <f t="shared" ref="BQ6:BQ20" si="11">SUMIF(pi_cri,MID(BK6,1,1)&amp;"*",pi_r)</f>
        <v>0</v>
      </c>
      <c r="BR6" s="333">
        <f>+BQ6-BM6</f>
        <v>0</v>
      </c>
      <c r="BS6" s="333">
        <f>IF(BR6&gt;0,BR6,0)</f>
        <v>0</v>
      </c>
      <c r="BT6" s="95"/>
      <c r="BU6" s="95"/>
      <c r="BV6" s="619">
        <v>1000</v>
      </c>
      <c r="BW6" s="620" t="s">
        <v>258</v>
      </c>
      <c r="BX6" s="337">
        <f t="shared" ref="BX6:CC6" si="12">SUM(BX7:BX13)</f>
        <v>59875476.899999999</v>
      </c>
      <c r="BY6" s="337">
        <f t="shared" si="12"/>
        <v>6048652.1899999995</v>
      </c>
      <c r="BZ6" s="337">
        <f t="shared" si="12"/>
        <v>65924129.090000004</v>
      </c>
      <c r="CA6" s="337">
        <f t="shared" si="12"/>
        <v>65924124.189999998</v>
      </c>
      <c r="CB6" s="337">
        <f t="shared" si="12"/>
        <v>64738024.340000004</v>
      </c>
      <c r="CC6" s="337">
        <f t="shared" si="12"/>
        <v>4.900000000372529</v>
      </c>
      <c r="CD6" s="95"/>
      <c r="CE6" s="95"/>
      <c r="CF6" s="679"/>
      <c r="CG6" s="680"/>
      <c r="CH6" s="681"/>
      <c r="CI6" s="681"/>
      <c r="CJ6" s="682">
        <f t="shared" si="6"/>
        <v>0</v>
      </c>
      <c r="CK6" s="95"/>
      <c r="CL6" s="95"/>
      <c r="CM6" s="252"/>
      <c r="CN6" s="685"/>
      <c r="CO6" s="686"/>
      <c r="CP6" s="687"/>
      <c r="CQ6" s="67"/>
      <c r="CR6" s="67"/>
      <c r="CS6" s="609" t="s">
        <v>295</v>
      </c>
      <c r="CT6" s="351">
        <v>0</v>
      </c>
      <c r="CU6" s="351">
        <v>0</v>
      </c>
      <c r="CV6" s="351">
        <v>0</v>
      </c>
      <c r="CW6" s="95"/>
      <c r="CX6" s="95"/>
      <c r="CY6" s="27">
        <v>900002</v>
      </c>
      <c r="CZ6" s="621" t="s">
        <v>305</v>
      </c>
      <c r="DA6" s="352">
        <f t="shared" ref="DA6:DF6" si="13">SUM(DA7,DA10,DA19,DA23,DA26,DA31)</f>
        <v>80405840.509999976</v>
      </c>
      <c r="DB6" s="352">
        <f t="shared" si="13"/>
        <v>8457903.8100000042</v>
      </c>
      <c r="DC6" s="352">
        <f t="shared" si="13"/>
        <v>88863744.319999978</v>
      </c>
      <c r="DD6" s="352">
        <f t="shared" si="13"/>
        <v>86193205.110000029</v>
      </c>
      <c r="DE6" s="352">
        <f t="shared" si="13"/>
        <v>84872096.260000035</v>
      </c>
      <c r="DF6" s="352">
        <f t="shared" si="13"/>
        <v>2670539.2099999487</v>
      </c>
      <c r="DI6" s="611"/>
      <c r="DJ6" s="612"/>
    </row>
    <row r="7" spans="1:114">
      <c r="A7" s="95"/>
      <c r="B7" s="613">
        <v>1120</v>
      </c>
      <c r="C7" s="17" t="s">
        <v>6</v>
      </c>
      <c r="D7" s="112">
        <f ca="1">SUMIF(BC[],MID(B7,1,3)&amp;"*",bc_2017)</f>
        <v>18249.57</v>
      </c>
      <c r="E7" s="112">
        <f ca="1">SUMIF(BC[],MID(B7,1,3)&amp;"*",bc_2016)</f>
        <v>18150.45</v>
      </c>
      <c r="F7" s="112">
        <f ca="1">SUMIF(BC[],MID(B7,1,3)&amp;"*",bc_2015)</f>
        <v>75040.570000000007</v>
      </c>
      <c r="G7" s="602"/>
      <c r="H7" s="95"/>
      <c r="I7" s="95"/>
      <c r="J7" s="613">
        <v>4120</v>
      </c>
      <c r="K7" s="18" t="s">
        <v>173</v>
      </c>
      <c r="L7" s="112">
        <f ca="1">-SUMIF(BC[],MID(J7,1,3)&amp;"*",bc_2017)</f>
        <v>0</v>
      </c>
      <c r="M7" s="112">
        <f ca="1">-SUMIF(BC[],MID(J7,1,3)&amp;"*",bc_2016)</f>
        <v>0</v>
      </c>
      <c r="N7" s="112">
        <f ca="1">-SUMIF(BC[],MID(J7,1,3)&amp;"*",bc_2015)</f>
        <v>0</v>
      </c>
      <c r="O7" s="614"/>
      <c r="P7" s="95"/>
      <c r="Q7" s="95"/>
      <c r="R7" s="615">
        <v>3250</v>
      </c>
      <c r="S7" s="598" t="s">
        <v>156</v>
      </c>
      <c r="T7" s="114"/>
      <c r="U7" s="355">
        <f ca="1">-SUMIF(BC[],MID(R7,1,3)&amp;"*",bc_2016)</f>
        <v>0</v>
      </c>
      <c r="V7" s="355">
        <f ca="1">-SUMIF(BC[],MID(R7,1,3)&amp;"*",bc_2016)</f>
        <v>0</v>
      </c>
      <c r="W7" s="114">
        <v>0</v>
      </c>
      <c r="X7" s="114"/>
      <c r="Y7" s="95"/>
      <c r="Z7" s="95"/>
      <c r="AA7" s="613">
        <v>1120</v>
      </c>
      <c r="AB7" s="17" t="s">
        <v>6</v>
      </c>
      <c r="AC7" s="120">
        <f t="shared" ca="1" si="0"/>
        <v>0</v>
      </c>
      <c r="AD7" s="120">
        <f t="shared" ca="1" si="1"/>
        <v>99.119999999998981</v>
      </c>
      <c r="AE7" s="120">
        <f t="shared" ca="1" si="2"/>
        <v>56890.12000000001</v>
      </c>
      <c r="AF7" s="120">
        <f t="shared" ca="1" si="3"/>
        <v>0</v>
      </c>
      <c r="AG7" s="95"/>
      <c r="AH7" s="95"/>
      <c r="AI7" s="71">
        <v>4120</v>
      </c>
      <c r="AJ7" s="18" t="s">
        <v>103</v>
      </c>
      <c r="AK7" s="112">
        <f ca="1">-SUMIF(BC[],MID(AI7,1,3)&amp;"*",bc_2017)</f>
        <v>0</v>
      </c>
      <c r="AL7" s="112">
        <f ca="1">-SUMIF(BC[],MID(AI7,1,3)&amp;"*",bc_2016)</f>
        <v>0</v>
      </c>
      <c r="AM7" s="602"/>
      <c r="AN7" s="95"/>
      <c r="AO7" s="95"/>
      <c r="AP7" s="600">
        <v>1100</v>
      </c>
      <c r="AQ7" s="601" t="s">
        <v>4</v>
      </c>
      <c r="AR7" s="115">
        <f ca="1">SUM(AR8:AR14)</f>
        <v>11361825.720000001</v>
      </c>
      <c r="AS7" s="115">
        <f ca="1">SUM(AS8:AS14)</f>
        <v>239611389.44</v>
      </c>
      <c r="AT7" s="115">
        <f ca="1">SUM(AT8:AT14)</f>
        <v>235242484.45999998</v>
      </c>
      <c r="AU7" s="115">
        <f ca="1">SUM(AU8:AU14)</f>
        <v>15730730.699999999</v>
      </c>
      <c r="AV7" s="115">
        <f ca="1">SUM(AV8:AV14)</f>
        <v>4368904.9799999986</v>
      </c>
      <c r="AW7" s="95"/>
      <c r="AX7" s="95"/>
      <c r="AY7" s="71"/>
      <c r="AZ7" s="622" t="s">
        <v>81</v>
      </c>
      <c r="BA7" s="136"/>
      <c r="BB7" s="136"/>
      <c r="BC7" s="133"/>
      <c r="BD7" s="133"/>
      <c r="BE7" s="95"/>
      <c r="BF7" s="95"/>
      <c r="BG7" s="79"/>
      <c r="BH7" s="383"/>
      <c r="BI7" s="95"/>
      <c r="BJ7" s="95"/>
      <c r="BK7" s="34">
        <v>20</v>
      </c>
      <c r="BL7" s="11" t="s">
        <v>103</v>
      </c>
      <c r="BM7" s="333">
        <f t="shared" si="8"/>
        <v>0</v>
      </c>
      <c r="BN7" s="333">
        <f t="shared" si="9"/>
        <v>0</v>
      </c>
      <c r="BO7" s="333">
        <f t="shared" ref="BO7:BO20" si="14">+BM7+BN7</f>
        <v>0</v>
      </c>
      <c r="BP7" s="333">
        <f t="shared" si="10"/>
        <v>0</v>
      </c>
      <c r="BQ7" s="333">
        <f t="shared" si="11"/>
        <v>0</v>
      </c>
      <c r="BR7" s="333">
        <f t="shared" ref="BR7:BR20" si="15">+BQ7-BM7</f>
        <v>0</v>
      </c>
      <c r="BS7" s="333">
        <f t="shared" ref="BS7:BS20" si="16">IF(BR7&gt;0,BR7,0)</f>
        <v>0</v>
      </c>
      <c r="BT7" s="95"/>
      <c r="BU7" s="95"/>
      <c r="BV7" s="623">
        <v>1100</v>
      </c>
      <c r="BW7" s="624" t="s">
        <v>185</v>
      </c>
      <c r="BX7" s="338">
        <f t="shared" ref="BX7:BX13" si="17">SUMIF(PE_COG,MID(BV7,1,2)&amp;"*",PE_A)</f>
        <v>14113315.210000001</v>
      </c>
      <c r="BY7" s="338">
        <f t="shared" ref="BY7:BY13" si="18">SUMIF(PE_COG,MID(BV7,1,2)&amp;"*",PE_M)</f>
        <v>1307352.6900000002</v>
      </c>
      <c r="BZ7" s="338">
        <f t="shared" ref="BZ7:BZ69" si="19">+BX7+BY7</f>
        <v>15420667.9</v>
      </c>
      <c r="CA7" s="338">
        <f t="shared" ref="CA7:CA13" si="20">SUMIF(PE_COG,MID(BV7,1,2)&amp;"*",PE_D)</f>
        <v>15420663</v>
      </c>
      <c r="CB7" s="338">
        <f t="shared" ref="CB7:CB13" si="21">SUMIF(PE_COG,MID(BV7,1,2)&amp;"*",PE_P)</f>
        <v>15420663</v>
      </c>
      <c r="CC7" s="338">
        <f t="shared" ref="CC7:CC69" si="22">+BZ7-CA7</f>
        <v>4.900000000372529</v>
      </c>
      <c r="CD7" s="95"/>
      <c r="CE7" s="95"/>
      <c r="CF7" s="679"/>
      <c r="CG7" s="680"/>
      <c r="CH7" s="681"/>
      <c r="CI7" s="681"/>
      <c r="CJ7" s="682">
        <f t="shared" si="6"/>
        <v>0</v>
      </c>
      <c r="CK7" s="95"/>
      <c r="CL7" s="95"/>
      <c r="CM7" s="252"/>
      <c r="CN7" s="247" t="s">
        <v>286</v>
      </c>
      <c r="CO7" s="688"/>
      <c r="CP7" s="689"/>
      <c r="CQ7" s="67"/>
      <c r="CR7" s="67"/>
      <c r="CS7" s="625" t="s">
        <v>296</v>
      </c>
      <c r="CT7" s="352">
        <f>CT8+CT9</f>
        <v>80405840.510000005</v>
      </c>
      <c r="CU7" s="352">
        <f>CU8+CU9</f>
        <v>86193205.109999985</v>
      </c>
      <c r="CV7" s="352">
        <f>CV8+CV9</f>
        <v>84872096.260000005</v>
      </c>
      <c r="CW7" s="95"/>
      <c r="CX7" s="95"/>
      <c r="CY7" s="27">
        <v>900003</v>
      </c>
      <c r="CZ7" s="626" t="s">
        <v>306</v>
      </c>
      <c r="DA7" s="337">
        <f t="shared" ref="DA7:DF7" si="23">SUM(DA8:DA9)</f>
        <v>0</v>
      </c>
      <c r="DB7" s="337">
        <f t="shared" si="23"/>
        <v>0</v>
      </c>
      <c r="DC7" s="337">
        <f t="shared" si="23"/>
        <v>0</v>
      </c>
      <c r="DD7" s="337">
        <f t="shared" si="23"/>
        <v>0</v>
      </c>
      <c r="DE7" s="337">
        <f t="shared" si="23"/>
        <v>0</v>
      </c>
      <c r="DF7" s="337">
        <f t="shared" si="23"/>
        <v>0</v>
      </c>
      <c r="DI7" s="611"/>
      <c r="DJ7" s="627" t="s">
        <v>960</v>
      </c>
    </row>
    <row r="8" spans="1:114">
      <c r="A8" s="95"/>
      <c r="B8" s="613">
        <v>1130</v>
      </c>
      <c r="C8" s="17" t="s">
        <v>8</v>
      </c>
      <c r="D8" s="112">
        <f ca="1">SUMIF(BC[],MID(B8,1,3)&amp;"*",bc_2017)</f>
        <v>19632.43</v>
      </c>
      <c r="E8" s="112">
        <f ca="1">SUMIF(BC[],MID(B8,1,3)&amp;"*",bc_2016)</f>
        <v>19509.560000000001</v>
      </c>
      <c r="F8" s="112">
        <f ca="1">SUMIF(BC[],MID(B8,1,3)&amp;"*",bc_2015)</f>
        <v>14954.37</v>
      </c>
      <c r="G8" s="602" t="s">
        <v>7</v>
      </c>
      <c r="H8" s="95"/>
      <c r="I8" s="95"/>
      <c r="J8" s="613">
        <v>4130</v>
      </c>
      <c r="K8" s="18" t="s">
        <v>104</v>
      </c>
      <c r="L8" s="112">
        <f ca="1">-SUMIF(BC[],MID(J8,1,3)&amp;"*",bc_2017)</f>
        <v>0</v>
      </c>
      <c r="M8" s="112">
        <f ca="1">-SUMIF(BC[],MID(J8,1,3)&amp;"*",bc_2016)</f>
        <v>0</v>
      </c>
      <c r="N8" s="112">
        <f ca="1">-SUMIF(BC[],MID(J8,1,3)&amp;"*",bc_2015)</f>
        <v>0</v>
      </c>
      <c r="O8" s="614"/>
      <c r="P8" s="95"/>
      <c r="Q8" s="95"/>
      <c r="R8" s="628">
        <v>900001</v>
      </c>
      <c r="S8" s="598" t="s">
        <v>157</v>
      </c>
      <c r="T8" s="115">
        <f ca="1">SUM(T9:T11)</f>
        <v>26724265.559999999</v>
      </c>
      <c r="U8" s="133"/>
      <c r="V8" s="133"/>
      <c r="W8" s="115">
        <f>SUM(W9:W11)</f>
        <v>0</v>
      </c>
      <c r="X8" s="115">
        <f t="shared" ref="X8:X16" ca="1" si="24">SUM(T8:W8)</f>
        <v>26724265.559999999</v>
      </c>
      <c r="Y8" s="95"/>
      <c r="Z8" s="95"/>
      <c r="AA8" s="613">
        <v>1130</v>
      </c>
      <c r="AB8" s="17" t="s">
        <v>8</v>
      </c>
      <c r="AC8" s="120">
        <f t="shared" ca="1" si="0"/>
        <v>0</v>
      </c>
      <c r="AD8" s="120">
        <f t="shared" ca="1" si="1"/>
        <v>122.86999999999898</v>
      </c>
      <c r="AE8" s="120">
        <f t="shared" ca="1" si="2"/>
        <v>0</v>
      </c>
      <c r="AF8" s="120">
        <f t="shared" ca="1" si="3"/>
        <v>4555.1900000000005</v>
      </c>
      <c r="AG8" s="95"/>
      <c r="AH8" s="95"/>
      <c r="AI8" s="615">
        <v>4130</v>
      </c>
      <c r="AJ8" s="17" t="s">
        <v>104</v>
      </c>
      <c r="AK8" s="112">
        <f ca="1">-SUMIF(BC[],MID(AI8,1,3)&amp;"*",bc_2017)</f>
        <v>0</v>
      </c>
      <c r="AL8" s="112">
        <f ca="1">-SUMIF(BC[],MID(AI8,1,3)&amp;"*",bc_2016)</f>
        <v>0</v>
      </c>
      <c r="AM8" s="602"/>
      <c r="AN8" s="95"/>
      <c r="AO8" s="95"/>
      <c r="AP8" s="615">
        <v>1110</v>
      </c>
      <c r="AQ8" s="17" t="s">
        <v>5</v>
      </c>
      <c r="AR8" s="133">
        <f ca="1">SUMIF(BC[],MID(AP8,1,3)&amp;"*",bc_2016)</f>
        <v>11324165.710000001</v>
      </c>
      <c r="AS8" s="133">
        <f ca="1">SUMIF(BC[],MID(AP8,1,3)&amp;"*",bc_2017c)</f>
        <v>145882408.34</v>
      </c>
      <c r="AT8" s="133">
        <f ca="1">-SUMIF(BC[],MID(AP8,1,3)&amp;"*",bc_2017a)</f>
        <v>141513725.34999999</v>
      </c>
      <c r="AU8" s="133">
        <f ca="1">SUMIF(BC[],MID(AP8,1,3)&amp;"*",bc_2017)</f>
        <v>15692848.699999999</v>
      </c>
      <c r="AV8" s="133">
        <f ca="1">+AU8-AR8</f>
        <v>4368682.9899999984</v>
      </c>
      <c r="AW8" s="95"/>
      <c r="AX8" s="95"/>
      <c r="AY8" s="629">
        <v>900001</v>
      </c>
      <c r="AZ8" s="598" t="s">
        <v>82</v>
      </c>
      <c r="BA8" s="137"/>
      <c r="BB8" s="137"/>
      <c r="BC8" s="115">
        <f ca="1">SUM(BC9:BC11)</f>
        <v>0</v>
      </c>
      <c r="BD8" s="115">
        <f ca="1">SUM(BD9:BD11)</f>
        <v>0</v>
      </c>
      <c r="BE8" s="95"/>
      <c r="BF8" s="95"/>
      <c r="BG8" s="79"/>
      <c r="BH8" s="383"/>
      <c r="BI8" s="95"/>
      <c r="BJ8" s="95"/>
      <c r="BK8" s="34">
        <v>30</v>
      </c>
      <c r="BL8" s="11" t="s">
        <v>236</v>
      </c>
      <c r="BM8" s="333">
        <f t="shared" si="8"/>
        <v>0</v>
      </c>
      <c r="BN8" s="333">
        <f t="shared" si="9"/>
        <v>0</v>
      </c>
      <c r="BO8" s="333">
        <f t="shared" si="14"/>
        <v>0</v>
      </c>
      <c r="BP8" s="333">
        <f t="shared" si="10"/>
        <v>0</v>
      </c>
      <c r="BQ8" s="333">
        <f t="shared" si="11"/>
        <v>0</v>
      </c>
      <c r="BR8" s="333">
        <f t="shared" si="15"/>
        <v>0</v>
      </c>
      <c r="BS8" s="333">
        <f t="shared" si="16"/>
        <v>0</v>
      </c>
      <c r="BT8" s="95"/>
      <c r="BU8" s="95"/>
      <c r="BV8" s="623">
        <v>1200</v>
      </c>
      <c r="BW8" s="624" t="s">
        <v>186</v>
      </c>
      <c r="BX8" s="338">
        <f t="shared" si="17"/>
        <v>2515531.8199999998</v>
      </c>
      <c r="BY8" s="338">
        <f t="shared" si="18"/>
        <v>4005.6199999999953</v>
      </c>
      <c r="BZ8" s="338">
        <f t="shared" si="19"/>
        <v>2519537.44</v>
      </c>
      <c r="CA8" s="338">
        <f t="shared" si="20"/>
        <v>2519537.44</v>
      </c>
      <c r="CB8" s="338">
        <f t="shared" si="21"/>
        <v>2519537.44</v>
      </c>
      <c r="CC8" s="338">
        <f t="shared" si="22"/>
        <v>0</v>
      </c>
      <c r="CD8" s="95"/>
      <c r="CE8" s="95"/>
      <c r="CF8" s="679"/>
      <c r="CG8" s="680"/>
      <c r="CH8" s="681"/>
      <c r="CI8" s="681"/>
      <c r="CJ8" s="682">
        <f t="shared" si="6"/>
        <v>0</v>
      </c>
      <c r="CK8" s="95"/>
      <c r="CL8" s="95"/>
      <c r="CM8" s="252"/>
      <c r="CN8" s="247"/>
      <c r="CO8" s="688"/>
      <c r="CP8" s="689"/>
      <c r="CQ8" s="67"/>
      <c r="CR8" s="67"/>
      <c r="CS8" s="609" t="s">
        <v>297</v>
      </c>
      <c r="CT8" s="351">
        <f>+BX5</f>
        <v>80405840.510000005</v>
      </c>
      <c r="CU8" s="351">
        <f>+CA5</f>
        <v>86193205.109999985</v>
      </c>
      <c r="CV8" s="351">
        <f>+CB5</f>
        <v>84872096.260000005</v>
      </c>
      <c r="CW8" s="95"/>
      <c r="CX8" s="95"/>
      <c r="CY8" s="347" t="s">
        <v>307</v>
      </c>
      <c r="CZ8" s="630" t="s">
        <v>308</v>
      </c>
      <c r="DA8" s="338">
        <f>SUMIF(PE_CP,MID(CY8,1,1)&amp;"*",PE_A)</f>
        <v>0</v>
      </c>
      <c r="DB8" s="338">
        <f>SUMIF(PE_CP,MID(CY8,1,1)&amp;"*",PE_M)</f>
        <v>0</v>
      </c>
      <c r="DC8" s="338">
        <f>+DA8+DB8</f>
        <v>0</v>
      </c>
      <c r="DD8" s="338">
        <f>SUMIF(PE_CP,MID(CY8,1,1)&amp;"*",PE_D)</f>
        <v>0</v>
      </c>
      <c r="DE8" s="338">
        <f>SUMIF(PE_CP,MID(CY8,1,1)&amp;"*",PE_P)</f>
        <v>0</v>
      </c>
      <c r="DF8" s="338">
        <f>+DC8-DD8</f>
        <v>0</v>
      </c>
      <c r="DI8" s="611" t="s">
        <v>402</v>
      </c>
      <c r="DJ8" s="631" t="s">
        <v>961</v>
      </c>
    </row>
    <row r="9" spans="1:114">
      <c r="A9" s="95"/>
      <c r="B9" s="613">
        <v>1140</v>
      </c>
      <c r="C9" s="17" t="s">
        <v>9</v>
      </c>
      <c r="D9" s="112">
        <f ca="1">SUMIF(BC[],MID(B9,1,3)&amp;"*",bc_2017)</f>
        <v>0</v>
      </c>
      <c r="E9" s="112">
        <f ca="1">SUMIF(BC[],MID(B9,1,3)&amp;"*",bc_2016)</f>
        <v>0</v>
      </c>
      <c r="F9" s="112">
        <f ca="1">SUMIF(BC[],MID(B9,1,3)&amp;"*",bc_2015)</f>
        <v>0</v>
      </c>
      <c r="G9" s="602" t="s">
        <v>10</v>
      </c>
      <c r="H9" s="95"/>
      <c r="I9" s="95"/>
      <c r="J9" s="613">
        <v>4140</v>
      </c>
      <c r="K9" s="18" t="s">
        <v>105</v>
      </c>
      <c r="L9" s="112">
        <f ca="1">-SUMIF(BC[],MID(J9,1,3)&amp;"*",bc_2017)</f>
        <v>0</v>
      </c>
      <c r="M9" s="112">
        <f ca="1">-SUMIF(BC[],MID(J9,1,3)&amp;"*",bc_2016)</f>
        <v>0</v>
      </c>
      <c r="N9" s="112">
        <f ca="1">-SUMIF(BC[],MID(J9,1,3)&amp;"*",bc_2015)</f>
        <v>0</v>
      </c>
      <c r="O9" s="614"/>
      <c r="P9" s="95"/>
      <c r="Q9" s="95"/>
      <c r="R9" s="613">
        <v>3110</v>
      </c>
      <c r="S9" s="17" t="s">
        <v>59</v>
      </c>
      <c r="T9" s="112">
        <f ca="1">-SUMIF(BC[],MID(R9,1,3)&amp;"*",bc_2016)</f>
        <v>26724265.559999999</v>
      </c>
      <c r="U9" s="133"/>
      <c r="V9" s="133"/>
      <c r="W9" s="133">
        <v>0</v>
      </c>
      <c r="X9" s="133">
        <f t="shared" ca="1" si="24"/>
        <v>26724265.559999999</v>
      </c>
      <c r="Y9" s="95"/>
      <c r="Z9" s="95"/>
      <c r="AA9" s="613">
        <v>1140</v>
      </c>
      <c r="AB9" s="17" t="s">
        <v>9</v>
      </c>
      <c r="AC9" s="120">
        <f t="shared" ca="1" si="0"/>
        <v>0</v>
      </c>
      <c r="AD9" s="120">
        <f t="shared" ca="1" si="1"/>
        <v>0</v>
      </c>
      <c r="AE9" s="120">
        <f t="shared" ca="1" si="2"/>
        <v>0</v>
      </c>
      <c r="AF9" s="120">
        <f t="shared" ca="1" si="3"/>
        <v>0</v>
      </c>
      <c r="AG9" s="95"/>
      <c r="AH9" s="95"/>
      <c r="AI9" s="615">
        <v>4140</v>
      </c>
      <c r="AJ9" s="17" t="s">
        <v>105</v>
      </c>
      <c r="AK9" s="112">
        <f ca="1">-SUMIF(BC[],MID(AI9,1,3)&amp;"*",bc_2017)</f>
        <v>0</v>
      </c>
      <c r="AL9" s="112">
        <f ca="1">-SUMIF(BC[],MID(AI9,1,3)&amp;"*",bc_2016)</f>
        <v>0</v>
      </c>
      <c r="AM9" s="602"/>
      <c r="AN9" s="95"/>
      <c r="AO9" s="95"/>
      <c r="AP9" s="615">
        <v>1120</v>
      </c>
      <c r="AQ9" s="17" t="s">
        <v>6</v>
      </c>
      <c r="AR9" s="133">
        <f ca="1">SUMIF(BC[],MID(AP9,1,3)&amp;"*",bc_2016)</f>
        <v>18150.45</v>
      </c>
      <c r="AS9" s="133">
        <f ca="1">SUMIF(BC[],MID(AP9,1,3)&amp;"*",bc_2017c)</f>
        <v>88170690.549999982</v>
      </c>
      <c r="AT9" s="133">
        <f ca="1">-SUMIF(BC[],MID(AP9,1,3)&amp;"*",bc_2017a)</f>
        <v>88170591.429999992</v>
      </c>
      <c r="AU9" s="133">
        <f ca="1">SUMIF(BC[],MID(AP9,1,3)&amp;"*",bc_2017)</f>
        <v>18249.57</v>
      </c>
      <c r="AV9" s="133">
        <f t="shared" ref="AV9:AV14" ca="1" si="25">+AU9-AR9</f>
        <v>99.119999999998981</v>
      </c>
      <c r="AW9" s="95"/>
      <c r="AX9" s="95"/>
      <c r="AY9" s="71">
        <v>2131</v>
      </c>
      <c r="AZ9" s="42" t="s">
        <v>83</v>
      </c>
      <c r="BA9" s="136"/>
      <c r="BB9" s="136"/>
      <c r="BC9" s="112">
        <f ca="1">-SUMIF(BC[],MID(AY9,1,4)&amp;"*",bc_2016)</f>
        <v>0</v>
      </c>
      <c r="BD9" s="112">
        <f ca="1">-SUMIF(BC[],MID(AY9,1,4)&amp;"*",bc_2017)</f>
        <v>0</v>
      </c>
      <c r="BE9" s="95"/>
      <c r="BF9" s="95"/>
      <c r="BG9" s="79"/>
      <c r="BH9" s="383"/>
      <c r="BI9" s="95"/>
      <c r="BJ9" s="95"/>
      <c r="BK9" s="34">
        <v>40</v>
      </c>
      <c r="BL9" s="11" t="s">
        <v>105</v>
      </c>
      <c r="BM9" s="333">
        <f t="shared" si="8"/>
        <v>0</v>
      </c>
      <c r="BN9" s="333">
        <f t="shared" si="9"/>
        <v>0</v>
      </c>
      <c r="BO9" s="333">
        <f t="shared" si="14"/>
        <v>0</v>
      </c>
      <c r="BP9" s="333">
        <f t="shared" si="10"/>
        <v>0</v>
      </c>
      <c r="BQ9" s="333">
        <f t="shared" si="11"/>
        <v>0</v>
      </c>
      <c r="BR9" s="333">
        <f t="shared" si="15"/>
        <v>0</v>
      </c>
      <c r="BS9" s="333">
        <f t="shared" si="16"/>
        <v>0</v>
      </c>
      <c r="BT9" s="95"/>
      <c r="BU9" s="95"/>
      <c r="BV9" s="623">
        <v>1300</v>
      </c>
      <c r="BW9" s="624" t="s">
        <v>187</v>
      </c>
      <c r="BX9" s="338">
        <f t="shared" si="17"/>
        <v>6724763.9299999988</v>
      </c>
      <c r="BY9" s="338">
        <f t="shared" si="18"/>
        <v>1004115.9099999999</v>
      </c>
      <c r="BZ9" s="338">
        <f t="shared" si="19"/>
        <v>7728879.8399999989</v>
      </c>
      <c r="CA9" s="338">
        <f t="shared" si="20"/>
        <v>7728879.8399999999</v>
      </c>
      <c r="CB9" s="338">
        <f t="shared" si="21"/>
        <v>7728879.8399999999</v>
      </c>
      <c r="CC9" s="338">
        <f t="shared" si="22"/>
        <v>0</v>
      </c>
      <c r="CD9" s="95"/>
      <c r="CE9" s="95"/>
      <c r="CF9" s="679"/>
      <c r="CG9" s="680"/>
      <c r="CH9" s="681"/>
      <c r="CI9" s="681"/>
      <c r="CJ9" s="682">
        <f t="shared" si="6"/>
        <v>0</v>
      </c>
      <c r="CK9" s="95"/>
      <c r="CL9" s="95"/>
      <c r="CM9" s="252"/>
      <c r="CN9" s="247"/>
      <c r="CO9" s="688"/>
      <c r="CP9" s="689"/>
      <c r="CQ9" s="67"/>
      <c r="CR9" s="67"/>
      <c r="CS9" s="609" t="s">
        <v>298</v>
      </c>
      <c r="CT9" s="351">
        <v>0</v>
      </c>
      <c r="CU9" s="351">
        <v>0</v>
      </c>
      <c r="CV9" s="351">
        <v>0</v>
      </c>
      <c r="CW9" s="95"/>
      <c r="CX9" s="95"/>
      <c r="CY9" s="347" t="s">
        <v>309</v>
      </c>
      <c r="CZ9" s="630" t="s">
        <v>310</v>
      </c>
      <c r="DA9" s="338">
        <f>SUMIF(PE_CP,MID(CY9,1,1)&amp;"*",PE_A)</f>
        <v>0</v>
      </c>
      <c r="DB9" s="338">
        <f>SUMIF(PE_CP,MID(CY9,1,1)&amp;"*",PE_M)</f>
        <v>0</v>
      </c>
      <c r="DC9" s="338">
        <f>+DA9+DB9</f>
        <v>0</v>
      </c>
      <c r="DD9" s="338">
        <f>SUMIF(PE_CP,MID(CY9,1,1)&amp;"*",PE_D)</f>
        <v>0</v>
      </c>
      <c r="DE9" s="338">
        <f>SUMIF(PE_CP,MID(CY9,1,1)&amp;"*",PE_P)</f>
        <v>0</v>
      </c>
      <c r="DF9" s="338">
        <f>+DC9-DD9</f>
        <v>0</v>
      </c>
      <c r="DI9" s="611" t="s">
        <v>408</v>
      </c>
      <c r="DJ9" s="631" t="s">
        <v>962</v>
      </c>
    </row>
    <row r="10" spans="1:114">
      <c r="A10" s="95"/>
      <c r="B10" s="613">
        <v>1150</v>
      </c>
      <c r="C10" s="17" t="s">
        <v>11</v>
      </c>
      <c r="D10" s="112">
        <f ca="1">SUMIF(BC[],MID(B10,1,3)&amp;"*",bc_2017)</f>
        <v>0</v>
      </c>
      <c r="E10" s="112">
        <f ca="1">SUMIF(BC[],MID(B10,1,3)&amp;"*",bc_2016)</f>
        <v>0</v>
      </c>
      <c r="F10" s="112">
        <f ca="1">SUMIF(BC[],MID(B10,1,3)&amp;"*",bc_2015)</f>
        <v>0</v>
      </c>
      <c r="G10" s="602" t="s">
        <v>10</v>
      </c>
      <c r="H10" s="95"/>
      <c r="I10" s="95"/>
      <c r="J10" s="613">
        <v>4150</v>
      </c>
      <c r="K10" s="18" t="s">
        <v>106</v>
      </c>
      <c r="L10" s="112">
        <f ca="1">-SUMIF(BC[],MID(J10,1,3)&amp;"*",bc_2017)</f>
        <v>0</v>
      </c>
      <c r="M10" s="112">
        <f ca="1">-SUMIF(BC[],MID(J10,1,3)&amp;"*",bc_2016)</f>
        <v>0</v>
      </c>
      <c r="N10" s="112">
        <f ca="1">-SUMIF(BC[],MID(J10,1,3)&amp;"*",bc_2015)</f>
        <v>0</v>
      </c>
      <c r="O10" s="614"/>
      <c r="P10" s="95"/>
      <c r="Q10" s="95"/>
      <c r="R10" s="613">
        <v>3120</v>
      </c>
      <c r="S10" s="17" t="s">
        <v>60</v>
      </c>
      <c r="T10" s="112">
        <f ca="1">-SUMIF(BC[],MID(R10,1,3)&amp;"*",bc_2016)</f>
        <v>0</v>
      </c>
      <c r="U10" s="133"/>
      <c r="V10" s="133"/>
      <c r="W10" s="133">
        <v>0</v>
      </c>
      <c r="X10" s="133">
        <f t="shared" ca="1" si="24"/>
        <v>0</v>
      </c>
      <c r="Y10" s="95"/>
      <c r="Z10" s="95"/>
      <c r="AA10" s="613">
        <v>1150</v>
      </c>
      <c r="AB10" s="17" t="s">
        <v>11</v>
      </c>
      <c r="AC10" s="120">
        <f t="shared" ca="1" si="0"/>
        <v>0</v>
      </c>
      <c r="AD10" s="120">
        <f t="shared" ca="1" si="1"/>
        <v>0</v>
      </c>
      <c r="AE10" s="120">
        <f t="shared" ca="1" si="2"/>
        <v>0</v>
      </c>
      <c r="AF10" s="120">
        <f t="shared" ca="1" si="3"/>
        <v>0</v>
      </c>
      <c r="AG10" s="95"/>
      <c r="AH10" s="95"/>
      <c r="AI10" s="615">
        <v>4150</v>
      </c>
      <c r="AJ10" s="17" t="s">
        <v>106</v>
      </c>
      <c r="AK10" s="112">
        <f ca="1">-SUMIF(BC[],MID(AI10,1,3)&amp;"*",bc_2017)</f>
        <v>0</v>
      </c>
      <c r="AL10" s="112">
        <f ca="1">-SUMIF(BC[],MID(AI10,1,3)&amp;"*",bc_2016)</f>
        <v>0</v>
      </c>
      <c r="AM10" s="602"/>
      <c r="AN10" s="95"/>
      <c r="AO10" s="95"/>
      <c r="AP10" s="615">
        <v>1130</v>
      </c>
      <c r="AQ10" s="17" t="s">
        <v>8</v>
      </c>
      <c r="AR10" s="133">
        <f ca="1">SUMIF(BC[],MID(AP10,1,3)&amp;"*",bc_2016)</f>
        <v>19509.560000000001</v>
      </c>
      <c r="AS10" s="133">
        <f ca="1">SUMIF(BC[],MID(AP10,1,3)&amp;"*",bc_2017c)</f>
        <v>5558290.5499999998</v>
      </c>
      <c r="AT10" s="133">
        <f ca="1">-SUMIF(BC[],MID(AP10,1,3)&amp;"*",bc_2017a)</f>
        <v>5558167.6799999997</v>
      </c>
      <c r="AU10" s="133">
        <f ca="1">SUMIF(BC[],MID(AP10,1,3)&amp;"*",bc_2017)</f>
        <v>19632.43</v>
      </c>
      <c r="AV10" s="133">
        <f t="shared" ca="1" si="25"/>
        <v>122.86999999999898</v>
      </c>
      <c r="AW10" s="95"/>
      <c r="AX10" s="95"/>
      <c r="AY10" s="71">
        <v>2141</v>
      </c>
      <c r="AZ10" s="42" t="s">
        <v>84</v>
      </c>
      <c r="BA10" s="136"/>
      <c r="BB10" s="136"/>
      <c r="BC10" s="112">
        <f ca="1">-SUMIF(BC[],MID(AY10,1,4)&amp;"*",bc_2016)</f>
        <v>0</v>
      </c>
      <c r="BD10" s="112">
        <f ca="1">-SUMIF(BC[],MID(AY10,1,4)&amp;"*",bc_2017)</f>
        <v>0</v>
      </c>
      <c r="BE10" s="95"/>
      <c r="BF10" s="95"/>
      <c r="BG10" s="65" t="s">
        <v>73</v>
      </c>
      <c r="BH10" s="383" t="s">
        <v>381</v>
      </c>
      <c r="BI10" s="95"/>
      <c r="BJ10" s="95"/>
      <c r="BK10" s="34">
        <v>50</v>
      </c>
      <c r="BL10" s="11" t="s">
        <v>237</v>
      </c>
      <c r="BM10" s="333">
        <f t="shared" si="8"/>
        <v>0</v>
      </c>
      <c r="BN10" s="333">
        <f t="shared" si="9"/>
        <v>0</v>
      </c>
      <c r="BO10" s="333">
        <f t="shared" si="14"/>
        <v>0</v>
      </c>
      <c r="BP10" s="333">
        <f t="shared" si="10"/>
        <v>0</v>
      </c>
      <c r="BQ10" s="333">
        <f t="shared" si="11"/>
        <v>0</v>
      </c>
      <c r="BR10" s="333">
        <f t="shared" si="15"/>
        <v>0</v>
      </c>
      <c r="BS10" s="333">
        <f t="shared" si="16"/>
        <v>0</v>
      </c>
      <c r="BT10" s="95"/>
      <c r="BU10" s="95"/>
      <c r="BV10" s="623">
        <v>1400</v>
      </c>
      <c r="BW10" s="624" t="s">
        <v>259</v>
      </c>
      <c r="BX10" s="338">
        <f t="shared" si="17"/>
        <v>4747500.33</v>
      </c>
      <c r="BY10" s="338">
        <f t="shared" si="18"/>
        <v>-144275.09000000017</v>
      </c>
      <c r="BZ10" s="338">
        <f t="shared" si="19"/>
        <v>4603225.24</v>
      </c>
      <c r="CA10" s="338">
        <f t="shared" si="20"/>
        <v>4603225.24</v>
      </c>
      <c r="CB10" s="338">
        <f t="shared" si="21"/>
        <v>4603225.24</v>
      </c>
      <c r="CC10" s="338">
        <f t="shared" si="22"/>
        <v>0</v>
      </c>
      <c r="CD10" s="95"/>
      <c r="CE10" s="95"/>
      <c r="CF10" s="679"/>
      <c r="CG10" s="680"/>
      <c r="CH10" s="681"/>
      <c r="CI10" s="681"/>
      <c r="CJ10" s="682">
        <f t="shared" si="6"/>
        <v>0</v>
      </c>
      <c r="CK10" s="95"/>
      <c r="CL10" s="95"/>
      <c r="CM10" s="252"/>
      <c r="CN10" s="247"/>
      <c r="CO10" s="688"/>
      <c r="CP10" s="689"/>
      <c r="CQ10" s="67"/>
      <c r="CR10" s="67"/>
      <c r="CS10" s="625" t="s">
        <v>299</v>
      </c>
      <c r="CT10" s="352">
        <f>CT4-CT7</f>
        <v>0</v>
      </c>
      <c r="CU10" s="352">
        <f>CU4-CU7</f>
        <v>2670534.3100000024</v>
      </c>
      <c r="CV10" s="352">
        <f>CV4-CV7</f>
        <v>3991643.1599999815</v>
      </c>
      <c r="CW10" s="95"/>
      <c r="CX10" s="95"/>
      <c r="CY10" s="27">
        <v>900004</v>
      </c>
      <c r="CZ10" s="626" t="s">
        <v>311</v>
      </c>
      <c r="DA10" s="337">
        <f t="shared" ref="DA10:DF10" si="26">SUM(DA11:DA18)</f>
        <v>80405840.509999976</v>
      </c>
      <c r="DB10" s="337">
        <f t="shared" si="26"/>
        <v>8457903.8100000042</v>
      </c>
      <c r="DC10" s="337">
        <f t="shared" si="26"/>
        <v>88863744.319999978</v>
      </c>
      <c r="DD10" s="337">
        <f t="shared" si="26"/>
        <v>86193205.110000029</v>
      </c>
      <c r="DE10" s="337">
        <f t="shared" si="26"/>
        <v>84872096.260000035</v>
      </c>
      <c r="DF10" s="337">
        <f t="shared" si="26"/>
        <v>2670539.2099999487</v>
      </c>
      <c r="DI10" s="611" t="s">
        <v>7</v>
      </c>
      <c r="DJ10" s="631" t="s">
        <v>963</v>
      </c>
    </row>
    <row r="11" spans="1:114">
      <c r="A11" s="95"/>
      <c r="B11" s="613">
        <v>1160</v>
      </c>
      <c r="C11" s="17" t="s">
        <v>12</v>
      </c>
      <c r="D11" s="112">
        <f ca="1">SUMIF(BC[],MID(B11,1,3)&amp;"*",bc_2017)</f>
        <v>0</v>
      </c>
      <c r="E11" s="112">
        <f ca="1">SUMIF(BC[],MID(B11,1,3)&amp;"*",bc_2016)</f>
        <v>0</v>
      </c>
      <c r="F11" s="112">
        <f ca="1">SUMIF(BC[],MID(B11,1,3)&amp;"*",bc_2015)</f>
        <v>0</v>
      </c>
      <c r="G11" s="602"/>
      <c r="H11" s="95"/>
      <c r="I11" s="95"/>
      <c r="J11" s="613">
        <v>4160</v>
      </c>
      <c r="K11" s="18" t="s">
        <v>107</v>
      </c>
      <c r="L11" s="112">
        <f ca="1">-SUMIF(BC[],MID(J11,1,3)&amp;"*",bc_2017)</f>
        <v>0</v>
      </c>
      <c r="M11" s="112">
        <f ca="1">-SUMIF(BC[],MID(J11,1,3)&amp;"*",bc_2016)</f>
        <v>0</v>
      </c>
      <c r="N11" s="112">
        <f ca="1">-SUMIF(BC[],MID(J11,1,3)&amp;"*",bc_2015)</f>
        <v>0</v>
      </c>
      <c r="O11" s="614"/>
      <c r="P11" s="95"/>
      <c r="Q11" s="95"/>
      <c r="R11" s="613">
        <v>3130</v>
      </c>
      <c r="S11" s="17" t="s">
        <v>61</v>
      </c>
      <c r="T11" s="112">
        <f ca="1">-SUMIF(BC[],MID(R11,1,3)&amp;"*",bc_2016)</f>
        <v>0</v>
      </c>
      <c r="U11" s="133"/>
      <c r="V11" s="133"/>
      <c r="W11" s="133">
        <v>0</v>
      </c>
      <c r="X11" s="133">
        <f t="shared" ca="1" si="24"/>
        <v>0</v>
      </c>
      <c r="Y11" s="95"/>
      <c r="Z11" s="95"/>
      <c r="AA11" s="613">
        <v>1160</v>
      </c>
      <c r="AB11" s="17" t="s">
        <v>12</v>
      </c>
      <c r="AC11" s="120">
        <f t="shared" ca="1" si="0"/>
        <v>0</v>
      </c>
      <c r="AD11" s="120">
        <f t="shared" ca="1" si="1"/>
        <v>0</v>
      </c>
      <c r="AE11" s="120">
        <f t="shared" ca="1" si="2"/>
        <v>0</v>
      </c>
      <c r="AF11" s="120">
        <f t="shared" ca="1" si="3"/>
        <v>0</v>
      </c>
      <c r="AG11" s="95"/>
      <c r="AH11" s="95"/>
      <c r="AI11" s="615">
        <v>4160</v>
      </c>
      <c r="AJ11" s="17" t="s">
        <v>107</v>
      </c>
      <c r="AK11" s="112">
        <f ca="1">-SUMIF(BC[],MID(AI11,1,3)&amp;"*",bc_2017)</f>
        <v>0</v>
      </c>
      <c r="AL11" s="112">
        <f ca="1">-SUMIF(BC[],MID(AI11,1,3)&amp;"*",bc_2016)</f>
        <v>0</v>
      </c>
      <c r="AM11" s="602"/>
      <c r="AN11" s="95"/>
      <c r="AO11" s="95"/>
      <c r="AP11" s="615">
        <v>1140</v>
      </c>
      <c r="AQ11" s="17" t="s">
        <v>9</v>
      </c>
      <c r="AR11" s="133">
        <f ca="1">SUMIF(BC[],MID(AP11,1,3)&amp;"*",bc_2016)</f>
        <v>0</v>
      </c>
      <c r="AS11" s="133">
        <f ca="1">SUMIF(BC[],MID(AP11,1,3)&amp;"*",bc_2017c)</f>
        <v>0</v>
      </c>
      <c r="AT11" s="133">
        <f ca="1">-SUMIF(BC[],MID(AP11,1,3)&amp;"*",bc_2017a)</f>
        <v>0</v>
      </c>
      <c r="AU11" s="133">
        <f ca="1">SUMIF(BC[],MID(AP11,1,3)&amp;"*",bc_2017)</f>
        <v>0</v>
      </c>
      <c r="AV11" s="133">
        <f t="shared" ca="1" si="25"/>
        <v>0</v>
      </c>
      <c r="AW11" s="95"/>
      <c r="AX11" s="95"/>
      <c r="AY11" s="71">
        <v>2133</v>
      </c>
      <c r="AZ11" s="42" t="s">
        <v>85</v>
      </c>
      <c r="BA11" s="136"/>
      <c r="BB11" s="136"/>
      <c r="BC11" s="112">
        <f ca="1">-SUMIF(BC[],MID(AY11,1,4)&amp;"*",bc_2016)</f>
        <v>0</v>
      </c>
      <c r="BD11" s="112">
        <f ca="1">-SUMIF(BC[],MID(AY11,1,4)&amp;"*",bc_2017)</f>
        <v>0</v>
      </c>
      <c r="BE11" s="95"/>
      <c r="BF11" s="95"/>
      <c r="BG11" s="79"/>
      <c r="BH11" s="383"/>
      <c r="BI11" s="95"/>
      <c r="BJ11" s="95"/>
      <c r="BK11" s="34">
        <v>51</v>
      </c>
      <c r="BL11" s="3" t="s">
        <v>238</v>
      </c>
      <c r="BM11" s="333">
        <f t="shared" si="8"/>
        <v>0</v>
      </c>
      <c r="BN11" s="333">
        <f t="shared" si="9"/>
        <v>0</v>
      </c>
      <c r="BO11" s="333">
        <f t="shared" si="14"/>
        <v>0</v>
      </c>
      <c r="BP11" s="333">
        <f t="shared" si="10"/>
        <v>0</v>
      </c>
      <c r="BQ11" s="333">
        <f t="shared" si="11"/>
        <v>0</v>
      </c>
      <c r="BR11" s="333">
        <f t="shared" si="15"/>
        <v>0</v>
      </c>
      <c r="BS11" s="333">
        <f t="shared" si="16"/>
        <v>0</v>
      </c>
      <c r="BT11" s="95"/>
      <c r="BU11" s="95"/>
      <c r="BV11" s="623">
        <v>1500</v>
      </c>
      <c r="BW11" s="624" t="s">
        <v>188</v>
      </c>
      <c r="BX11" s="338">
        <f t="shared" si="17"/>
        <v>29057822.379999999</v>
      </c>
      <c r="BY11" s="338">
        <f t="shared" si="18"/>
        <v>5248468.51</v>
      </c>
      <c r="BZ11" s="338">
        <f t="shared" si="19"/>
        <v>34306290.890000001</v>
      </c>
      <c r="CA11" s="338">
        <f t="shared" si="20"/>
        <v>34306290.889999993</v>
      </c>
      <c r="CB11" s="338">
        <f t="shared" si="21"/>
        <v>33120191.039999999</v>
      </c>
      <c r="CC11" s="338">
        <f t="shared" si="22"/>
        <v>0</v>
      </c>
      <c r="CD11" s="95"/>
      <c r="CE11" s="95"/>
      <c r="CF11" s="679"/>
      <c r="CG11" s="680"/>
      <c r="CH11" s="681"/>
      <c r="CI11" s="681"/>
      <c r="CJ11" s="682">
        <f t="shared" si="6"/>
        <v>0</v>
      </c>
      <c r="CK11" s="95"/>
      <c r="CL11" s="95"/>
      <c r="CM11" s="252"/>
      <c r="CN11" s="247"/>
      <c r="CO11" s="688"/>
      <c r="CP11" s="689"/>
      <c r="CQ11" s="67"/>
      <c r="CR11" s="67"/>
      <c r="CS11" s="625" t="s">
        <v>300</v>
      </c>
      <c r="CT11" s="351">
        <v>0</v>
      </c>
      <c r="CU11" s="351">
        <v>0</v>
      </c>
      <c r="CV11" s="351">
        <v>0</v>
      </c>
      <c r="CW11" s="95"/>
      <c r="CX11" s="95"/>
      <c r="CY11" s="347" t="s">
        <v>312</v>
      </c>
      <c r="CZ11" s="630" t="s">
        <v>313</v>
      </c>
      <c r="DA11" s="338">
        <f t="shared" ref="DA11:DA18" si="27">SUMIF(PE_CP,MID(CY11,1,1)&amp;"*",PE_A)</f>
        <v>80405840.509999976</v>
      </c>
      <c r="DB11" s="338">
        <f t="shared" ref="DB11:DB18" si="28">SUMIF(PE_CP,MID(CY11,1,1)&amp;"*",PE_M)</f>
        <v>8457903.8100000042</v>
      </c>
      <c r="DC11" s="338">
        <f t="shared" ref="DC11:DC18" si="29">+DA11+DB11</f>
        <v>88863744.319999978</v>
      </c>
      <c r="DD11" s="338">
        <f t="shared" ref="DD11:DD18" si="30">SUMIF(PE_CP,MID(CY11,1,1)&amp;"*",PE_D)</f>
        <v>86193205.110000029</v>
      </c>
      <c r="DE11" s="338">
        <f t="shared" ref="DE11:DE18" si="31">SUMIF(PE_CP,MID(CY11,1,1)&amp;"*",PE_P)</f>
        <v>84872096.260000035</v>
      </c>
      <c r="DF11" s="338">
        <f t="shared" ref="DF11:DF18" si="32">+DC11-DD11</f>
        <v>2670539.2099999487</v>
      </c>
      <c r="DI11" s="611" t="s">
        <v>964</v>
      </c>
      <c r="DJ11" s="631" t="s">
        <v>965</v>
      </c>
    </row>
    <row r="12" spans="1:114">
      <c r="A12" s="95"/>
      <c r="B12" s="613">
        <v>1190</v>
      </c>
      <c r="C12" s="17" t="s">
        <v>13</v>
      </c>
      <c r="D12" s="112">
        <f ca="1">SUMIF(BC[],MID(B12,1,3)&amp;"*",bc_2017)</f>
        <v>0</v>
      </c>
      <c r="E12" s="112">
        <f ca="1">SUMIF(BC[],MID(B12,1,3)&amp;"*",bc_2016)</f>
        <v>0</v>
      </c>
      <c r="F12" s="112">
        <f ca="1">SUMIF(BC[],MID(B12,1,3)&amp;"*",bc_2015)</f>
        <v>0</v>
      </c>
      <c r="G12" s="602" t="s">
        <v>14</v>
      </c>
      <c r="H12" s="95"/>
      <c r="I12" s="95"/>
      <c r="J12" s="613">
        <v>4170</v>
      </c>
      <c r="K12" s="18" t="s">
        <v>108</v>
      </c>
      <c r="L12" s="112">
        <f ca="1">-SUMIF(BC[],MID(J12,1,3)&amp;"*",bc_2017)</f>
        <v>2925534.31</v>
      </c>
      <c r="M12" s="112">
        <f ca="1">-SUMIF(BC[],MID(J12,1,3)&amp;"*",bc_2016)</f>
        <v>905941.16999999993</v>
      </c>
      <c r="N12" s="112">
        <f ca="1">-SUMIF(BC[],MID(J12,1,3)&amp;"*",bc_2015)</f>
        <v>653319.74</v>
      </c>
      <c r="O12" s="614"/>
      <c r="P12" s="95"/>
      <c r="Q12" s="95"/>
      <c r="R12" s="628">
        <v>900002</v>
      </c>
      <c r="S12" s="598" t="s">
        <v>158</v>
      </c>
      <c r="T12" s="133"/>
      <c r="U12" s="115">
        <f ca="1">SUM(U13:U16)</f>
        <v>-953582.3699999922</v>
      </c>
      <c r="V12" s="133"/>
      <c r="W12" s="115">
        <f>SUM(W13:W16)</f>
        <v>0</v>
      </c>
      <c r="X12" s="115">
        <f t="shared" ca="1" si="24"/>
        <v>-953582.3699999922</v>
      </c>
      <c r="Y12" s="95"/>
      <c r="Z12" s="95"/>
      <c r="AA12" s="613">
        <v>1190</v>
      </c>
      <c r="AB12" s="17" t="s">
        <v>13</v>
      </c>
      <c r="AC12" s="120">
        <f t="shared" ca="1" si="0"/>
        <v>0</v>
      </c>
      <c r="AD12" s="120">
        <f t="shared" ca="1" si="1"/>
        <v>0</v>
      </c>
      <c r="AE12" s="120">
        <f t="shared" ca="1" si="2"/>
        <v>0</v>
      </c>
      <c r="AF12" s="120">
        <f t="shared" ca="1" si="3"/>
        <v>0</v>
      </c>
      <c r="AG12" s="95"/>
      <c r="AH12" s="95"/>
      <c r="AI12" s="615">
        <v>4170</v>
      </c>
      <c r="AJ12" s="17" t="s">
        <v>108</v>
      </c>
      <c r="AK12" s="112">
        <f ca="1">-SUMIF(BC[],MID(AI12,1,3)&amp;"*",bc_2017)</f>
        <v>2925534.31</v>
      </c>
      <c r="AL12" s="112">
        <f ca="1">-SUMIF(BC[],MID(AI12,1,3)&amp;"*",bc_2016)</f>
        <v>905941.16999999993</v>
      </c>
      <c r="AM12" s="602"/>
      <c r="AN12" s="95"/>
      <c r="AO12" s="95"/>
      <c r="AP12" s="615">
        <v>1150</v>
      </c>
      <c r="AQ12" s="17" t="s">
        <v>11</v>
      </c>
      <c r="AR12" s="133">
        <f ca="1">SUMIF(BC[],MID(AP12,1,3)&amp;"*",bc_2016)</f>
        <v>0</v>
      </c>
      <c r="AS12" s="133">
        <f ca="1">SUMIF(BC[],MID(AP12,1,3)&amp;"*",bc_2017c)</f>
        <v>0</v>
      </c>
      <c r="AT12" s="133">
        <f ca="1">-SUMIF(BC[],MID(AP12,1,3)&amp;"*",bc_2017a)</f>
        <v>0</v>
      </c>
      <c r="AU12" s="133">
        <f ca="1">SUMIF(BC[],MID(AP12,1,3)&amp;"*",bc_2017)</f>
        <v>0</v>
      </c>
      <c r="AV12" s="133">
        <f t="shared" ca="1" si="25"/>
        <v>0</v>
      </c>
      <c r="AW12" s="95"/>
      <c r="AX12" s="95"/>
      <c r="AY12" s="629">
        <v>900002</v>
      </c>
      <c r="AZ12" s="598" t="s">
        <v>86</v>
      </c>
      <c r="BA12" s="137"/>
      <c r="BB12" s="137"/>
      <c r="BC12" s="115">
        <f>SUM(BC13:BC16)</f>
        <v>0</v>
      </c>
      <c r="BD12" s="115">
        <f>SUM(BD13:BD16)</f>
        <v>0</v>
      </c>
      <c r="BE12" s="95"/>
      <c r="BF12" s="95"/>
      <c r="BG12" s="79"/>
      <c r="BH12" s="383"/>
      <c r="BI12" s="95"/>
      <c r="BJ12" s="95"/>
      <c r="BK12" s="34">
        <v>52</v>
      </c>
      <c r="BL12" s="3" t="s">
        <v>239</v>
      </c>
      <c r="BM12" s="333">
        <f t="shared" si="8"/>
        <v>0</v>
      </c>
      <c r="BN12" s="333">
        <f t="shared" si="9"/>
        <v>0</v>
      </c>
      <c r="BO12" s="333">
        <f t="shared" si="14"/>
        <v>0</v>
      </c>
      <c r="BP12" s="333">
        <f t="shared" si="10"/>
        <v>0</v>
      </c>
      <c r="BQ12" s="333">
        <f t="shared" si="11"/>
        <v>0</v>
      </c>
      <c r="BR12" s="333">
        <f t="shared" si="15"/>
        <v>0</v>
      </c>
      <c r="BS12" s="333">
        <f t="shared" si="16"/>
        <v>0</v>
      </c>
      <c r="BT12" s="95"/>
      <c r="BU12" s="95"/>
      <c r="BV12" s="623">
        <v>1600</v>
      </c>
      <c r="BW12" s="624" t="s">
        <v>260</v>
      </c>
      <c r="BX12" s="338">
        <f t="shared" si="17"/>
        <v>1617161.0099999998</v>
      </c>
      <c r="BY12" s="338">
        <f t="shared" si="18"/>
        <v>-1617161.0099999998</v>
      </c>
      <c r="BZ12" s="338">
        <f t="shared" si="19"/>
        <v>0</v>
      </c>
      <c r="CA12" s="338">
        <f t="shared" si="20"/>
        <v>0</v>
      </c>
      <c r="CB12" s="338">
        <f t="shared" si="21"/>
        <v>0</v>
      </c>
      <c r="CC12" s="338">
        <f t="shared" si="22"/>
        <v>0</v>
      </c>
      <c r="CD12" s="95"/>
      <c r="CE12" s="95"/>
      <c r="CF12" s="679"/>
      <c r="CG12" s="680"/>
      <c r="CH12" s="681"/>
      <c r="CI12" s="681"/>
      <c r="CJ12" s="682">
        <f t="shared" si="6"/>
        <v>0</v>
      </c>
      <c r="CK12" s="95"/>
      <c r="CL12" s="95"/>
      <c r="CM12" s="252"/>
      <c r="CN12" s="247"/>
      <c r="CO12" s="688"/>
      <c r="CP12" s="689"/>
      <c r="CQ12" s="67"/>
      <c r="CR12" s="67"/>
      <c r="CS12" s="625" t="s">
        <v>301</v>
      </c>
      <c r="CT12" s="352">
        <f>CT10-CT11</f>
        <v>0</v>
      </c>
      <c r="CU12" s="352">
        <f>CU10-CU11</f>
        <v>2670534.3100000024</v>
      </c>
      <c r="CV12" s="352">
        <f>CV10-CV11</f>
        <v>3991643.1599999815</v>
      </c>
      <c r="CW12" s="95"/>
      <c r="CX12" s="95"/>
      <c r="CY12" s="347" t="s">
        <v>314</v>
      </c>
      <c r="CZ12" s="630" t="s">
        <v>315</v>
      </c>
      <c r="DA12" s="338">
        <f t="shared" si="27"/>
        <v>0</v>
      </c>
      <c r="DB12" s="338">
        <f t="shared" si="28"/>
        <v>0</v>
      </c>
      <c r="DC12" s="338">
        <f t="shared" si="29"/>
        <v>0</v>
      </c>
      <c r="DD12" s="338">
        <f t="shared" si="30"/>
        <v>0</v>
      </c>
      <c r="DE12" s="338">
        <f t="shared" si="31"/>
        <v>0</v>
      </c>
      <c r="DF12" s="338">
        <f t="shared" si="32"/>
        <v>0</v>
      </c>
      <c r="DI12" s="611" t="s">
        <v>10</v>
      </c>
      <c r="DJ12" s="631" t="s">
        <v>966</v>
      </c>
    </row>
    <row r="13" spans="1:114">
      <c r="A13" s="95"/>
      <c r="B13" s="597">
        <v>1200</v>
      </c>
      <c r="C13" s="601" t="s">
        <v>15</v>
      </c>
      <c r="D13" s="111">
        <f ca="1">SUM(D14:D22)</f>
        <v>20168155.649999999</v>
      </c>
      <c r="E13" s="111">
        <f ca="1">SUM(E14:E22)</f>
        <v>19866003.48</v>
      </c>
      <c r="F13" s="111">
        <f ca="1">SUM(F14:F22)</f>
        <v>18610372.129999999</v>
      </c>
      <c r="G13" s="602"/>
      <c r="H13" s="95"/>
      <c r="I13" s="95"/>
      <c r="J13" s="613">
        <v>4190</v>
      </c>
      <c r="K13" s="18" t="s">
        <v>365</v>
      </c>
      <c r="L13" s="112">
        <f ca="1">-SUMIF(BC[],MID(J13,1,3)&amp;"*",bc_2017)</f>
        <v>0</v>
      </c>
      <c r="M13" s="112">
        <f ca="1">-SUMIF(BC[],MID(J13,1,3)&amp;"*",bc_2016)</f>
        <v>0</v>
      </c>
      <c r="N13" s="112">
        <f ca="1">-SUMIF(BC[],MID(J13,1,3)&amp;"*",bc_2015)</f>
        <v>0</v>
      </c>
      <c r="O13" s="614"/>
      <c r="P13" s="95"/>
      <c r="Q13" s="95"/>
      <c r="R13" s="613">
        <v>3210</v>
      </c>
      <c r="S13" s="17" t="s">
        <v>64</v>
      </c>
      <c r="T13" s="133"/>
      <c r="U13" s="112">
        <f ca="1">-SUMIF(BC[],MID(R13,1,3)&amp;"*",bc_2016)+M57</f>
        <v>-1484625.6799999923</v>
      </c>
      <c r="V13" s="133"/>
      <c r="W13" s="133">
        <v>0</v>
      </c>
      <c r="X13" s="133">
        <f t="shared" ca="1" si="24"/>
        <v>-1484625.6799999923</v>
      </c>
      <c r="Y13" s="95"/>
      <c r="Z13" s="95"/>
      <c r="AA13" s="597">
        <v>1200</v>
      </c>
      <c r="AB13" s="601" t="s">
        <v>15</v>
      </c>
      <c r="AC13" s="121">
        <f t="shared" ca="1" si="0"/>
        <v>0</v>
      </c>
      <c r="AD13" s="121">
        <f t="shared" ca="1" si="1"/>
        <v>302152.16999999806</v>
      </c>
      <c r="AE13" s="121">
        <f t="shared" ca="1" si="2"/>
        <v>0</v>
      </c>
      <c r="AF13" s="121">
        <f t="shared" ca="1" si="3"/>
        <v>1255631.3500000015</v>
      </c>
      <c r="AG13" s="95"/>
      <c r="AH13" s="95"/>
      <c r="AI13" s="615">
        <v>4190</v>
      </c>
      <c r="AJ13" s="17" t="s">
        <v>109</v>
      </c>
      <c r="AK13" s="112">
        <f ca="1">-SUMIF(BC[],MID(AI13,1,3)&amp;"*",bc_2017)</f>
        <v>0</v>
      </c>
      <c r="AL13" s="112">
        <f ca="1">-SUMIF(BC[],MID(AI13,1,3)&amp;"*",bc_2016)</f>
        <v>0</v>
      </c>
      <c r="AM13" s="602"/>
      <c r="AN13" s="95"/>
      <c r="AO13" s="95"/>
      <c r="AP13" s="615">
        <v>1160</v>
      </c>
      <c r="AQ13" s="17" t="s">
        <v>12</v>
      </c>
      <c r="AR13" s="133">
        <f ca="1">SUMIF(BC[],MID(AP13,1,3)&amp;"*",bc_2016)</f>
        <v>0</v>
      </c>
      <c r="AS13" s="133">
        <f ca="1">SUMIF(BC[],MID(AP13,1,3)&amp;"*",bc_2017c)</f>
        <v>0</v>
      </c>
      <c r="AT13" s="133">
        <f ca="1">-SUMIF(BC[],MID(AP13,1,3)&amp;"*",bc_2017a)</f>
        <v>0</v>
      </c>
      <c r="AU13" s="133">
        <f ca="1">SUMIF(BC[],MID(AP13,1,3)&amp;"*",bc_2017)</f>
        <v>0</v>
      </c>
      <c r="AV13" s="133">
        <f t="shared" ca="1" si="25"/>
        <v>0</v>
      </c>
      <c r="AW13" s="95"/>
      <c r="AX13" s="95"/>
      <c r="AY13" s="71"/>
      <c r="AZ13" s="42" t="s">
        <v>87</v>
      </c>
      <c r="BA13" s="136"/>
      <c r="BB13" s="136"/>
      <c r="BC13" s="133">
        <v>0</v>
      </c>
      <c r="BD13" s="133">
        <v>0</v>
      </c>
      <c r="BE13" s="95"/>
      <c r="BF13" s="95"/>
      <c r="BG13" s="79"/>
      <c r="BH13" s="383"/>
      <c r="BI13" s="95"/>
      <c r="BJ13" s="95"/>
      <c r="BK13" s="34">
        <v>60</v>
      </c>
      <c r="BL13" s="11" t="s">
        <v>240</v>
      </c>
      <c r="BM13" s="333">
        <f t="shared" si="8"/>
        <v>0</v>
      </c>
      <c r="BN13" s="333">
        <f t="shared" si="9"/>
        <v>0</v>
      </c>
      <c r="BO13" s="333">
        <f t="shared" si="14"/>
        <v>0</v>
      </c>
      <c r="BP13" s="333">
        <f t="shared" si="10"/>
        <v>0</v>
      </c>
      <c r="BQ13" s="333">
        <f t="shared" si="11"/>
        <v>0</v>
      </c>
      <c r="BR13" s="333">
        <f t="shared" si="15"/>
        <v>0</v>
      </c>
      <c r="BS13" s="333">
        <f t="shared" si="16"/>
        <v>0</v>
      </c>
      <c r="BT13" s="95"/>
      <c r="BU13" s="95"/>
      <c r="BV13" s="623">
        <v>1700</v>
      </c>
      <c r="BW13" s="624" t="s">
        <v>189</v>
      </c>
      <c r="BX13" s="338">
        <f t="shared" si="17"/>
        <v>1099382.22</v>
      </c>
      <c r="BY13" s="338">
        <f t="shared" si="18"/>
        <v>246145.56000000041</v>
      </c>
      <c r="BZ13" s="338">
        <f t="shared" si="19"/>
        <v>1345527.7800000003</v>
      </c>
      <c r="CA13" s="338">
        <f t="shared" si="20"/>
        <v>1345527.7799999998</v>
      </c>
      <c r="CB13" s="338">
        <f t="shared" si="21"/>
        <v>1345527.7799999998</v>
      </c>
      <c r="CC13" s="338">
        <f t="shared" si="22"/>
        <v>0</v>
      </c>
      <c r="CD13" s="95"/>
      <c r="CE13" s="95"/>
      <c r="CF13" s="181">
        <v>900001</v>
      </c>
      <c r="CG13" s="671" t="s">
        <v>287</v>
      </c>
      <c r="CH13" s="672">
        <f>SUM(CH5:CH12)</f>
        <v>0</v>
      </c>
      <c r="CI13" s="672">
        <f>SUM(CI5:CI12)</f>
        <v>0</v>
      </c>
      <c r="CJ13" s="673">
        <f>SUM(CJ5:CJ12)</f>
        <v>0</v>
      </c>
      <c r="CK13" s="95"/>
      <c r="CL13" s="95"/>
      <c r="CM13" s="252"/>
      <c r="CN13" s="247"/>
      <c r="CO13" s="688"/>
      <c r="CP13" s="689"/>
      <c r="CQ13" s="67"/>
      <c r="CR13" s="67"/>
      <c r="CS13" s="625" t="s">
        <v>302</v>
      </c>
      <c r="CT13" s="351">
        <v>0</v>
      </c>
      <c r="CU13" s="351">
        <v>0</v>
      </c>
      <c r="CV13" s="351">
        <v>0</v>
      </c>
      <c r="CW13" s="95"/>
      <c r="CX13" s="95"/>
      <c r="CY13" s="347" t="s">
        <v>316</v>
      </c>
      <c r="CZ13" s="630" t="s">
        <v>317</v>
      </c>
      <c r="DA13" s="338">
        <f t="shared" si="27"/>
        <v>0</v>
      </c>
      <c r="DB13" s="338">
        <f t="shared" si="28"/>
        <v>0</v>
      </c>
      <c r="DC13" s="338">
        <f t="shared" si="29"/>
        <v>0</v>
      </c>
      <c r="DD13" s="338">
        <f t="shared" si="30"/>
        <v>0</v>
      </c>
      <c r="DE13" s="338">
        <f t="shared" si="31"/>
        <v>0</v>
      </c>
      <c r="DF13" s="338">
        <f t="shared" si="32"/>
        <v>0</v>
      </c>
      <c r="DI13" s="611" t="s">
        <v>433</v>
      </c>
      <c r="DJ13" s="631" t="s">
        <v>967</v>
      </c>
    </row>
    <row r="14" spans="1:114">
      <c r="A14" s="95"/>
      <c r="B14" s="613">
        <v>1210</v>
      </c>
      <c r="C14" s="17" t="s">
        <v>16</v>
      </c>
      <c r="D14" s="112">
        <f ca="1">SUMIF(BC[],MID(B14,1,3)&amp;"*",bc_2017)</f>
        <v>0</v>
      </c>
      <c r="E14" s="112">
        <f ca="1">SUMIF(BC[],MID(B14,1,3)&amp;"*",bc_2016)</f>
        <v>0</v>
      </c>
      <c r="F14" s="112">
        <f ca="1">SUMIF(BC[],MID(B14,1,3)&amp;"*",bc_2015)</f>
        <v>0</v>
      </c>
      <c r="G14" s="602"/>
      <c r="H14" s="95"/>
      <c r="I14" s="95"/>
      <c r="J14" s="597">
        <v>4200</v>
      </c>
      <c r="K14" s="598" t="s">
        <v>174</v>
      </c>
      <c r="L14" s="111">
        <f ca="1">SUM(L15:L16)</f>
        <v>83475699.86999999</v>
      </c>
      <c r="M14" s="111">
        <f ca="1">SUM(M15:M16)</f>
        <v>72369777.849999994</v>
      </c>
      <c r="N14" s="111">
        <f ca="1">SUM(N15:N16)</f>
        <v>66492356.579999998</v>
      </c>
      <c r="O14" s="606" t="s">
        <v>172</v>
      </c>
      <c r="P14" s="95"/>
      <c r="Q14" s="95"/>
      <c r="R14" s="613">
        <v>3220</v>
      </c>
      <c r="S14" s="17" t="s">
        <v>65</v>
      </c>
      <c r="T14" s="133"/>
      <c r="U14" s="112">
        <f ca="1">-SUMIF(BC[],MID(R14,1,3)&amp;"*",bc_2016)</f>
        <v>531043.31000000006</v>
      </c>
      <c r="V14" s="133"/>
      <c r="W14" s="133">
        <v>0</v>
      </c>
      <c r="X14" s="133">
        <f t="shared" ca="1" si="24"/>
        <v>531043.31000000006</v>
      </c>
      <c r="Y14" s="95"/>
      <c r="Z14" s="95"/>
      <c r="AA14" s="613">
        <v>1210</v>
      </c>
      <c r="AB14" s="17" t="s">
        <v>16</v>
      </c>
      <c r="AC14" s="120">
        <f t="shared" ca="1" si="0"/>
        <v>0</v>
      </c>
      <c r="AD14" s="120">
        <f t="shared" ca="1" si="1"/>
        <v>0</v>
      </c>
      <c r="AE14" s="120">
        <f t="shared" ca="1" si="2"/>
        <v>0</v>
      </c>
      <c r="AF14" s="120">
        <f t="shared" ca="1" si="3"/>
        <v>0</v>
      </c>
      <c r="AG14" s="95"/>
      <c r="AH14" s="95"/>
      <c r="AI14" s="615">
        <v>4210</v>
      </c>
      <c r="AJ14" s="17" t="s">
        <v>110</v>
      </c>
      <c r="AK14" s="112">
        <f ca="1">-SUMIF(BC[],MID(AI14,1,3)&amp;"*",bc_2017)</f>
        <v>0</v>
      </c>
      <c r="AL14" s="112">
        <f ca="1">-SUMIF(BC[],MID(AI14,1,3)&amp;"*",bc_2016)</f>
        <v>0</v>
      </c>
      <c r="AM14" s="602"/>
      <c r="AN14" s="95"/>
      <c r="AO14" s="95"/>
      <c r="AP14" s="615">
        <v>1190</v>
      </c>
      <c r="AQ14" s="17" t="s">
        <v>13</v>
      </c>
      <c r="AR14" s="133">
        <f ca="1">SUMIF(BC[],MID(AP14,1,3)&amp;"*",bc_2016)</f>
        <v>0</v>
      </c>
      <c r="AS14" s="133">
        <f ca="1">SUMIF(BC[],MID(AP14,1,3)&amp;"*",bc_2017c)</f>
        <v>0</v>
      </c>
      <c r="AT14" s="133">
        <f ca="1">-SUMIF(BC[],MID(AP14,1,3)&amp;"*",bc_2017a)</f>
        <v>0</v>
      </c>
      <c r="AU14" s="133">
        <f ca="1">SUMIF(BC[],MID(AP14,1,3)&amp;"*",bc_2017)</f>
        <v>0</v>
      </c>
      <c r="AV14" s="133">
        <f t="shared" ca="1" si="25"/>
        <v>0</v>
      </c>
      <c r="AW14" s="95"/>
      <c r="AX14" s="95"/>
      <c r="AY14" s="71"/>
      <c r="AZ14" s="42" t="s">
        <v>88</v>
      </c>
      <c r="BA14" s="136"/>
      <c r="BB14" s="136"/>
      <c r="BC14" s="133">
        <v>0</v>
      </c>
      <c r="BD14" s="133">
        <v>0</v>
      </c>
      <c r="BE14" s="95"/>
      <c r="BF14" s="95"/>
      <c r="BG14" s="79"/>
      <c r="BH14" s="383"/>
      <c r="BI14" s="95"/>
      <c r="BJ14" s="95"/>
      <c r="BK14" s="34">
        <v>61</v>
      </c>
      <c r="BL14" s="3" t="s">
        <v>238</v>
      </c>
      <c r="BM14" s="333">
        <f t="shared" si="8"/>
        <v>0</v>
      </c>
      <c r="BN14" s="333">
        <f t="shared" si="9"/>
        <v>0</v>
      </c>
      <c r="BO14" s="333">
        <f t="shared" si="14"/>
        <v>0</v>
      </c>
      <c r="BP14" s="333">
        <f t="shared" si="10"/>
        <v>0</v>
      </c>
      <c r="BQ14" s="333">
        <f t="shared" si="11"/>
        <v>0</v>
      </c>
      <c r="BR14" s="333">
        <f t="shared" si="15"/>
        <v>0</v>
      </c>
      <c r="BS14" s="333">
        <f t="shared" si="16"/>
        <v>0</v>
      </c>
      <c r="BT14" s="95"/>
      <c r="BU14" s="95"/>
      <c r="BV14" s="619">
        <v>2000</v>
      </c>
      <c r="BW14" s="620" t="s">
        <v>261</v>
      </c>
      <c r="BX14" s="337">
        <f t="shared" ref="BX14:CC14" si="33">SUM(BX15:BX23)</f>
        <v>2249254.52</v>
      </c>
      <c r="BY14" s="337">
        <f t="shared" si="33"/>
        <v>-349815.94999999995</v>
      </c>
      <c r="BZ14" s="337">
        <f t="shared" si="33"/>
        <v>1899438.57</v>
      </c>
      <c r="CA14" s="337">
        <f t="shared" si="33"/>
        <v>1899438.57</v>
      </c>
      <c r="CB14" s="337">
        <f t="shared" si="33"/>
        <v>1899438.57</v>
      </c>
      <c r="CC14" s="337">
        <f t="shared" si="33"/>
        <v>0</v>
      </c>
      <c r="CD14" s="95"/>
      <c r="CE14" s="95"/>
      <c r="CF14" s="8"/>
      <c r="CG14" s="674" t="s">
        <v>288</v>
      </c>
      <c r="CH14" s="674"/>
      <c r="CI14" s="674"/>
      <c r="CJ14" s="9"/>
      <c r="CK14" s="95"/>
      <c r="CL14" s="95"/>
      <c r="CM14" s="181">
        <v>900001</v>
      </c>
      <c r="CN14" s="248" t="s">
        <v>287</v>
      </c>
      <c r="CO14" s="690">
        <f>SUM(CO5:CO13)</f>
        <v>0</v>
      </c>
      <c r="CP14" s="691">
        <f>SUM(CP5:CP13)</f>
        <v>0</v>
      </c>
      <c r="CQ14" s="67"/>
      <c r="CR14" s="67"/>
      <c r="CS14" s="625" t="s">
        <v>303</v>
      </c>
      <c r="CT14" s="351">
        <v>0</v>
      </c>
      <c r="CU14" s="351">
        <v>0</v>
      </c>
      <c r="CV14" s="351">
        <v>0</v>
      </c>
      <c r="CW14" s="95"/>
      <c r="CX14" s="95"/>
      <c r="CY14" s="347" t="s">
        <v>318</v>
      </c>
      <c r="CZ14" s="630" t="s">
        <v>319</v>
      </c>
      <c r="DA14" s="338">
        <f t="shared" si="27"/>
        <v>0</v>
      </c>
      <c r="DB14" s="338">
        <f t="shared" si="28"/>
        <v>0</v>
      </c>
      <c r="DC14" s="338">
        <f t="shared" si="29"/>
        <v>0</v>
      </c>
      <c r="DD14" s="338">
        <f t="shared" si="30"/>
        <v>0</v>
      </c>
      <c r="DE14" s="338">
        <f t="shared" si="31"/>
        <v>0</v>
      </c>
      <c r="DF14" s="338">
        <f t="shared" si="32"/>
        <v>0</v>
      </c>
      <c r="DI14" s="611" t="s">
        <v>435</v>
      </c>
      <c r="DJ14" s="631" t="s">
        <v>968</v>
      </c>
    </row>
    <row r="15" spans="1:114">
      <c r="A15" s="95"/>
      <c r="B15" s="613">
        <v>1220</v>
      </c>
      <c r="C15" s="17" t="s">
        <v>17</v>
      </c>
      <c r="D15" s="112">
        <f ca="1">SUMIF(BC[],MID(B15,1,3)&amp;"*",bc_2017)</f>
        <v>0</v>
      </c>
      <c r="E15" s="112">
        <f ca="1">SUMIF(BC[],MID(B15,1,3)&amp;"*",bc_2016)</f>
        <v>0</v>
      </c>
      <c r="F15" s="112">
        <f ca="1">SUMIF(BC[],MID(B15,1,3)&amp;"*",bc_2015)</f>
        <v>0</v>
      </c>
      <c r="G15" s="602"/>
      <c r="H15" s="95"/>
      <c r="I15" s="95"/>
      <c r="J15" s="613">
        <v>4210</v>
      </c>
      <c r="K15" s="18" t="s">
        <v>110</v>
      </c>
      <c r="L15" s="112">
        <f ca="1">-SUMIF(BC[],MID(J15,1,3)&amp;"*",bc_2017)</f>
        <v>0</v>
      </c>
      <c r="M15" s="112">
        <f ca="1">-SUMIF(BC[],MID(J15,1,3)&amp;"*",bc_2016)</f>
        <v>0</v>
      </c>
      <c r="N15" s="112">
        <f ca="1">-SUMIF(BC[],MID(J15,1,3)&amp;"*",bc_2015)</f>
        <v>0</v>
      </c>
      <c r="O15" s="614"/>
      <c r="P15" s="95"/>
      <c r="Q15" s="95"/>
      <c r="R15" s="613">
        <v>3230</v>
      </c>
      <c r="S15" s="17" t="s">
        <v>66</v>
      </c>
      <c r="T15" s="133"/>
      <c r="U15" s="112">
        <f ca="1">-SUMIF(BC[],MID(R15,1,3)&amp;"*",bc_2016)</f>
        <v>0</v>
      </c>
      <c r="V15" s="133"/>
      <c r="W15" s="133">
        <v>0</v>
      </c>
      <c r="X15" s="133">
        <f t="shared" ca="1" si="24"/>
        <v>0</v>
      </c>
      <c r="Y15" s="95"/>
      <c r="Z15" s="95"/>
      <c r="AA15" s="613">
        <v>1220</v>
      </c>
      <c r="AB15" s="17" t="s">
        <v>17</v>
      </c>
      <c r="AC15" s="120">
        <f t="shared" ca="1" si="0"/>
        <v>0</v>
      </c>
      <c r="AD15" s="120">
        <f t="shared" ca="1" si="1"/>
        <v>0</v>
      </c>
      <c r="AE15" s="120">
        <f t="shared" ca="1" si="2"/>
        <v>0</v>
      </c>
      <c r="AF15" s="120">
        <f t="shared" ca="1" si="3"/>
        <v>0</v>
      </c>
      <c r="AG15" s="95"/>
      <c r="AH15" s="95"/>
      <c r="AI15" s="615">
        <v>4220</v>
      </c>
      <c r="AJ15" s="17" t="s">
        <v>111</v>
      </c>
      <c r="AK15" s="112">
        <f ca="1">-SUMIF(BC[],MID(AI15,1,3)&amp;"*",bc_2017)</f>
        <v>83475699.86999999</v>
      </c>
      <c r="AL15" s="112">
        <f ca="1">-SUMIF(BC[],MID(AI15,1,3)&amp;"*",bc_2016)</f>
        <v>72369777.849999994</v>
      </c>
      <c r="AM15" s="602"/>
      <c r="AN15" s="95"/>
      <c r="AO15" s="95"/>
      <c r="AP15" s="600">
        <v>1200</v>
      </c>
      <c r="AQ15" s="601" t="s">
        <v>15</v>
      </c>
      <c r="AR15" s="115">
        <f ca="1">SUM(AR16:AR24)</f>
        <v>19866003.48</v>
      </c>
      <c r="AS15" s="115">
        <f ca="1">SUM(AS16:AS24)</f>
        <v>3658273.9699999997</v>
      </c>
      <c r="AT15" s="115">
        <f ca="1">SUM(AT16:AT24)</f>
        <v>3356121.8000000003</v>
      </c>
      <c r="AU15" s="115">
        <f ca="1">SUM(AU16:AU24)</f>
        <v>20168155.649999999</v>
      </c>
      <c r="AV15" s="115">
        <f ca="1">SUM(AV16:AV24)</f>
        <v>302152.1699999969</v>
      </c>
      <c r="AW15" s="95"/>
      <c r="AX15" s="95"/>
      <c r="AY15" s="71"/>
      <c r="AZ15" s="42" t="s">
        <v>84</v>
      </c>
      <c r="BA15" s="136"/>
      <c r="BB15" s="136"/>
      <c r="BC15" s="133">
        <v>0</v>
      </c>
      <c r="BD15" s="133">
        <v>0</v>
      </c>
      <c r="BE15" s="95"/>
      <c r="BF15" s="95"/>
      <c r="BG15" s="79"/>
      <c r="BH15" s="383"/>
      <c r="BI15" s="95"/>
      <c r="BJ15" s="95"/>
      <c r="BK15" s="34">
        <v>62</v>
      </c>
      <c r="BL15" s="3" t="s">
        <v>239</v>
      </c>
      <c r="BM15" s="333">
        <f t="shared" ref="BM15" si="34">SUMIF(pi_cri,MID(BK15,1,1)&amp;"*",pi_e)</f>
        <v>0</v>
      </c>
      <c r="BN15" s="333">
        <f t="shared" ref="BN15" si="35">SUMIF(pi_cri,MID(BK15,1,1)&amp;"*",pi_m)</f>
        <v>0</v>
      </c>
      <c r="BO15" s="333">
        <f t="shared" ref="BO15" si="36">+BM15+BN15</f>
        <v>0</v>
      </c>
      <c r="BP15" s="333">
        <f t="shared" ref="BP15" si="37">SUMIF(pi_cri,MID(BK15,1,1)&amp;"*",pi_d)</f>
        <v>0</v>
      </c>
      <c r="BQ15" s="333">
        <f t="shared" ref="BQ15" si="38">SUMIF(pi_cri,MID(BK15,1,1)&amp;"*",pi_r)</f>
        <v>0</v>
      </c>
      <c r="BR15" s="333">
        <f t="shared" ref="BR15" si="39">+BQ15-BM15</f>
        <v>0</v>
      </c>
      <c r="BS15" s="333">
        <f t="shared" ref="BS15" si="40">IF(BR15&gt;0,BR15,0)</f>
        <v>0</v>
      </c>
      <c r="BT15" s="95"/>
      <c r="BU15" s="95"/>
      <c r="BV15" s="623">
        <v>2100</v>
      </c>
      <c r="BW15" s="624" t="s">
        <v>190</v>
      </c>
      <c r="BX15" s="338">
        <f t="shared" ref="BX15:BX23" si="41">SUMIF(PE_COG,MID(BV15,1,2)&amp;"*",PE_A)</f>
        <v>1161530.19</v>
      </c>
      <c r="BY15" s="338">
        <f t="shared" ref="BY15:BY23" si="42">SUMIF(PE_COG,MID(BV15,1,2)&amp;"*",PE_M)</f>
        <v>-261198.14999999997</v>
      </c>
      <c r="BZ15" s="338">
        <f t="shared" si="19"/>
        <v>900332.04</v>
      </c>
      <c r="CA15" s="338">
        <f t="shared" ref="CA15:CA23" si="43">SUMIF(PE_COG,MID(BV15,1,2)&amp;"*",PE_D)</f>
        <v>900332.04</v>
      </c>
      <c r="CB15" s="338">
        <f t="shared" ref="CB15:CB23" si="44">SUMIF(PE_COG,MID(BV15,1,2)&amp;"*",PE_P)</f>
        <v>900332.04</v>
      </c>
      <c r="CC15" s="338">
        <f t="shared" si="22"/>
        <v>0</v>
      </c>
      <c r="CD15" s="95"/>
      <c r="CE15" s="95"/>
      <c r="CF15" s="679"/>
      <c r="CG15" s="680"/>
      <c r="CH15" s="681"/>
      <c r="CI15" s="681"/>
      <c r="CJ15" s="682">
        <f t="shared" ref="CJ15:CJ24" si="45">IF(AND(CH15&gt;=0,CI15&gt;=0),(CH15-CI15),"-")</f>
        <v>0</v>
      </c>
      <c r="CK15" s="95"/>
      <c r="CL15" s="95"/>
      <c r="CM15" s="692"/>
      <c r="CN15" s="692" t="s">
        <v>288</v>
      </c>
      <c r="CO15" s="692"/>
      <c r="CP15" s="588"/>
      <c r="CQ15" s="67"/>
      <c r="CR15" s="67"/>
      <c r="CS15" s="632" t="s">
        <v>304</v>
      </c>
      <c r="CT15" s="353">
        <f>CT13-CT14</f>
        <v>0</v>
      </c>
      <c r="CU15" s="353">
        <f>CU13-CU14</f>
        <v>0</v>
      </c>
      <c r="CV15" s="353">
        <f>CV13-CV14</f>
        <v>0</v>
      </c>
      <c r="CW15" s="95"/>
      <c r="CX15" s="95"/>
      <c r="CY15" s="347" t="s">
        <v>320</v>
      </c>
      <c r="CZ15" s="630" t="s">
        <v>321</v>
      </c>
      <c r="DA15" s="338">
        <f t="shared" si="27"/>
        <v>0</v>
      </c>
      <c r="DB15" s="338">
        <f t="shared" si="28"/>
        <v>0</v>
      </c>
      <c r="DC15" s="338">
        <f t="shared" si="29"/>
        <v>0</v>
      </c>
      <c r="DD15" s="338">
        <f t="shared" si="30"/>
        <v>0</v>
      </c>
      <c r="DE15" s="338">
        <f t="shared" si="31"/>
        <v>0</v>
      </c>
      <c r="DF15" s="338">
        <f t="shared" si="32"/>
        <v>0</v>
      </c>
      <c r="DI15" s="611" t="s">
        <v>19</v>
      </c>
      <c r="DJ15" s="631" t="s">
        <v>969</v>
      </c>
    </row>
    <row r="16" spans="1:114">
      <c r="A16" s="95"/>
      <c r="B16" s="613">
        <v>1230</v>
      </c>
      <c r="C16" s="17" t="s">
        <v>18</v>
      </c>
      <c r="D16" s="112">
        <f ca="1">SUMIF(BC[],MID(B16,1,3)&amp;"*",bc_2017)</f>
        <v>0</v>
      </c>
      <c r="E16" s="112">
        <f ca="1">SUMIF(BC[],MID(B16,1,3)&amp;"*",bc_2016)</f>
        <v>0</v>
      </c>
      <c r="F16" s="112">
        <f ca="1">SUMIF(BC[],MID(B16,1,3)&amp;"*",bc_2015)</f>
        <v>0</v>
      </c>
      <c r="G16" s="602" t="s">
        <v>19</v>
      </c>
      <c r="H16" s="95"/>
      <c r="I16" s="95"/>
      <c r="J16" s="613">
        <v>4220</v>
      </c>
      <c r="K16" s="18" t="s">
        <v>111</v>
      </c>
      <c r="L16" s="112">
        <f ca="1">-SUMIF(BC[],MID(J16,1,3)&amp;"*",bc_2017)</f>
        <v>83475699.86999999</v>
      </c>
      <c r="M16" s="112">
        <f ca="1">-SUMIF(BC[],MID(J16,1,3)&amp;"*",bc_2016)</f>
        <v>72369777.849999994</v>
      </c>
      <c r="N16" s="112">
        <f ca="1">-SUMIF(BC[],MID(J16,1,3)&amp;"*",bc_2015)</f>
        <v>66492356.579999998</v>
      </c>
      <c r="O16" s="614"/>
      <c r="P16" s="95"/>
      <c r="Q16" s="95"/>
      <c r="R16" s="613">
        <v>3240</v>
      </c>
      <c r="S16" s="17" t="s">
        <v>67</v>
      </c>
      <c r="T16" s="133"/>
      <c r="U16" s="112">
        <f ca="1">-SUMIF(BC[],MID(R16,1,3)&amp;"*",bc_2016)</f>
        <v>0</v>
      </c>
      <c r="V16" s="133"/>
      <c r="W16" s="133">
        <v>0</v>
      </c>
      <c r="X16" s="133">
        <f t="shared" ca="1" si="24"/>
        <v>0</v>
      </c>
      <c r="Y16" s="95"/>
      <c r="Z16" s="95"/>
      <c r="AA16" s="613">
        <v>1230</v>
      </c>
      <c r="AB16" s="17" t="s">
        <v>18</v>
      </c>
      <c r="AC16" s="120">
        <f t="shared" ca="1" si="0"/>
        <v>0</v>
      </c>
      <c r="AD16" s="120">
        <f t="shared" ca="1" si="1"/>
        <v>0</v>
      </c>
      <c r="AE16" s="120">
        <f t="shared" ca="1" si="2"/>
        <v>0</v>
      </c>
      <c r="AF16" s="120">
        <f t="shared" ca="1" si="3"/>
        <v>0</v>
      </c>
      <c r="AG16" s="95"/>
      <c r="AH16" s="95"/>
      <c r="AI16" s="27">
        <v>4400</v>
      </c>
      <c r="AJ16" s="18" t="s">
        <v>112</v>
      </c>
      <c r="AK16" s="112">
        <f ca="1">-SUMIF(BC[],"43*",bc_2017)</f>
        <v>0</v>
      </c>
      <c r="AL16" s="112">
        <f ca="1">-SUMIF(BC[],"43*",bc_2016)</f>
        <v>0</v>
      </c>
      <c r="AM16" s="602"/>
      <c r="AN16" s="95"/>
      <c r="AO16" s="95"/>
      <c r="AP16" s="615">
        <v>1210</v>
      </c>
      <c r="AQ16" s="17" t="s">
        <v>16</v>
      </c>
      <c r="AR16" s="133">
        <f ca="1">SUMIF(BC[],MID(AP16,1,3)&amp;"*",bc_2016)</f>
        <v>0</v>
      </c>
      <c r="AS16" s="133">
        <f ca="1">SUMIF(BC[],MID(AP16,1,3)&amp;"*",bc_2017c)</f>
        <v>0</v>
      </c>
      <c r="AT16" s="133">
        <f ca="1">-SUMIF(BC[],MID(AP16,1,3)&amp;"*",bc_2017a)</f>
        <v>0</v>
      </c>
      <c r="AU16" s="133">
        <f ca="1">SUMIF(BC[],MID(AP16,1,3)&amp;"*",bc_2017)</f>
        <v>0</v>
      </c>
      <c r="AV16" s="133">
        <f ca="1">+AU16-AR16</f>
        <v>0</v>
      </c>
      <c r="AW16" s="95"/>
      <c r="AX16" s="95"/>
      <c r="AY16" s="71"/>
      <c r="AZ16" s="42" t="s">
        <v>85</v>
      </c>
      <c r="BA16" s="136"/>
      <c r="BB16" s="136"/>
      <c r="BC16" s="133">
        <v>0</v>
      </c>
      <c r="BD16" s="133">
        <v>0</v>
      </c>
      <c r="BE16" s="95"/>
      <c r="BF16" s="95"/>
      <c r="BG16" s="65" t="s">
        <v>74</v>
      </c>
      <c r="BH16" s="383" t="s">
        <v>381</v>
      </c>
      <c r="BI16" s="95"/>
      <c r="BJ16" s="95"/>
      <c r="BK16" s="34">
        <v>69</v>
      </c>
      <c r="BL16" s="3" t="s">
        <v>1541</v>
      </c>
      <c r="BM16" s="333">
        <f t="shared" si="8"/>
        <v>0</v>
      </c>
      <c r="BN16" s="333">
        <f t="shared" si="9"/>
        <v>0</v>
      </c>
      <c r="BO16" s="333">
        <f t="shared" si="14"/>
        <v>0</v>
      </c>
      <c r="BP16" s="333">
        <f t="shared" si="10"/>
        <v>0</v>
      </c>
      <c r="BQ16" s="333">
        <f t="shared" si="11"/>
        <v>0</v>
      </c>
      <c r="BR16" s="333">
        <f t="shared" si="15"/>
        <v>0</v>
      </c>
      <c r="BS16" s="333">
        <f t="shared" si="16"/>
        <v>0</v>
      </c>
      <c r="BT16" s="95"/>
      <c r="BU16" s="95"/>
      <c r="BV16" s="623">
        <v>2200</v>
      </c>
      <c r="BW16" s="624" t="s">
        <v>191</v>
      </c>
      <c r="BX16" s="338">
        <f t="shared" si="41"/>
        <v>33433.71</v>
      </c>
      <c r="BY16" s="338">
        <f t="shared" si="42"/>
        <v>-16966.899999999998</v>
      </c>
      <c r="BZ16" s="338">
        <f t="shared" si="19"/>
        <v>16466.810000000001</v>
      </c>
      <c r="CA16" s="338">
        <f t="shared" si="43"/>
        <v>16466.810000000001</v>
      </c>
      <c r="CB16" s="338">
        <f t="shared" si="44"/>
        <v>16466.810000000001</v>
      </c>
      <c r="CC16" s="338">
        <f t="shared" si="22"/>
        <v>0</v>
      </c>
      <c r="CD16" s="95"/>
      <c r="CE16" s="95"/>
      <c r="CF16" s="679"/>
      <c r="CG16" s="74" t="s">
        <v>381</v>
      </c>
      <c r="CH16" s="681"/>
      <c r="CI16" s="681"/>
      <c r="CJ16" s="682">
        <f t="shared" si="45"/>
        <v>0</v>
      </c>
      <c r="CK16" s="95"/>
      <c r="CL16" s="95"/>
      <c r="CM16" s="253"/>
      <c r="CN16" s="248"/>
      <c r="CO16" s="688"/>
      <c r="CP16" s="689"/>
      <c r="CQ16" s="67"/>
      <c r="CR16" s="67"/>
      <c r="CS16" s="95"/>
      <c r="CT16" s="95"/>
      <c r="CU16" s="95"/>
      <c r="CV16" s="95"/>
      <c r="CW16" s="95"/>
      <c r="CX16" s="95"/>
      <c r="CY16" s="347" t="s">
        <v>322</v>
      </c>
      <c r="CZ16" s="630" t="s">
        <v>323</v>
      </c>
      <c r="DA16" s="338">
        <f t="shared" si="27"/>
        <v>0</v>
      </c>
      <c r="DB16" s="338">
        <f t="shared" si="28"/>
        <v>0</v>
      </c>
      <c r="DC16" s="338">
        <f t="shared" si="29"/>
        <v>0</v>
      </c>
      <c r="DD16" s="338">
        <f t="shared" si="30"/>
        <v>0</v>
      </c>
      <c r="DE16" s="338">
        <f t="shared" si="31"/>
        <v>0</v>
      </c>
      <c r="DF16" s="338">
        <f t="shared" si="32"/>
        <v>0</v>
      </c>
      <c r="DI16" s="611" t="s">
        <v>29</v>
      </c>
      <c r="DJ16" s="631" t="s">
        <v>970</v>
      </c>
    </row>
    <row r="17" spans="1:114">
      <c r="A17" s="95"/>
      <c r="B17" s="613">
        <v>1240</v>
      </c>
      <c r="C17" s="17" t="s">
        <v>20</v>
      </c>
      <c r="D17" s="112">
        <f ca="1">SUMIF(BC[],MID(B17,1,3)&amp;"*",bc_2017)</f>
        <v>17883200.050000001</v>
      </c>
      <c r="E17" s="112">
        <f ca="1">SUMIF(BC[],MID(B17,1,3)&amp;"*",bc_2016)</f>
        <v>15855010.120000001</v>
      </c>
      <c r="F17" s="112">
        <f ca="1">SUMIF(BC[],MID(B17,1,3)&amp;"*",bc_2015)</f>
        <v>13922253.109999999</v>
      </c>
      <c r="G17" s="602" t="s">
        <v>19</v>
      </c>
      <c r="H17" s="95"/>
      <c r="I17" s="95"/>
      <c r="J17" s="597">
        <v>4300</v>
      </c>
      <c r="K17" s="598" t="s">
        <v>175</v>
      </c>
      <c r="L17" s="111">
        <f ca="1">SUM(L18:L22)</f>
        <v>0</v>
      </c>
      <c r="M17" s="111">
        <f ca="1">SUM(M18:M22)</f>
        <v>0</v>
      </c>
      <c r="N17" s="111">
        <f ca="1">SUM(N18:N22)</f>
        <v>0</v>
      </c>
      <c r="O17" s="614" t="s">
        <v>176</v>
      </c>
      <c r="P17" s="95"/>
      <c r="Q17" s="95"/>
      <c r="R17" s="628">
        <v>900003</v>
      </c>
      <c r="S17" s="598" t="s">
        <v>159</v>
      </c>
      <c r="T17" s="115">
        <f ca="1">+T8</f>
        <v>26724265.559999999</v>
      </c>
      <c r="U17" s="115">
        <f ca="1">+U7+U12</f>
        <v>-953582.3699999922</v>
      </c>
      <c r="V17" s="115">
        <f ca="1">+V7</f>
        <v>0</v>
      </c>
      <c r="W17" s="115">
        <f>+W7+W8+W12</f>
        <v>0</v>
      </c>
      <c r="X17" s="115">
        <f ca="1">+X7+X8+X12</f>
        <v>25770683.190000005</v>
      </c>
      <c r="Y17" s="95"/>
      <c r="Z17" s="95"/>
      <c r="AA17" s="613">
        <v>1240</v>
      </c>
      <c r="AB17" s="17" t="s">
        <v>20</v>
      </c>
      <c r="AC17" s="120">
        <f t="shared" ca="1" si="0"/>
        <v>0</v>
      </c>
      <c r="AD17" s="120">
        <f t="shared" ca="1" si="1"/>
        <v>2028189.9299999997</v>
      </c>
      <c r="AE17" s="120">
        <f t="shared" ca="1" si="2"/>
        <v>0</v>
      </c>
      <c r="AF17" s="120">
        <f t="shared" ca="1" si="3"/>
        <v>1932757.0100000016</v>
      </c>
      <c r="AG17" s="95"/>
      <c r="AH17" s="95"/>
      <c r="AI17" s="27">
        <v>900002</v>
      </c>
      <c r="AJ17" s="601" t="s">
        <v>113</v>
      </c>
      <c r="AK17" s="128">
        <f ca="1">SUM(AK18:AK33)</f>
        <v>83475699.86999999</v>
      </c>
      <c r="AL17" s="128">
        <f ca="1">SUM(AL18:AL33)</f>
        <v>72369777.849999994</v>
      </c>
      <c r="AM17" s="602"/>
      <c r="AN17" s="95"/>
      <c r="AO17" s="95"/>
      <c r="AP17" s="615">
        <v>1220</v>
      </c>
      <c r="AQ17" s="17" t="s">
        <v>17</v>
      </c>
      <c r="AR17" s="133">
        <f ca="1">SUMIF(BC[],MID(AP17,1,3)&amp;"*",bc_2016)</f>
        <v>0</v>
      </c>
      <c r="AS17" s="133">
        <f ca="1">SUMIF(BC[],MID(AP17,1,3)&amp;"*",bc_2017c)</f>
        <v>0</v>
      </c>
      <c r="AT17" s="133">
        <f ca="1">-SUMIF(BC[],MID(AP17,1,3)&amp;"*",bc_2017a)</f>
        <v>0</v>
      </c>
      <c r="AU17" s="133">
        <f ca="1">SUMIF(BC[],MID(AP17,1,3)&amp;"*",bc_2017)</f>
        <v>0</v>
      </c>
      <c r="AV17" s="133">
        <f t="shared" ref="AV17:AV22" ca="1" si="46">+AU17-AR17</f>
        <v>0</v>
      </c>
      <c r="AW17" s="95"/>
      <c r="AX17" s="95"/>
      <c r="AY17" s="629">
        <v>900003</v>
      </c>
      <c r="AZ17" s="598" t="s">
        <v>89</v>
      </c>
      <c r="BA17" s="137"/>
      <c r="BB17" s="137"/>
      <c r="BC17" s="115">
        <f ca="1">BC8+BC12</f>
        <v>0</v>
      </c>
      <c r="BD17" s="115">
        <f ca="1">BD8+BD12</f>
        <v>0</v>
      </c>
      <c r="BE17" s="95"/>
      <c r="BF17" s="95"/>
      <c r="BG17" s="79"/>
      <c r="BH17" s="383"/>
      <c r="BI17" s="95"/>
      <c r="BJ17" s="95"/>
      <c r="BK17" s="34">
        <v>70</v>
      </c>
      <c r="BL17" s="11" t="s">
        <v>241</v>
      </c>
      <c r="BM17" s="333">
        <f t="shared" si="8"/>
        <v>1312000</v>
      </c>
      <c r="BN17" s="333">
        <f t="shared" si="9"/>
        <v>1613534.31</v>
      </c>
      <c r="BO17" s="333">
        <f t="shared" si="14"/>
        <v>2925534.31</v>
      </c>
      <c r="BP17" s="333">
        <f t="shared" si="10"/>
        <v>2925534.31</v>
      </c>
      <c r="BQ17" s="333">
        <f t="shared" si="11"/>
        <v>2925534.31</v>
      </c>
      <c r="BR17" s="333">
        <f t="shared" si="15"/>
        <v>1613534.31</v>
      </c>
      <c r="BS17" s="333">
        <f t="shared" si="16"/>
        <v>1613534.31</v>
      </c>
      <c r="BT17" s="95"/>
      <c r="BU17" s="95"/>
      <c r="BV17" s="623">
        <v>2300</v>
      </c>
      <c r="BW17" s="624" t="s">
        <v>192</v>
      </c>
      <c r="BX17" s="338">
        <f t="shared" si="41"/>
        <v>0</v>
      </c>
      <c r="BY17" s="338">
        <f t="shared" si="42"/>
        <v>0</v>
      </c>
      <c r="BZ17" s="338">
        <f t="shared" si="19"/>
        <v>0</v>
      </c>
      <c r="CA17" s="338">
        <f t="shared" si="43"/>
        <v>0</v>
      </c>
      <c r="CB17" s="338">
        <f t="shared" si="44"/>
        <v>0</v>
      </c>
      <c r="CC17" s="338">
        <f t="shared" si="22"/>
        <v>0</v>
      </c>
      <c r="CD17" s="95"/>
      <c r="CE17" s="95"/>
      <c r="CF17" s="679"/>
      <c r="CG17" s="680"/>
      <c r="CH17" s="681"/>
      <c r="CI17" s="681"/>
      <c r="CJ17" s="682">
        <f t="shared" si="45"/>
        <v>0</v>
      </c>
      <c r="CK17" s="95"/>
      <c r="CL17" s="95"/>
      <c r="CM17" s="253"/>
      <c r="CN17" s="74" t="s">
        <v>381</v>
      </c>
      <c r="CO17" s="688"/>
      <c r="CP17" s="689"/>
      <c r="CQ17" s="67"/>
      <c r="CR17" s="67"/>
      <c r="CS17" s="95"/>
      <c r="CT17" s="95"/>
      <c r="CU17" s="95"/>
      <c r="CV17" s="95"/>
      <c r="CW17" s="95"/>
      <c r="CX17" s="95"/>
      <c r="CY17" s="347" t="s">
        <v>324</v>
      </c>
      <c r="CZ17" s="630" t="s">
        <v>325</v>
      </c>
      <c r="DA17" s="338">
        <f t="shared" si="27"/>
        <v>0</v>
      </c>
      <c r="DB17" s="338">
        <f t="shared" si="28"/>
        <v>0</v>
      </c>
      <c r="DC17" s="338">
        <f t="shared" si="29"/>
        <v>0</v>
      </c>
      <c r="DD17" s="338">
        <f t="shared" si="30"/>
        <v>0</v>
      </c>
      <c r="DE17" s="338">
        <f t="shared" si="31"/>
        <v>0</v>
      </c>
      <c r="DF17" s="338">
        <f t="shared" si="32"/>
        <v>0</v>
      </c>
      <c r="DI17" s="611" t="s">
        <v>33</v>
      </c>
      <c r="DJ17" s="631" t="s">
        <v>971</v>
      </c>
    </row>
    <row r="18" spans="1:114">
      <c r="A18" s="95"/>
      <c r="B18" s="613">
        <v>1250</v>
      </c>
      <c r="C18" s="17" t="s">
        <v>28</v>
      </c>
      <c r="D18" s="112">
        <f ca="1">SUMIF(BC[],MID(B18,1,3)&amp;"*",bc_2017)</f>
        <v>12948932.159999998</v>
      </c>
      <c r="E18" s="112">
        <f ca="1">SUMIF(BC[],MID(B18,1,3)&amp;"*",bc_2016)</f>
        <v>12823516.859999999</v>
      </c>
      <c r="F18" s="112">
        <f ca="1">SUMIF(BC[],MID(B18,1,3)&amp;"*",bc_2015)</f>
        <v>12203222.059999999</v>
      </c>
      <c r="G18" s="602" t="s">
        <v>29</v>
      </c>
      <c r="H18" s="95"/>
      <c r="I18" s="95"/>
      <c r="J18" s="613">
        <v>4310</v>
      </c>
      <c r="K18" s="18" t="s">
        <v>177</v>
      </c>
      <c r="L18" s="112">
        <f ca="1">-SUMIF(BC[],MID(J18,1,3)&amp;"*",bc_2017)</f>
        <v>0</v>
      </c>
      <c r="M18" s="112">
        <f ca="1">-SUMIF(BC[],MID(J18,1,3)&amp;"*",bc_2016)</f>
        <v>0</v>
      </c>
      <c r="N18" s="112">
        <f ca="1">-SUMIF(BC[],MID(J18,1,3)&amp;"*",bc_2015)</f>
        <v>0</v>
      </c>
      <c r="O18" s="614"/>
      <c r="P18" s="95"/>
      <c r="Q18" s="95"/>
      <c r="R18" s="628">
        <v>900004</v>
      </c>
      <c r="S18" s="598" t="s">
        <v>160</v>
      </c>
      <c r="T18" s="115">
        <f ca="1">SUM(T19:T21)</f>
        <v>853461.14000000432</v>
      </c>
      <c r="U18" s="133"/>
      <c r="V18" s="133"/>
      <c r="W18" s="115">
        <f>SUM(W19:W21)</f>
        <v>0</v>
      </c>
      <c r="X18" s="115">
        <f t="shared" ref="X18:X26" ca="1" si="47">SUM(T18:W18)</f>
        <v>853461.14000000432</v>
      </c>
      <c r="Y18" s="95"/>
      <c r="Z18" s="95"/>
      <c r="AA18" s="613">
        <v>1250</v>
      </c>
      <c r="AB18" s="17" t="s">
        <v>28</v>
      </c>
      <c r="AC18" s="120">
        <f t="shared" ca="1" si="0"/>
        <v>0</v>
      </c>
      <c r="AD18" s="120">
        <f t="shared" ca="1" si="1"/>
        <v>125415.29999999888</v>
      </c>
      <c r="AE18" s="120">
        <f t="shared" ca="1" si="2"/>
        <v>0</v>
      </c>
      <c r="AF18" s="120">
        <f t="shared" ca="1" si="3"/>
        <v>620294.80000000075</v>
      </c>
      <c r="AG18" s="95"/>
      <c r="AH18" s="95"/>
      <c r="AI18" s="615">
        <v>5110</v>
      </c>
      <c r="AJ18" s="17" t="s">
        <v>114</v>
      </c>
      <c r="AK18" s="112">
        <f ca="1">SUMIF(BC[],MID(AI18,1,3)&amp;"*",bc_2017)</f>
        <v>65924124.18999999</v>
      </c>
      <c r="AL18" s="112">
        <f ca="1">SUMIF(BC[],MID(AI18,1,3)&amp;"*",bc_2016)</f>
        <v>56592071.319999993</v>
      </c>
      <c r="AM18" s="602"/>
      <c r="AN18" s="95"/>
      <c r="AO18" s="95"/>
      <c r="AP18" s="615">
        <v>1230</v>
      </c>
      <c r="AQ18" s="17" t="s">
        <v>18</v>
      </c>
      <c r="AR18" s="133">
        <f ca="1">SUMIF(BC[],MID(AP18,1,3)&amp;"*",bc_2016)</f>
        <v>0</v>
      </c>
      <c r="AS18" s="133">
        <f ca="1">SUMIF(BC[],MID(AP18,1,3)&amp;"*",bc_2017c)</f>
        <v>0</v>
      </c>
      <c r="AT18" s="133">
        <f ca="1">-SUMIF(BC[],MID(AP18,1,3)&amp;"*",bc_2017a)</f>
        <v>0</v>
      </c>
      <c r="AU18" s="133">
        <f ca="1">SUMIF(BC[],MID(AP18,1,3)&amp;"*",bc_2017)</f>
        <v>0</v>
      </c>
      <c r="AV18" s="133">
        <f t="shared" ca="1" si="46"/>
        <v>0</v>
      </c>
      <c r="AW18" s="95"/>
      <c r="AX18" s="95"/>
      <c r="AY18" s="71"/>
      <c r="AZ18" s="622" t="s">
        <v>90</v>
      </c>
      <c r="BA18" s="136"/>
      <c r="BB18" s="136"/>
      <c r="BC18" s="133"/>
      <c r="BD18" s="133"/>
      <c r="BE18" s="95"/>
      <c r="BF18" s="95"/>
      <c r="BG18" s="85"/>
      <c r="BH18" s="383"/>
      <c r="BI18" s="95"/>
      <c r="BJ18" s="95"/>
      <c r="BK18" s="34">
        <v>80</v>
      </c>
      <c r="BL18" s="11" t="s">
        <v>242</v>
      </c>
      <c r="BM18" s="333">
        <f t="shared" si="8"/>
        <v>0</v>
      </c>
      <c r="BN18" s="333">
        <f t="shared" si="9"/>
        <v>0</v>
      </c>
      <c r="BO18" s="333">
        <f t="shared" si="14"/>
        <v>0</v>
      </c>
      <c r="BP18" s="333">
        <f t="shared" si="10"/>
        <v>0</v>
      </c>
      <c r="BQ18" s="333">
        <f t="shared" si="11"/>
        <v>0</v>
      </c>
      <c r="BR18" s="333">
        <f t="shared" si="15"/>
        <v>0</v>
      </c>
      <c r="BS18" s="333">
        <f t="shared" si="16"/>
        <v>0</v>
      </c>
      <c r="BT18" s="95"/>
      <c r="BU18" s="95"/>
      <c r="BV18" s="623">
        <v>2400</v>
      </c>
      <c r="BW18" s="624" t="s">
        <v>193</v>
      </c>
      <c r="BX18" s="338">
        <f t="shared" si="41"/>
        <v>77471.66</v>
      </c>
      <c r="BY18" s="338">
        <f t="shared" si="42"/>
        <v>-46051.489999999991</v>
      </c>
      <c r="BZ18" s="338">
        <f t="shared" si="19"/>
        <v>31420.170000000013</v>
      </c>
      <c r="CA18" s="338">
        <f t="shared" si="43"/>
        <v>31420.17</v>
      </c>
      <c r="CB18" s="338">
        <f t="shared" si="44"/>
        <v>31420.17</v>
      </c>
      <c r="CC18" s="338">
        <f t="shared" si="22"/>
        <v>0</v>
      </c>
      <c r="CD18" s="95"/>
      <c r="CE18" s="95"/>
      <c r="CF18" s="679"/>
      <c r="CG18" s="680"/>
      <c r="CH18" s="681"/>
      <c r="CI18" s="681"/>
      <c r="CJ18" s="682">
        <f t="shared" si="45"/>
        <v>0</v>
      </c>
      <c r="CK18" s="95"/>
      <c r="CL18" s="95"/>
      <c r="CM18" s="253"/>
      <c r="CN18" s="248"/>
      <c r="CO18" s="688"/>
      <c r="CP18" s="689"/>
      <c r="CQ18" s="67"/>
      <c r="CR18" s="67"/>
      <c r="CS18" s="989" t="s">
        <v>361</v>
      </c>
      <c r="CT18" s="989"/>
      <c r="CU18" s="989"/>
      <c r="CV18" s="989"/>
      <c r="CW18" s="95"/>
      <c r="CX18" s="95"/>
      <c r="CY18" s="347" t="s">
        <v>326</v>
      </c>
      <c r="CZ18" s="630" t="s">
        <v>327</v>
      </c>
      <c r="DA18" s="338">
        <f t="shared" si="27"/>
        <v>0</v>
      </c>
      <c r="DB18" s="338">
        <f t="shared" si="28"/>
        <v>0</v>
      </c>
      <c r="DC18" s="338">
        <f t="shared" si="29"/>
        <v>0</v>
      </c>
      <c r="DD18" s="338">
        <f t="shared" si="30"/>
        <v>0</v>
      </c>
      <c r="DE18" s="338">
        <f t="shared" si="31"/>
        <v>0</v>
      </c>
      <c r="DF18" s="338">
        <f t="shared" si="32"/>
        <v>0</v>
      </c>
      <c r="DI18" s="611" t="s">
        <v>14</v>
      </c>
      <c r="DJ18" s="631" t="s">
        <v>972</v>
      </c>
    </row>
    <row r="19" spans="1:114">
      <c r="A19" s="95"/>
      <c r="B19" s="613">
        <v>1260</v>
      </c>
      <c r="C19" s="17" t="s">
        <v>30</v>
      </c>
      <c r="D19" s="112">
        <f ca="1">SUMIF(BC[],MID(B19,1,3)&amp;"*",bc_2017)</f>
        <v>-10699176.560000001</v>
      </c>
      <c r="E19" s="112">
        <f ca="1">SUMIF(BC[],MID(B19,1,3)&amp;"*",bc_2016)</f>
        <v>-8858009.2199999988</v>
      </c>
      <c r="F19" s="112">
        <f ca="1">SUMIF(BC[],MID(B19,1,3)&amp;"*",bc_2015)</f>
        <v>-7542103.0399999991</v>
      </c>
      <c r="G19" s="602"/>
      <c r="H19" s="95"/>
      <c r="I19" s="95"/>
      <c r="J19" s="613">
        <v>4320</v>
      </c>
      <c r="K19" s="18" t="s">
        <v>178</v>
      </c>
      <c r="L19" s="112">
        <f ca="1">-SUMIF(BC[],MID(J19,1,3)&amp;"*",bc_2017)</f>
        <v>0</v>
      </c>
      <c r="M19" s="112">
        <f ca="1">-SUMIF(BC[],MID(J19,1,3)&amp;"*",bc_2016)</f>
        <v>0</v>
      </c>
      <c r="N19" s="112">
        <f ca="1">-SUMIF(BC[],MID(J19,1,3)&amp;"*",bc_2015)</f>
        <v>0</v>
      </c>
      <c r="O19" s="614"/>
      <c r="P19" s="95"/>
      <c r="Q19" s="95"/>
      <c r="R19" s="613">
        <v>3110</v>
      </c>
      <c r="S19" s="17" t="s">
        <v>161</v>
      </c>
      <c r="T19" s="112">
        <f ca="1">-SUMIF(BC[],MID(R19,1,3)&amp;"*",bc_2017)+SUMIF(BC[],MID(R19,1,3)&amp;"*",bc_2016)</f>
        <v>853461.14000000432</v>
      </c>
      <c r="U19" s="133"/>
      <c r="V19" s="133"/>
      <c r="W19" s="133">
        <v>0</v>
      </c>
      <c r="X19" s="133">
        <f t="shared" ca="1" si="47"/>
        <v>853461.14000000432</v>
      </c>
      <c r="Y19" s="95"/>
      <c r="Z19" s="95"/>
      <c r="AA19" s="613">
        <v>1260</v>
      </c>
      <c r="AB19" s="17" t="s">
        <v>30</v>
      </c>
      <c r="AC19" s="120">
        <f t="shared" ca="1" si="0"/>
        <v>1841167.3400000017</v>
      </c>
      <c r="AD19" s="120">
        <f t="shared" ca="1" si="1"/>
        <v>0</v>
      </c>
      <c r="AE19" s="120">
        <f t="shared" ca="1" si="2"/>
        <v>1315906.1799999997</v>
      </c>
      <c r="AF19" s="120">
        <f t="shared" ca="1" si="3"/>
        <v>0</v>
      </c>
      <c r="AG19" s="95"/>
      <c r="AH19" s="95"/>
      <c r="AI19" s="615">
        <v>5120</v>
      </c>
      <c r="AJ19" s="17" t="s">
        <v>115</v>
      </c>
      <c r="AK19" s="112">
        <f ca="1">SUMIF(BC[],MID(AI19,1,3)&amp;"*",bc_2017)</f>
        <v>1899438.5700000003</v>
      </c>
      <c r="AL19" s="112">
        <f ca="1">SUMIF(BC[],MID(AI19,1,3)&amp;"*",bc_2016)</f>
        <v>1884536.9899999998</v>
      </c>
      <c r="AM19" s="602"/>
      <c r="AN19" s="95"/>
      <c r="AO19" s="95"/>
      <c r="AP19" s="615">
        <v>1240</v>
      </c>
      <c r="AQ19" s="17" t="s">
        <v>20</v>
      </c>
      <c r="AR19" s="133">
        <f ca="1">SUMIF(BC[],MID(AP19,1,3)&amp;"*",bc_2016)</f>
        <v>15855010.120000001</v>
      </c>
      <c r="AS19" s="133">
        <f ca="1">SUMIF(BC[],MID(AP19,1,3)&amp;"*",bc_2017c)</f>
        <v>3014839.91</v>
      </c>
      <c r="AT19" s="133">
        <f ca="1">-SUMIF(BC[],MID(AP19,1,3)&amp;"*",bc_2017a)</f>
        <v>986649.98</v>
      </c>
      <c r="AU19" s="133">
        <f ca="1">SUMIF(BC[],MID(AP19,1,3)&amp;"*",bc_2017)</f>
        <v>17883200.050000001</v>
      </c>
      <c r="AV19" s="133">
        <f t="shared" ca="1" si="46"/>
        <v>2028189.9299999997</v>
      </c>
      <c r="AW19" s="95"/>
      <c r="AX19" s="95"/>
      <c r="AY19" s="71"/>
      <c r="AZ19" s="598" t="s">
        <v>82</v>
      </c>
      <c r="BA19" s="136"/>
      <c r="BB19" s="136"/>
      <c r="BC19" s="115">
        <f ca="1">SUM(BC20:BC22)</f>
        <v>0</v>
      </c>
      <c r="BD19" s="115">
        <f ca="1">SUM(BD20:BD22)</f>
        <v>0</v>
      </c>
      <c r="BE19" s="95"/>
      <c r="BF19" s="95"/>
      <c r="BG19" s="79"/>
      <c r="BH19" s="383"/>
      <c r="BI19" s="95"/>
      <c r="BJ19" s="95"/>
      <c r="BK19" s="34">
        <v>90</v>
      </c>
      <c r="BL19" s="11" t="s">
        <v>243</v>
      </c>
      <c r="BM19" s="333">
        <f t="shared" si="8"/>
        <v>79093840.510000005</v>
      </c>
      <c r="BN19" s="333">
        <f t="shared" si="9"/>
        <v>6844369.5</v>
      </c>
      <c r="BO19" s="333">
        <f t="shared" si="14"/>
        <v>85938210.010000005</v>
      </c>
      <c r="BP19" s="333">
        <f t="shared" si="10"/>
        <v>85938205.109999985</v>
      </c>
      <c r="BQ19" s="333">
        <f t="shared" si="11"/>
        <v>85938205.109999985</v>
      </c>
      <c r="BR19" s="333">
        <f t="shared" si="15"/>
        <v>6844364.5999999791</v>
      </c>
      <c r="BS19" s="333">
        <f t="shared" si="16"/>
        <v>6844364.5999999791</v>
      </c>
      <c r="BT19" s="95"/>
      <c r="BU19" s="95"/>
      <c r="BV19" s="623">
        <v>2500</v>
      </c>
      <c r="BW19" s="624" t="s">
        <v>194</v>
      </c>
      <c r="BX19" s="338">
        <f t="shared" si="41"/>
        <v>2980.42</v>
      </c>
      <c r="BY19" s="338">
        <f t="shared" si="42"/>
        <v>-1415.92</v>
      </c>
      <c r="BZ19" s="338">
        <f t="shared" si="19"/>
        <v>1564.5</v>
      </c>
      <c r="CA19" s="338">
        <f t="shared" si="43"/>
        <v>1564.5</v>
      </c>
      <c r="CB19" s="338">
        <f t="shared" si="44"/>
        <v>1564.5</v>
      </c>
      <c r="CC19" s="338">
        <f t="shared" si="22"/>
        <v>0</v>
      </c>
      <c r="CD19" s="95"/>
      <c r="CE19" s="95"/>
      <c r="CF19" s="679"/>
      <c r="CG19" s="680"/>
      <c r="CH19" s="681"/>
      <c r="CI19" s="681"/>
      <c r="CJ19" s="682">
        <f t="shared" si="45"/>
        <v>0</v>
      </c>
      <c r="CK19" s="95"/>
      <c r="CL19" s="95"/>
      <c r="CM19" s="253"/>
      <c r="CN19" s="248"/>
      <c r="CO19" s="688"/>
      <c r="CP19" s="689"/>
      <c r="CQ19" s="67"/>
      <c r="CR19" s="67"/>
      <c r="CS19" s="989"/>
      <c r="CT19" s="989"/>
      <c r="CU19" s="989"/>
      <c r="CV19" s="989"/>
      <c r="CW19" s="95"/>
      <c r="CX19" s="95"/>
      <c r="CY19" s="27">
        <v>900005</v>
      </c>
      <c r="CZ19" s="626" t="s">
        <v>328</v>
      </c>
      <c r="DA19" s="337">
        <f t="shared" ref="DA19:DF19" si="48">SUM(DA20:DA22)</f>
        <v>0</v>
      </c>
      <c r="DB19" s="337">
        <f t="shared" si="48"/>
        <v>0</v>
      </c>
      <c r="DC19" s="337">
        <f t="shared" si="48"/>
        <v>0</v>
      </c>
      <c r="DD19" s="337">
        <f t="shared" si="48"/>
        <v>0</v>
      </c>
      <c r="DE19" s="337">
        <f t="shared" si="48"/>
        <v>0</v>
      </c>
      <c r="DF19" s="337">
        <f t="shared" si="48"/>
        <v>0</v>
      </c>
      <c r="DI19" s="611" t="s">
        <v>38</v>
      </c>
      <c r="DJ19" s="631" t="s">
        <v>973</v>
      </c>
    </row>
    <row r="20" spans="1:114">
      <c r="A20" s="95"/>
      <c r="B20" s="613">
        <v>1270</v>
      </c>
      <c r="C20" s="17" t="s">
        <v>31</v>
      </c>
      <c r="D20" s="112">
        <f ca="1">SUMIF(BC[],MID(B20,1,3)&amp;"*",bc_2017)</f>
        <v>35200</v>
      </c>
      <c r="E20" s="112">
        <f ca="1">SUMIF(BC[],MID(B20,1,3)&amp;"*",bc_2016)</f>
        <v>45485.72</v>
      </c>
      <c r="F20" s="112">
        <f ca="1">SUMIF(BC[],MID(B20,1,3)&amp;"*",bc_2015)</f>
        <v>27000</v>
      </c>
      <c r="G20" s="602" t="s">
        <v>29</v>
      </c>
      <c r="H20" s="95"/>
      <c r="I20" s="95"/>
      <c r="J20" s="613">
        <v>4330</v>
      </c>
      <c r="K20" s="18" t="s">
        <v>179</v>
      </c>
      <c r="L20" s="112">
        <f ca="1">-SUMIF(BC[],MID(J20,1,3)&amp;"*",bc_2017)</f>
        <v>0</v>
      </c>
      <c r="M20" s="112">
        <f ca="1">-SUMIF(BC[],MID(J20,1,3)&amp;"*",bc_2016)</f>
        <v>0</v>
      </c>
      <c r="N20" s="112">
        <f ca="1">-SUMIF(BC[],MID(J20,1,3)&amp;"*",bc_2015)</f>
        <v>0</v>
      </c>
      <c r="O20" s="614"/>
      <c r="P20" s="95"/>
      <c r="Q20" s="95"/>
      <c r="R20" s="613">
        <v>3120</v>
      </c>
      <c r="S20" s="17" t="s">
        <v>162</v>
      </c>
      <c r="T20" s="112">
        <f ca="1">-SUMIF(BC[],MID(R20,1,3)&amp;"*",bc_2017)+SUMIF(BC[],MID(R20,1,3)&amp;"*",bc_2016)</f>
        <v>0</v>
      </c>
      <c r="U20" s="133"/>
      <c r="V20" s="133"/>
      <c r="W20" s="133">
        <v>0</v>
      </c>
      <c r="X20" s="133">
        <f t="shared" ca="1" si="47"/>
        <v>0</v>
      </c>
      <c r="Y20" s="95"/>
      <c r="Z20" s="95"/>
      <c r="AA20" s="613">
        <v>1270</v>
      </c>
      <c r="AB20" s="17" t="s">
        <v>31</v>
      </c>
      <c r="AC20" s="120">
        <f t="shared" ca="1" si="0"/>
        <v>10285.720000000001</v>
      </c>
      <c r="AD20" s="120">
        <f t="shared" ca="1" si="1"/>
        <v>0</v>
      </c>
      <c r="AE20" s="120">
        <f t="shared" ca="1" si="2"/>
        <v>0</v>
      </c>
      <c r="AF20" s="120">
        <f t="shared" ca="1" si="3"/>
        <v>18485.72</v>
      </c>
      <c r="AG20" s="95"/>
      <c r="AH20" s="95"/>
      <c r="AI20" s="615">
        <v>5130</v>
      </c>
      <c r="AJ20" s="17" t="s">
        <v>116</v>
      </c>
      <c r="AK20" s="112">
        <f ca="1">SUMIF(BC[],MID(AI20,1,3)&amp;"*",bc_2017)</f>
        <v>15652137.109999999</v>
      </c>
      <c r="AL20" s="112">
        <f ca="1">SUMIF(BC[],MID(AI20,1,3)&amp;"*",bc_2016)</f>
        <v>13893169.539999999</v>
      </c>
      <c r="AM20" s="602"/>
      <c r="AN20" s="95"/>
      <c r="AO20" s="95"/>
      <c r="AP20" s="615">
        <v>1250</v>
      </c>
      <c r="AQ20" s="17" t="s">
        <v>28</v>
      </c>
      <c r="AR20" s="133">
        <f ca="1">SUMIF(BC[],MID(AP20,1,3)&amp;"*",bc_2016)</f>
        <v>12823516.859999999</v>
      </c>
      <c r="AS20" s="133">
        <f ca="1">SUMIF(BC[],MID(AP20,1,3)&amp;"*",bc_2017c)</f>
        <v>125415.3</v>
      </c>
      <c r="AT20" s="133">
        <f ca="1">-SUMIF(BC[],MID(AP20,1,3)&amp;"*",bc_2017a)</f>
        <v>0</v>
      </c>
      <c r="AU20" s="133">
        <f ca="1">SUMIF(BC[],MID(AP20,1,3)&amp;"*",bc_2017)</f>
        <v>12948932.159999998</v>
      </c>
      <c r="AV20" s="133">
        <f t="shared" ca="1" si="46"/>
        <v>125415.29999999888</v>
      </c>
      <c r="AW20" s="95"/>
      <c r="AX20" s="95"/>
      <c r="AY20" s="71">
        <v>2233</v>
      </c>
      <c r="AZ20" s="42" t="s">
        <v>83</v>
      </c>
      <c r="BA20" s="136"/>
      <c r="BB20" s="136"/>
      <c r="BC20" s="112">
        <f ca="1">-SUMIF(BC[],MID(AY20,1,4)&amp;"*",bc_2016)</f>
        <v>0</v>
      </c>
      <c r="BD20" s="112">
        <f ca="1">-SUMIF(BC[],MID(AY20,1,4)&amp;"*",bc_2017)</f>
        <v>0</v>
      </c>
      <c r="BE20" s="95"/>
      <c r="BF20" s="95"/>
      <c r="BG20" s="71"/>
      <c r="BH20" s="383"/>
      <c r="BI20" s="95"/>
      <c r="BJ20" s="95"/>
      <c r="BK20" s="39" t="s">
        <v>244</v>
      </c>
      <c r="BL20" s="40" t="s">
        <v>245</v>
      </c>
      <c r="BM20" s="334">
        <f t="shared" si="8"/>
        <v>0</v>
      </c>
      <c r="BN20" s="334">
        <f t="shared" si="9"/>
        <v>0</v>
      </c>
      <c r="BO20" s="334">
        <f t="shared" si="14"/>
        <v>0</v>
      </c>
      <c r="BP20" s="334">
        <f t="shared" si="10"/>
        <v>0</v>
      </c>
      <c r="BQ20" s="334">
        <f t="shared" si="11"/>
        <v>0</v>
      </c>
      <c r="BR20" s="334">
        <f t="shared" si="15"/>
        <v>0</v>
      </c>
      <c r="BS20" s="334">
        <f t="shared" si="16"/>
        <v>0</v>
      </c>
      <c r="BT20" s="95"/>
      <c r="BU20" s="95"/>
      <c r="BV20" s="623">
        <v>2600</v>
      </c>
      <c r="BW20" s="624" t="s">
        <v>195</v>
      </c>
      <c r="BX20" s="338">
        <f t="shared" si="41"/>
        <v>809561.62000000011</v>
      </c>
      <c r="BY20" s="338">
        <f t="shared" si="42"/>
        <v>-32779.580000000024</v>
      </c>
      <c r="BZ20" s="338">
        <f t="shared" si="19"/>
        <v>776782.04</v>
      </c>
      <c r="CA20" s="338">
        <f t="shared" si="43"/>
        <v>776782.04</v>
      </c>
      <c r="CB20" s="338">
        <f t="shared" si="44"/>
        <v>776782.04</v>
      </c>
      <c r="CC20" s="338">
        <f t="shared" si="22"/>
        <v>0</v>
      </c>
      <c r="CD20" s="95"/>
      <c r="CE20" s="95"/>
      <c r="CF20" s="679"/>
      <c r="CG20" s="680"/>
      <c r="CH20" s="681"/>
      <c r="CI20" s="681"/>
      <c r="CJ20" s="682">
        <f t="shared" si="45"/>
        <v>0</v>
      </c>
      <c r="CK20" s="95"/>
      <c r="CL20" s="95"/>
      <c r="CM20" s="253"/>
      <c r="CN20" s="248"/>
      <c r="CO20" s="688"/>
      <c r="CP20" s="689"/>
      <c r="CQ20" s="67"/>
      <c r="CR20" s="67"/>
      <c r="CS20" s="17"/>
      <c r="CT20" s="17"/>
      <c r="CU20" s="17"/>
      <c r="CV20" s="95"/>
      <c r="CW20" s="95"/>
      <c r="CX20" s="95"/>
      <c r="CY20" s="347" t="s">
        <v>329</v>
      </c>
      <c r="CZ20" s="630" t="s">
        <v>330</v>
      </c>
      <c r="DA20" s="338">
        <f>SUMIF(PE_CP,MID(CY20,1,1)&amp;"*",PE_A)</f>
        <v>0</v>
      </c>
      <c r="DB20" s="338">
        <f>SUMIF(PE_CP,MID(CY20,1,1)&amp;"*",PE_M)</f>
        <v>0</v>
      </c>
      <c r="DC20" s="338">
        <f>+DA20+DB20</f>
        <v>0</v>
      </c>
      <c r="DD20" s="338">
        <f>SUMIF(PE_CP,MID(CY20,1,1)&amp;"*",PE_D)</f>
        <v>0</v>
      </c>
      <c r="DE20" s="338">
        <f>SUMIF(PE_CP,MID(CY20,1,1)&amp;"*",PE_P)</f>
        <v>0</v>
      </c>
      <c r="DF20" s="338">
        <f>+DC20-DD20</f>
        <v>0</v>
      </c>
      <c r="DI20" s="611" t="s">
        <v>45</v>
      </c>
      <c r="DJ20" s="631" t="s">
        <v>974</v>
      </c>
    </row>
    <row r="21" spans="1:114">
      <c r="A21" s="95"/>
      <c r="B21" s="613">
        <v>1280</v>
      </c>
      <c r="C21" s="17" t="s">
        <v>32</v>
      </c>
      <c r="D21" s="112">
        <f ca="1">SUMIF(BC[],MID(B21,1,3)&amp;"*",bc_2017)</f>
        <v>0</v>
      </c>
      <c r="E21" s="112">
        <f ca="1">SUMIF(BC[],MID(B21,1,3)&amp;"*",bc_2016)</f>
        <v>0</v>
      </c>
      <c r="F21" s="112">
        <f ca="1">SUMIF(BC[],MID(B21,1,3)&amp;"*",bc_2015)</f>
        <v>0</v>
      </c>
      <c r="G21" s="602" t="s">
        <v>33</v>
      </c>
      <c r="H21" s="95"/>
      <c r="I21" s="95"/>
      <c r="J21" s="613">
        <v>4340</v>
      </c>
      <c r="K21" s="18" t="s">
        <v>180</v>
      </c>
      <c r="L21" s="112">
        <f ca="1">-SUMIF(BC[],MID(J21,1,3)&amp;"*",bc_2017)</f>
        <v>0</v>
      </c>
      <c r="M21" s="112">
        <f ca="1">-SUMIF(BC[],MID(J21,1,3)&amp;"*",bc_2016)</f>
        <v>0</v>
      </c>
      <c r="N21" s="112">
        <f ca="1">-SUMIF(BC[],MID(J21,1,3)&amp;"*",bc_2015)</f>
        <v>0</v>
      </c>
      <c r="O21" s="614"/>
      <c r="P21" s="95"/>
      <c r="Q21" s="95"/>
      <c r="R21" s="613">
        <v>3130</v>
      </c>
      <c r="S21" s="17" t="s">
        <v>163</v>
      </c>
      <c r="T21" s="112">
        <f ca="1">-SUMIF(BC[],MID(R21,1,3)&amp;"*",bc_2017)+SUMIF(BC[],MID(R21,1,3)&amp;"*",bc_2016)</f>
        <v>0</v>
      </c>
      <c r="U21" s="133"/>
      <c r="V21" s="133"/>
      <c r="W21" s="133">
        <v>0</v>
      </c>
      <c r="X21" s="133">
        <f t="shared" ca="1" si="47"/>
        <v>0</v>
      </c>
      <c r="Y21" s="95"/>
      <c r="Z21" s="95"/>
      <c r="AA21" s="613">
        <v>1280</v>
      </c>
      <c r="AB21" s="17" t="s">
        <v>32</v>
      </c>
      <c r="AC21" s="120">
        <f t="shared" ca="1" si="0"/>
        <v>0</v>
      </c>
      <c r="AD21" s="120">
        <f t="shared" ca="1" si="1"/>
        <v>0</v>
      </c>
      <c r="AE21" s="120">
        <f t="shared" ca="1" si="2"/>
        <v>0</v>
      </c>
      <c r="AF21" s="120">
        <f t="shared" ca="1" si="3"/>
        <v>0</v>
      </c>
      <c r="AG21" s="95"/>
      <c r="AH21" s="95"/>
      <c r="AI21" s="615">
        <v>5210</v>
      </c>
      <c r="AJ21" s="17" t="s">
        <v>117</v>
      </c>
      <c r="AK21" s="112">
        <f ca="1">SUMIF(BC[],MID(AI21,1,3)&amp;"*",bc_2017)</f>
        <v>0</v>
      </c>
      <c r="AL21" s="112">
        <f ca="1">SUMIF(BC[],MID(AI21,1,3)&amp;"*",bc_2016)</f>
        <v>0</v>
      </c>
      <c r="AM21" s="602"/>
      <c r="AN21" s="95"/>
      <c r="AO21" s="95"/>
      <c r="AP21" s="615">
        <v>1260</v>
      </c>
      <c r="AQ21" s="17" t="s">
        <v>30</v>
      </c>
      <c r="AR21" s="133">
        <f ca="1">SUMIF(BC[],MID(AP21,1,3)&amp;"*",bc_2016)</f>
        <v>-8858009.2199999988</v>
      </c>
      <c r="AS21" s="133">
        <f ca="1">SUMIF(BC[],MID(AP21,1,3)&amp;"*",bc_2017c)</f>
        <v>518018.76</v>
      </c>
      <c r="AT21" s="133">
        <f ca="1">-SUMIF(BC[],MID(AP21,1,3)&amp;"*",bc_2017a)</f>
        <v>2359186.1</v>
      </c>
      <c r="AU21" s="133">
        <f ca="1">SUMIF(BC[],MID(AP21,1,3)&amp;"*",bc_2017)</f>
        <v>-10699176.560000001</v>
      </c>
      <c r="AV21" s="133">
        <f t="shared" ca="1" si="46"/>
        <v>-1841167.3400000017</v>
      </c>
      <c r="AW21" s="95"/>
      <c r="AX21" s="95"/>
      <c r="AY21" s="71">
        <v>2231</v>
      </c>
      <c r="AZ21" s="42" t="s">
        <v>84</v>
      </c>
      <c r="BA21" s="136"/>
      <c r="BB21" s="136"/>
      <c r="BC21" s="112">
        <f ca="1">-SUMIF(BC[],MID(AY21,1,4)&amp;"*",bc_2016)</f>
        <v>0</v>
      </c>
      <c r="BD21" s="112">
        <f ca="1">-SUMIF(BC[],MID(AY21,1,4)&amp;"*",bc_2017)</f>
        <v>0</v>
      </c>
      <c r="BE21" s="95"/>
      <c r="BF21" s="95"/>
      <c r="BG21" s="71"/>
      <c r="BH21" s="383"/>
      <c r="BI21" s="95"/>
      <c r="BJ21" s="95"/>
      <c r="BK21" s="41"/>
      <c r="BL21" s="11"/>
      <c r="BM21" s="35"/>
      <c r="BN21" s="35"/>
      <c r="BO21" s="35"/>
      <c r="BP21" s="35"/>
      <c r="BQ21" s="35"/>
      <c r="BR21" s="35"/>
      <c r="BS21" s="35"/>
      <c r="BT21" s="95"/>
      <c r="BU21" s="95"/>
      <c r="BV21" s="623">
        <v>2700</v>
      </c>
      <c r="BW21" s="624" t="s">
        <v>196</v>
      </c>
      <c r="BX21" s="338">
        <f t="shared" si="41"/>
        <v>82250.880000000005</v>
      </c>
      <c r="BY21" s="338">
        <f t="shared" si="42"/>
        <v>-217.02999999997792</v>
      </c>
      <c r="BZ21" s="338">
        <f t="shared" si="19"/>
        <v>82033.85000000002</v>
      </c>
      <c r="CA21" s="338">
        <f t="shared" si="43"/>
        <v>82033.850000000006</v>
      </c>
      <c r="CB21" s="338">
        <f t="shared" si="44"/>
        <v>82033.850000000006</v>
      </c>
      <c r="CC21" s="338">
        <f t="shared" si="22"/>
        <v>0</v>
      </c>
      <c r="CD21" s="95"/>
      <c r="CE21" s="95"/>
      <c r="CF21" s="679"/>
      <c r="CG21" s="680"/>
      <c r="CH21" s="681"/>
      <c r="CI21" s="681"/>
      <c r="CJ21" s="682">
        <f t="shared" si="45"/>
        <v>0</v>
      </c>
      <c r="CK21" s="95"/>
      <c r="CL21" s="95"/>
      <c r="CM21" s="253"/>
      <c r="CN21" s="248"/>
      <c r="CO21" s="688"/>
      <c r="CP21" s="689"/>
      <c r="CQ21" s="67"/>
      <c r="CR21" s="67"/>
      <c r="CS21" s="17"/>
      <c r="CT21" s="17"/>
      <c r="CU21" s="17"/>
      <c r="CV21" s="95"/>
      <c r="CW21" s="95"/>
      <c r="CX21" s="95"/>
      <c r="CY21" s="347" t="s">
        <v>331</v>
      </c>
      <c r="CZ21" s="630" t="s">
        <v>332</v>
      </c>
      <c r="DA21" s="338">
        <f>SUMIF(PE_CP,MID(CY21,1,1)&amp;"*",PE_A)</f>
        <v>0</v>
      </c>
      <c r="DB21" s="338">
        <f>SUMIF(PE_CP,MID(CY21,1,1)&amp;"*",PE_M)</f>
        <v>0</v>
      </c>
      <c r="DC21" s="338">
        <f>+DA21+DB21</f>
        <v>0</v>
      </c>
      <c r="DD21" s="338">
        <f>SUMIF(PE_CP,MID(CY21,1,1)&amp;"*",PE_D)</f>
        <v>0</v>
      </c>
      <c r="DE21" s="338">
        <f>SUMIF(PE_CP,MID(CY21,1,1)&amp;"*",PE_P)</f>
        <v>0</v>
      </c>
      <c r="DF21" s="338">
        <f>+DC21-DD21</f>
        <v>0</v>
      </c>
      <c r="DI21" s="611" t="s">
        <v>43</v>
      </c>
      <c r="DJ21" s="631" t="s">
        <v>975</v>
      </c>
    </row>
    <row r="22" spans="1:114">
      <c r="A22" s="95"/>
      <c r="B22" s="613">
        <v>1290</v>
      </c>
      <c r="C22" s="17" t="s">
        <v>34</v>
      </c>
      <c r="D22" s="112">
        <f ca="1">SUMIF(BC[],MID(B22,1,3)&amp;"*",bc_2017)</f>
        <v>0</v>
      </c>
      <c r="E22" s="112">
        <f ca="1">SUMIF(BC[],MID(B22,1,3)&amp;"*",bc_2016)</f>
        <v>0</v>
      </c>
      <c r="F22" s="112">
        <f ca="1">SUMIF(BC[],MID(B22,1,3)&amp;"*",bc_2015)</f>
        <v>0</v>
      </c>
      <c r="G22" s="602" t="s">
        <v>14</v>
      </c>
      <c r="H22" s="95"/>
      <c r="I22" s="95"/>
      <c r="J22" s="613">
        <v>4390</v>
      </c>
      <c r="K22" s="18" t="s">
        <v>181</v>
      </c>
      <c r="L22" s="112">
        <f ca="1">-SUMIF(BC[],MID(J22,1,3)&amp;"*",bc_2017)</f>
        <v>0</v>
      </c>
      <c r="M22" s="112">
        <f ca="1">-SUMIF(BC[],MID(J22,1,3)&amp;"*",bc_2016)</f>
        <v>0</v>
      </c>
      <c r="N22" s="112">
        <f ca="1">-SUMIF(BC[],MID(J22,1,3)&amp;"*",bc_2015)</f>
        <v>0</v>
      </c>
      <c r="O22" s="606"/>
      <c r="P22" s="95"/>
      <c r="Q22" s="95"/>
      <c r="R22" s="628">
        <v>900005</v>
      </c>
      <c r="S22" s="598" t="s">
        <v>164</v>
      </c>
      <c r="T22" s="133"/>
      <c r="U22" s="133"/>
      <c r="V22" s="115">
        <f ca="1">SUM(V23:V26)</f>
        <v>2003511.0600000005</v>
      </c>
      <c r="W22" s="115">
        <f>SUM(W23:W26)</f>
        <v>0</v>
      </c>
      <c r="X22" s="115">
        <f t="shared" ca="1" si="47"/>
        <v>2003511.0600000005</v>
      </c>
      <c r="Y22" s="95"/>
      <c r="Z22" s="95"/>
      <c r="AA22" s="613">
        <v>1290</v>
      </c>
      <c r="AB22" s="17" t="s">
        <v>34</v>
      </c>
      <c r="AC22" s="120">
        <f t="shared" ca="1" si="0"/>
        <v>0</v>
      </c>
      <c r="AD22" s="120">
        <f t="shared" ca="1" si="1"/>
        <v>0</v>
      </c>
      <c r="AE22" s="120">
        <f t="shared" ca="1" si="2"/>
        <v>0</v>
      </c>
      <c r="AF22" s="120">
        <f t="shared" ca="1" si="3"/>
        <v>0</v>
      </c>
      <c r="AG22" s="95"/>
      <c r="AH22" s="95"/>
      <c r="AI22" s="615">
        <v>5220</v>
      </c>
      <c r="AJ22" s="17" t="s">
        <v>118</v>
      </c>
      <c r="AK22" s="112">
        <f ca="1">SUMIF(BC[],MID(AI22,1,3)&amp;"*",bc_2017)</f>
        <v>0</v>
      </c>
      <c r="AL22" s="112">
        <f ca="1">SUMIF(BC[],MID(AI22,1,3)&amp;"*",bc_2016)</f>
        <v>0</v>
      </c>
      <c r="AM22" s="602"/>
      <c r="AN22" s="95"/>
      <c r="AO22" s="95"/>
      <c r="AP22" s="615">
        <v>1270</v>
      </c>
      <c r="AQ22" s="17" t="s">
        <v>31</v>
      </c>
      <c r="AR22" s="133">
        <f ca="1">SUMIF(BC[],MID(AP22,1,3)&amp;"*",bc_2016)</f>
        <v>45485.72</v>
      </c>
      <c r="AS22" s="133">
        <f ca="1">SUMIF(BC[],MID(AP22,1,3)&amp;"*",bc_2017c)</f>
        <v>0</v>
      </c>
      <c r="AT22" s="133">
        <f ca="1">-SUMIF(BC[],MID(AP22,1,3)&amp;"*",bc_2017a)</f>
        <v>10285.719999999999</v>
      </c>
      <c r="AU22" s="133">
        <f ca="1">SUMIF(BC[],MID(AP22,1,3)&amp;"*",bc_2017)</f>
        <v>35200</v>
      </c>
      <c r="AV22" s="133">
        <f t="shared" ca="1" si="46"/>
        <v>-10285.720000000001</v>
      </c>
      <c r="AW22" s="95"/>
      <c r="AX22" s="95"/>
      <c r="AY22" s="71">
        <v>2235</v>
      </c>
      <c r="AZ22" s="42" t="s">
        <v>85</v>
      </c>
      <c r="BA22" s="136"/>
      <c r="BB22" s="136"/>
      <c r="BC22" s="112">
        <f ca="1">-SUMIF(BC[],MID(AY22,1,4)&amp;"*",bc_2016)</f>
        <v>0</v>
      </c>
      <c r="BD22" s="112">
        <f ca="1">-SUMIF(BC[],MID(AY22,1,4)&amp;"*",bc_2017)</f>
        <v>0</v>
      </c>
      <c r="BE22" s="95"/>
      <c r="BF22" s="95"/>
      <c r="BG22" s="65" t="s">
        <v>75</v>
      </c>
      <c r="BH22" s="383" t="s">
        <v>381</v>
      </c>
      <c r="BI22" s="95"/>
      <c r="BJ22" s="95"/>
      <c r="BK22" s="41"/>
      <c r="BL22" s="11"/>
      <c r="BM22" s="35"/>
      <c r="BN22" s="35"/>
      <c r="BO22" s="35"/>
      <c r="BP22" s="35"/>
      <c r="BQ22" s="35"/>
      <c r="BR22" s="35"/>
      <c r="BS22" s="35"/>
      <c r="BT22" s="95"/>
      <c r="BU22" s="95"/>
      <c r="BV22" s="623">
        <v>2800</v>
      </c>
      <c r="BW22" s="624" t="s">
        <v>197</v>
      </c>
      <c r="BX22" s="338">
        <f t="shared" si="41"/>
        <v>0</v>
      </c>
      <c r="BY22" s="338">
        <f t="shared" si="42"/>
        <v>0</v>
      </c>
      <c r="BZ22" s="338">
        <f t="shared" si="19"/>
        <v>0</v>
      </c>
      <c r="CA22" s="338">
        <f t="shared" si="43"/>
        <v>0</v>
      </c>
      <c r="CB22" s="338">
        <f t="shared" si="44"/>
        <v>0</v>
      </c>
      <c r="CC22" s="338">
        <f t="shared" si="22"/>
        <v>0</v>
      </c>
      <c r="CD22" s="95"/>
      <c r="CE22" s="95"/>
      <c r="CF22" s="679"/>
      <c r="CG22" s="680"/>
      <c r="CH22" s="681"/>
      <c r="CI22" s="681"/>
      <c r="CJ22" s="682">
        <f t="shared" si="45"/>
        <v>0</v>
      </c>
      <c r="CK22" s="95"/>
      <c r="CL22" s="95"/>
      <c r="CM22" s="253"/>
      <c r="CN22" s="248"/>
      <c r="CO22" s="688"/>
      <c r="CP22" s="689"/>
      <c r="CQ22" s="67"/>
      <c r="CR22" s="67"/>
      <c r="CS22" s="17"/>
      <c r="CT22" s="17"/>
      <c r="CU22" s="17"/>
      <c r="CV22" s="95"/>
      <c r="CW22" s="95"/>
      <c r="CX22" s="95"/>
      <c r="CY22" s="347" t="s">
        <v>333</v>
      </c>
      <c r="CZ22" s="630" t="s">
        <v>334</v>
      </c>
      <c r="DA22" s="338">
        <f>SUMIF(PE_CP,MID(CY22,1,1)&amp;"*",PE_A)</f>
        <v>0</v>
      </c>
      <c r="DB22" s="338">
        <f>SUMIF(PE_CP,MID(CY22,1,1)&amp;"*",PE_M)</f>
        <v>0</v>
      </c>
      <c r="DC22" s="338">
        <f>+DA22+DB22</f>
        <v>0</v>
      </c>
      <c r="DD22" s="338">
        <f>SUMIF(PE_CP,MID(CY22,1,1)&amp;"*",PE_D)</f>
        <v>0</v>
      </c>
      <c r="DE22" s="338">
        <f>SUMIF(PE_CP,MID(CY22,1,1)&amp;"*",PE_P)</f>
        <v>0</v>
      </c>
      <c r="DF22" s="338">
        <f>+DC22-DD22</f>
        <v>0</v>
      </c>
      <c r="DI22" s="611" t="s">
        <v>52</v>
      </c>
      <c r="DJ22" s="631" t="s">
        <v>976</v>
      </c>
    </row>
    <row r="23" spans="1:114">
      <c r="A23" s="95"/>
      <c r="B23" s="597">
        <v>2000</v>
      </c>
      <c r="C23" s="601" t="s">
        <v>35</v>
      </c>
      <c r="D23" s="111">
        <f ca="1">+D24+D33</f>
        <v>7271230.9600000009</v>
      </c>
      <c r="E23" s="111">
        <f ca="1">+E24+E33</f>
        <v>5457146.0099999998</v>
      </c>
      <c r="F23" s="111">
        <f ca="1">+F24+F33</f>
        <v>5717565.6899999995</v>
      </c>
      <c r="G23" s="633"/>
      <c r="H23" s="95"/>
      <c r="I23" s="95"/>
      <c r="J23" s="597">
        <v>5000</v>
      </c>
      <c r="K23" s="598" t="s">
        <v>182</v>
      </c>
      <c r="L23" s="115">
        <f ca="1">+L24+L28+L38+L42+L48+L55</f>
        <v>86006767.219999984</v>
      </c>
      <c r="M23" s="115">
        <f ca="1">+M24+M28+M38+M42+M48+M55</f>
        <v>74760344.699999988</v>
      </c>
      <c r="N23" s="115">
        <f ca="1">+N24+N28+N38+N42+N48+N55</f>
        <v>68477829.159999996</v>
      </c>
      <c r="O23" s="606" t="s">
        <v>183</v>
      </c>
      <c r="P23" s="95"/>
      <c r="Q23" s="95"/>
      <c r="R23" s="613">
        <v>3210</v>
      </c>
      <c r="S23" s="17" t="s">
        <v>165</v>
      </c>
      <c r="T23" s="133"/>
      <c r="U23" s="133"/>
      <c r="V23" s="112">
        <f ca="1">-SUMIF(BC[],MID(R23,1,3)&amp;"*",bc_2017)+SUMIF(BC[],MID(R23,1,3)&amp;"*",bc_2016)+L57-M57</f>
        <v>1879092.6400000006</v>
      </c>
      <c r="W23" s="133">
        <v>0</v>
      </c>
      <c r="X23" s="133">
        <f t="shared" ca="1" si="47"/>
        <v>1879092.6400000006</v>
      </c>
      <c r="Y23" s="95"/>
      <c r="Z23" s="95"/>
      <c r="AA23" s="597">
        <v>2000</v>
      </c>
      <c r="AB23" s="601" t="s">
        <v>35</v>
      </c>
      <c r="AC23" s="121">
        <f t="shared" ref="AC23:AC53" ca="1" si="49">IF(D23&gt;E23,D23-E23,0)</f>
        <v>1814084.9500000011</v>
      </c>
      <c r="AD23" s="121">
        <f t="shared" ref="AD23:AD53" ca="1" si="50">IF(E23&gt;D23,E23-D23,0)</f>
        <v>0</v>
      </c>
      <c r="AE23" s="121">
        <f t="shared" ref="AE23:AE39" ca="1" si="51">IF(E23&gt;F23,E23-F23,0)</f>
        <v>0</v>
      </c>
      <c r="AF23" s="121">
        <f t="shared" ref="AF23:AF39" ca="1" si="52">IF(F23&gt;E23,F23-E23,0)</f>
        <v>260419.6799999997</v>
      </c>
      <c r="AG23" s="95"/>
      <c r="AH23" s="95"/>
      <c r="AI23" s="615">
        <v>5230</v>
      </c>
      <c r="AJ23" s="17" t="s">
        <v>119</v>
      </c>
      <c r="AK23" s="112">
        <f ca="1">SUMIF(BC[],MID(AI23,1,3)&amp;"*",bc_2017)</f>
        <v>0</v>
      </c>
      <c r="AL23" s="112">
        <f ca="1">SUMIF(BC[],MID(AI23,1,3)&amp;"*",bc_2016)</f>
        <v>0</v>
      </c>
      <c r="AM23" s="602"/>
      <c r="AN23" s="95"/>
      <c r="AO23" s="95"/>
      <c r="AP23" s="615">
        <v>1280</v>
      </c>
      <c r="AQ23" s="17" t="s">
        <v>32</v>
      </c>
      <c r="AR23" s="133">
        <f ca="1">SUMIF(BC[],MID(AP23,1,3)&amp;"*",bc_2016)</f>
        <v>0</v>
      </c>
      <c r="AS23" s="133">
        <f ca="1">SUMIF(BC[],MID(AP23,1,3)&amp;"*",bc_2017c)</f>
        <v>0</v>
      </c>
      <c r="AT23" s="133">
        <f ca="1">-SUMIF(BC[],MID(AP23,1,3)&amp;"*",bc_2017a)</f>
        <v>0</v>
      </c>
      <c r="AU23" s="133">
        <f ca="1">SUMIF(BC[],MID(AP23,1,3)&amp;"*",bc_2017)</f>
        <v>0</v>
      </c>
      <c r="AV23" s="133">
        <f ca="1">+AU23-AR23</f>
        <v>0</v>
      </c>
      <c r="AW23" s="95"/>
      <c r="AX23" s="95"/>
      <c r="AY23" s="629">
        <v>900004</v>
      </c>
      <c r="AZ23" s="598" t="s">
        <v>86</v>
      </c>
      <c r="BA23" s="137"/>
      <c r="BB23" s="137"/>
      <c r="BC23" s="115">
        <f>SUM(BC24:BC27)</f>
        <v>0</v>
      </c>
      <c r="BD23" s="115">
        <f>SUM(BD24:BD27)</f>
        <v>0</v>
      </c>
      <c r="BE23" s="95"/>
      <c r="BF23" s="95"/>
      <c r="BG23" s="71"/>
      <c r="BH23" s="383"/>
      <c r="BI23" s="95"/>
      <c r="BJ23" s="95"/>
      <c r="BK23" s="1019" t="str">
        <f>+Títulos!$B$2&amp;"
ESTADO ANALITICO DE INGRESOS POR FUENTE DE FINANCIAMIENTO
DEL 01 DE ENERO AL "&amp;Títulos!$B$3</f>
        <v>TRIBUNAL DE JUSTICIA ADMINISTRATIVA
ESTADO ANALITICO DE INGRESOS POR FUENTE DE FINANCIAMIENTO
DEL 01 DE ENERO AL 31 DE DICIEMBRE DE 2017</v>
      </c>
      <c r="BL23" s="1020"/>
      <c r="BM23" s="1020"/>
      <c r="BN23" s="1020"/>
      <c r="BO23" s="1020"/>
      <c r="BP23" s="1020"/>
      <c r="BQ23" s="1020"/>
      <c r="BR23" s="1020"/>
      <c r="BS23" s="1021"/>
      <c r="BT23" s="95"/>
      <c r="BU23" s="95"/>
      <c r="BV23" s="623">
        <v>2900</v>
      </c>
      <c r="BW23" s="624" t="s">
        <v>198</v>
      </c>
      <c r="BX23" s="338">
        <f t="shared" si="41"/>
        <v>82026.040000000008</v>
      </c>
      <c r="BY23" s="338">
        <f t="shared" si="42"/>
        <v>8813.1199999999953</v>
      </c>
      <c r="BZ23" s="338">
        <f t="shared" si="19"/>
        <v>90839.16</v>
      </c>
      <c r="CA23" s="338">
        <f t="shared" si="43"/>
        <v>90839.16</v>
      </c>
      <c r="CB23" s="338">
        <f t="shared" si="44"/>
        <v>90839.16</v>
      </c>
      <c r="CC23" s="338">
        <f t="shared" si="22"/>
        <v>0</v>
      </c>
      <c r="CD23" s="95"/>
      <c r="CE23" s="95"/>
      <c r="CF23" s="679"/>
      <c r="CG23" s="680"/>
      <c r="CH23" s="681"/>
      <c r="CI23" s="681"/>
      <c r="CJ23" s="682">
        <f t="shared" si="45"/>
        <v>0</v>
      </c>
      <c r="CK23" s="95"/>
      <c r="CL23" s="95"/>
      <c r="CM23" s="253"/>
      <c r="CN23" s="248"/>
      <c r="CO23" s="688"/>
      <c r="CP23" s="689"/>
      <c r="CQ23" s="67"/>
      <c r="CR23" s="67"/>
      <c r="CS23" s="17"/>
      <c r="CT23" s="17"/>
      <c r="CU23" s="17"/>
      <c r="CV23" s="95"/>
      <c r="CW23" s="95"/>
      <c r="CX23" s="95"/>
      <c r="CY23" s="27">
        <v>900006</v>
      </c>
      <c r="CZ23" s="626" t="s">
        <v>335</v>
      </c>
      <c r="DA23" s="337">
        <f t="shared" ref="DA23:DF23" si="53">SUM(DA24:DA25)</f>
        <v>0</v>
      </c>
      <c r="DB23" s="337">
        <f t="shared" si="53"/>
        <v>0</v>
      </c>
      <c r="DC23" s="337">
        <f t="shared" si="53"/>
        <v>0</v>
      </c>
      <c r="DD23" s="337">
        <f t="shared" si="53"/>
        <v>0</v>
      </c>
      <c r="DE23" s="337">
        <f t="shared" si="53"/>
        <v>0</v>
      </c>
      <c r="DF23" s="337">
        <f t="shared" si="53"/>
        <v>0</v>
      </c>
      <c r="DI23" s="611" t="s">
        <v>172</v>
      </c>
      <c r="DJ23" s="631" t="s">
        <v>763</v>
      </c>
    </row>
    <row r="24" spans="1:114">
      <c r="A24" s="95"/>
      <c r="B24" s="597">
        <v>2100</v>
      </c>
      <c r="C24" s="601" t="s">
        <v>36</v>
      </c>
      <c r="D24" s="111">
        <f ca="1">SUM(D25:D32)</f>
        <v>5037258.57</v>
      </c>
      <c r="E24" s="111">
        <f ca="1">SUM(E25:E32)</f>
        <v>3398732.3299999996</v>
      </c>
      <c r="F24" s="111">
        <f ca="1">SUM(F25:F32)</f>
        <v>3729636.61</v>
      </c>
      <c r="G24" s="602"/>
      <c r="H24" s="95"/>
      <c r="I24" s="95"/>
      <c r="J24" s="597">
        <v>5100</v>
      </c>
      <c r="K24" s="598" t="s">
        <v>184</v>
      </c>
      <c r="L24" s="115">
        <f ca="1">SUM(L25:L27)</f>
        <v>83475699.86999999</v>
      </c>
      <c r="M24" s="115">
        <f ca="1">SUM(M25:M27)</f>
        <v>72369777.849999994</v>
      </c>
      <c r="N24" s="115">
        <f ca="1">SUM(N25:N27)</f>
        <v>66492356.579999998</v>
      </c>
      <c r="O24" s="614"/>
      <c r="P24" s="95"/>
      <c r="Q24" s="95"/>
      <c r="R24" s="613">
        <v>3220</v>
      </c>
      <c r="S24" s="17" t="s">
        <v>166</v>
      </c>
      <c r="T24" s="133"/>
      <c r="U24" s="133"/>
      <c r="V24" s="112">
        <f ca="1">-SUMIF(BC[],MID(R24,1,3)&amp;"*",bc_2017)+SUMIF(BC[],MID(R24,1,3)&amp;"*",bc_2016)</f>
        <v>124418.41999999993</v>
      </c>
      <c r="W24" s="133">
        <v>0</v>
      </c>
      <c r="X24" s="133">
        <f t="shared" ca="1" si="47"/>
        <v>124418.41999999993</v>
      </c>
      <c r="Y24" s="95"/>
      <c r="Z24" s="95"/>
      <c r="AA24" s="597">
        <v>2100</v>
      </c>
      <c r="AB24" s="601" t="s">
        <v>36</v>
      </c>
      <c r="AC24" s="121">
        <f t="shared" ca="1" si="49"/>
        <v>1638526.2400000007</v>
      </c>
      <c r="AD24" s="121">
        <f t="shared" ca="1" si="50"/>
        <v>0</v>
      </c>
      <c r="AE24" s="121">
        <f t="shared" ca="1" si="51"/>
        <v>0</v>
      </c>
      <c r="AF24" s="121">
        <f t="shared" ca="1" si="52"/>
        <v>330904.28000000026</v>
      </c>
      <c r="AG24" s="95"/>
      <c r="AH24" s="95"/>
      <c r="AI24" s="615">
        <v>5240</v>
      </c>
      <c r="AJ24" s="17" t="s">
        <v>120</v>
      </c>
      <c r="AK24" s="112">
        <f ca="1">SUMIF(BC[],MID(AI24,1,3)&amp;"*",bc_2017)</f>
        <v>0</v>
      </c>
      <c r="AL24" s="112">
        <f ca="1">SUMIF(BC[],MID(AI24,1,3)&amp;"*",bc_2016)</f>
        <v>0</v>
      </c>
      <c r="AM24" s="602"/>
      <c r="AN24" s="95"/>
      <c r="AO24" s="95"/>
      <c r="AP24" s="634">
        <v>1290</v>
      </c>
      <c r="AQ24" s="635" t="s">
        <v>34</v>
      </c>
      <c r="AR24" s="134">
        <f ca="1">SUMIF(BC[],MID(AP24,1,3)&amp;"*",bc_2016)</f>
        <v>0</v>
      </c>
      <c r="AS24" s="134">
        <f ca="1">SUMIF(BC[],MID(AP24,1,3)&amp;"*",bc_2017c)</f>
        <v>0</v>
      </c>
      <c r="AT24" s="134">
        <f ca="1">-SUMIF(BC[],MID(AP24,1,3)&amp;"*",bc_2017a)</f>
        <v>0</v>
      </c>
      <c r="AU24" s="134">
        <f ca="1">SUMIF(BC[],MID(AP24,1,3)&amp;"*",bc_2017)</f>
        <v>0</v>
      </c>
      <c r="AV24" s="134">
        <f ca="1">+AU24-AR24</f>
        <v>0</v>
      </c>
      <c r="AW24" s="95"/>
      <c r="AX24" s="95"/>
      <c r="AY24" s="71"/>
      <c r="AZ24" s="42" t="s">
        <v>87</v>
      </c>
      <c r="BA24" s="136"/>
      <c r="BB24" s="136"/>
      <c r="BC24" s="133">
        <v>0</v>
      </c>
      <c r="BD24" s="133">
        <v>0</v>
      </c>
      <c r="BE24" s="95"/>
      <c r="BF24" s="95"/>
      <c r="BG24" s="71"/>
      <c r="BH24" s="383"/>
      <c r="BI24" s="95"/>
      <c r="BJ24" s="95"/>
      <c r="BK24" s="1022"/>
      <c r="BL24" s="1023"/>
      <c r="BM24" s="1023"/>
      <c r="BN24" s="1023"/>
      <c r="BO24" s="1023"/>
      <c r="BP24" s="1023"/>
      <c r="BQ24" s="1023"/>
      <c r="BR24" s="1023"/>
      <c r="BS24" s="1024"/>
      <c r="BT24" s="95"/>
      <c r="BU24" s="95"/>
      <c r="BV24" s="619">
        <v>3000</v>
      </c>
      <c r="BW24" s="620" t="s">
        <v>262</v>
      </c>
      <c r="BX24" s="337">
        <f t="shared" ref="BX24:CC24" si="54">SUM(BX25:BX33)</f>
        <v>15301571</v>
      </c>
      <c r="BY24" s="337">
        <f t="shared" si="54"/>
        <v>350566.11000000045</v>
      </c>
      <c r="BZ24" s="337">
        <f t="shared" si="54"/>
        <v>15652137.109999999</v>
      </c>
      <c r="CA24" s="337">
        <f t="shared" si="54"/>
        <v>15652137.110000001</v>
      </c>
      <c r="CB24" s="337">
        <f t="shared" si="54"/>
        <v>15517128.110000001</v>
      </c>
      <c r="CC24" s="337">
        <f t="shared" si="54"/>
        <v>0</v>
      </c>
      <c r="CD24" s="95"/>
      <c r="CE24" s="95"/>
      <c r="CF24" s="679"/>
      <c r="CG24" s="680"/>
      <c r="CH24" s="681"/>
      <c r="CI24" s="681"/>
      <c r="CJ24" s="682">
        <f t="shared" si="45"/>
        <v>0</v>
      </c>
      <c r="CK24" s="95"/>
      <c r="CL24" s="95"/>
      <c r="CM24" s="253"/>
      <c r="CN24" s="248"/>
      <c r="CO24" s="688"/>
      <c r="CP24" s="689"/>
      <c r="CQ24" s="67"/>
      <c r="CR24" s="67"/>
      <c r="CS24" s="17"/>
      <c r="CT24" s="17"/>
      <c r="CU24" s="17"/>
      <c r="CV24" s="95"/>
      <c r="CW24" s="95"/>
      <c r="CX24" s="95"/>
      <c r="CY24" s="347" t="s">
        <v>336</v>
      </c>
      <c r="CZ24" s="630" t="s">
        <v>337</v>
      </c>
      <c r="DA24" s="338">
        <f>SUMIF(PE_CP,MID(CY24,1,1)&amp;"*",PE_A)</f>
        <v>0</v>
      </c>
      <c r="DB24" s="338">
        <f>SUMIF(PE_CP,MID(CY24,1,1)&amp;"*",PE_M)</f>
        <v>0</v>
      </c>
      <c r="DC24" s="338">
        <f>+DA24+DB24</f>
        <v>0</v>
      </c>
      <c r="DD24" s="338">
        <f>SUMIF(PE_CP,MID(CY24,1,1)&amp;"*",PE_D)</f>
        <v>0</v>
      </c>
      <c r="DE24" s="338">
        <f>SUMIF(PE_CP,MID(CY24,1,1)&amp;"*",PE_P)</f>
        <v>0</v>
      </c>
      <c r="DF24" s="338">
        <f>+DC24-DD24</f>
        <v>0</v>
      </c>
      <c r="DI24" s="611" t="s">
        <v>176</v>
      </c>
      <c r="DJ24" s="631" t="s">
        <v>977</v>
      </c>
    </row>
    <row r="25" spans="1:114">
      <c r="A25" s="95"/>
      <c r="B25" s="613">
        <v>2110</v>
      </c>
      <c r="C25" s="17" t="s">
        <v>37</v>
      </c>
      <c r="D25" s="112">
        <f ca="1">-SUMIF(BC[],MID(B25,1,3)&amp;"*",bc_2017)</f>
        <v>5018758.57</v>
      </c>
      <c r="E25" s="112">
        <f ca="1">-SUMIF(BC[],MID(B25,1,3)&amp;"*",bc_2016)</f>
        <v>3380232.3299999996</v>
      </c>
      <c r="F25" s="112">
        <f ca="1">-SUMIF(BC[],MID(B25,1,3)&amp;"*",bc_2015)</f>
        <v>3709386.61</v>
      </c>
      <c r="G25" s="602" t="s">
        <v>38</v>
      </c>
      <c r="H25" s="95"/>
      <c r="I25" s="95"/>
      <c r="J25" s="613">
        <v>5110</v>
      </c>
      <c r="K25" s="18" t="s">
        <v>114</v>
      </c>
      <c r="L25" s="112">
        <f ca="1">SUMIF(BC[],MID(J25,1,3)&amp;"*",bc_2017)</f>
        <v>65924124.18999999</v>
      </c>
      <c r="M25" s="112">
        <f ca="1">SUMIF(BC[],MID(J25,1,3)&amp;"*",bc_2016)</f>
        <v>56592071.319999993</v>
      </c>
      <c r="N25" s="112">
        <f ca="1">SUMIF(BC[],MID(J25,1,3)&amp;"*",bc_2015)</f>
        <v>52838493.86999999</v>
      </c>
      <c r="O25" s="614"/>
      <c r="P25" s="95"/>
      <c r="Q25" s="95"/>
      <c r="R25" s="613">
        <v>3230</v>
      </c>
      <c r="S25" s="17" t="s">
        <v>167</v>
      </c>
      <c r="T25" s="133"/>
      <c r="U25" s="133"/>
      <c r="V25" s="112">
        <f ca="1">-SUMIF(BC[],MID(R25,1,3)&amp;"*",bc_2017)+SUMIF(BC[],MID(R25,1,3)&amp;"*",bc_2016)</f>
        <v>0</v>
      </c>
      <c r="W25" s="133">
        <v>0</v>
      </c>
      <c r="X25" s="133">
        <f t="shared" ca="1" si="47"/>
        <v>0</v>
      </c>
      <c r="Y25" s="95"/>
      <c r="Z25" s="95"/>
      <c r="AA25" s="613">
        <v>2110</v>
      </c>
      <c r="AB25" s="17" t="s">
        <v>37</v>
      </c>
      <c r="AC25" s="120">
        <f t="shared" ca="1" si="49"/>
        <v>1638526.2400000007</v>
      </c>
      <c r="AD25" s="120">
        <f t="shared" ca="1" si="50"/>
        <v>0</v>
      </c>
      <c r="AE25" s="120">
        <f t="shared" ca="1" si="51"/>
        <v>0</v>
      </c>
      <c r="AF25" s="120">
        <f t="shared" ca="1" si="52"/>
        <v>329154.28000000026</v>
      </c>
      <c r="AG25" s="95"/>
      <c r="AH25" s="95"/>
      <c r="AI25" s="615">
        <v>5250</v>
      </c>
      <c r="AJ25" s="17" t="s">
        <v>121</v>
      </c>
      <c r="AK25" s="112">
        <f ca="1">SUMIF(BC[],MID(AI25,1,3)&amp;"*",bc_2017)</f>
        <v>0</v>
      </c>
      <c r="AL25" s="112">
        <f ca="1">SUMIF(BC[],MID(AI25,1,3)&amp;"*",bc_2016)</f>
        <v>0</v>
      </c>
      <c r="AM25" s="602"/>
      <c r="AN25" s="95"/>
      <c r="AO25" s="95"/>
      <c r="AP25" s="18"/>
      <c r="AQ25" s="18"/>
      <c r="AR25" s="641">
        <f ca="1">+AR6-E4</f>
        <v>0</v>
      </c>
      <c r="AS25" s="42"/>
      <c r="AT25" s="42"/>
      <c r="AU25" s="641">
        <f ca="1">+AU6-D4</f>
        <v>0</v>
      </c>
      <c r="AV25" s="641">
        <f ca="1">+AV6+AC4-AD4</f>
        <v>0</v>
      </c>
      <c r="AW25" s="95"/>
      <c r="AX25" s="95"/>
      <c r="AY25" s="71"/>
      <c r="AZ25" s="42" t="s">
        <v>88</v>
      </c>
      <c r="BA25" s="136"/>
      <c r="BB25" s="136"/>
      <c r="BC25" s="133">
        <v>0</v>
      </c>
      <c r="BD25" s="133">
        <v>0</v>
      </c>
      <c r="BE25" s="95"/>
      <c r="BF25" s="95"/>
      <c r="BG25" s="71"/>
      <c r="BH25" s="383"/>
      <c r="BI25" s="95"/>
      <c r="BJ25" s="95"/>
      <c r="BK25" s="1025"/>
      <c r="BL25" s="1026"/>
      <c r="BM25" s="1026"/>
      <c r="BN25" s="1026"/>
      <c r="BO25" s="1026"/>
      <c r="BP25" s="1026"/>
      <c r="BQ25" s="1026"/>
      <c r="BR25" s="1026"/>
      <c r="BS25" s="1027"/>
      <c r="BT25" s="95"/>
      <c r="BU25" s="95"/>
      <c r="BV25" s="623">
        <v>3100</v>
      </c>
      <c r="BW25" s="624" t="s">
        <v>199</v>
      </c>
      <c r="BX25" s="338">
        <f t="shared" ref="BX25:BX33" si="55">SUMIF(PE_COG,MID(BV25,1,2)&amp;"*",PE_A)</f>
        <v>1090627.8</v>
      </c>
      <c r="BY25" s="338">
        <f t="shared" ref="BY25:BY33" si="56">SUMIF(PE_COG,MID(BV25,1,2)&amp;"*",PE_M)</f>
        <v>-93173.98000000001</v>
      </c>
      <c r="BZ25" s="338">
        <f t="shared" si="19"/>
        <v>997453.82000000007</v>
      </c>
      <c r="CA25" s="338">
        <f t="shared" ref="CA25:CA33" si="57">SUMIF(PE_COG,MID(BV25,1,2)&amp;"*",PE_D)</f>
        <v>997453.82000000007</v>
      </c>
      <c r="CB25" s="338">
        <f t="shared" ref="CB25:CB33" si="58">SUMIF(PE_COG,MID(BV25,1,2)&amp;"*",PE_P)</f>
        <v>910822.82000000007</v>
      </c>
      <c r="CC25" s="338">
        <f t="shared" si="22"/>
        <v>0</v>
      </c>
      <c r="CD25" s="95"/>
      <c r="CE25" s="95"/>
      <c r="CF25" s="181">
        <v>900002</v>
      </c>
      <c r="CG25" s="671" t="s">
        <v>289</v>
      </c>
      <c r="CH25" s="672">
        <f>SUM(CH15:CH24)</f>
        <v>0</v>
      </c>
      <c r="CI25" s="672">
        <f>SUM(CI15:CI24)</f>
        <v>0</v>
      </c>
      <c r="CJ25" s="673">
        <f>SUM(CJ15:CJ24)</f>
        <v>0</v>
      </c>
      <c r="CK25" s="95"/>
      <c r="CL25" s="95"/>
      <c r="CM25" s="181">
        <v>900002</v>
      </c>
      <c r="CN25" s="248" t="s">
        <v>289</v>
      </c>
      <c r="CO25" s="690">
        <f>SUM(CO16:CO24)</f>
        <v>0</v>
      </c>
      <c r="CP25" s="691">
        <f>SUM(CP16:CP24)</f>
        <v>0</v>
      </c>
      <c r="CQ25" s="67"/>
      <c r="CR25" s="67"/>
      <c r="CS25" s="17"/>
      <c r="CT25" s="17"/>
      <c r="CU25" s="17"/>
      <c r="CV25" s="95"/>
      <c r="CW25" s="95"/>
      <c r="CX25" s="95"/>
      <c r="CY25" s="347" t="s">
        <v>338</v>
      </c>
      <c r="CZ25" s="630" t="s">
        <v>339</v>
      </c>
      <c r="DA25" s="338">
        <f>SUMIF(PE_CP,MID(CY25,1,1)&amp;"*",PE_A)</f>
        <v>0</v>
      </c>
      <c r="DB25" s="338">
        <f>SUMIF(PE_CP,MID(CY25,1,1)&amp;"*",PE_M)</f>
        <v>0</v>
      </c>
      <c r="DC25" s="338">
        <f>+DA25+DB25</f>
        <v>0</v>
      </c>
      <c r="DD25" s="338">
        <f>SUMIF(PE_CP,MID(CY25,1,1)&amp;"*",PE_D)</f>
        <v>0</v>
      </c>
      <c r="DE25" s="338">
        <f>SUMIF(PE_CP,MID(CY25,1,1)&amp;"*",PE_P)</f>
        <v>0</v>
      </c>
      <c r="DF25" s="338">
        <f>+DC25-DD25</f>
        <v>0</v>
      </c>
      <c r="DI25" s="611" t="s">
        <v>183</v>
      </c>
      <c r="DJ25" s="631" t="s">
        <v>978</v>
      </c>
    </row>
    <row r="26" spans="1:114">
      <c r="A26" s="95"/>
      <c r="B26" s="613">
        <v>2120</v>
      </c>
      <c r="C26" s="17" t="s">
        <v>39</v>
      </c>
      <c r="D26" s="112">
        <f ca="1">-SUMIF(BC[],MID(B26,1,3)&amp;"*",bc_2017)</f>
        <v>0</v>
      </c>
      <c r="E26" s="112">
        <f ca="1">-SUMIF(BC[],MID(B26,1,3)&amp;"*",bc_2016)</f>
        <v>0</v>
      </c>
      <c r="F26" s="112">
        <f ca="1">-SUMIF(BC[],MID(B26,1,3)&amp;"*",bc_2015)</f>
        <v>0</v>
      </c>
      <c r="G26" s="602" t="s">
        <v>38</v>
      </c>
      <c r="H26" s="95"/>
      <c r="I26" s="95"/>
      <c r="J26" s="613">
        <v>5120</v>
      </c>
      <c r="K26" s="18" t="s">
        <v>115</v>
      </c>
      <c r="L26" s="112">
        <f ca="1">SUMIF(BC[],MID(J26,1,3)&amp;"*",bc_2017)</f>
        <v>1899438.5700000003</v>
      </c>
      <c r="M26" s="112">
        <f ca="1">SUMIF(BC[],MID(J26,1,3)&amp;"*",bc_2016)</f>
        <v>1884536.9899999998</v>
      </c>
      <c r="N26" s="112">
        <f ca="1">SUMIF(BC[],MID(J26,1,3)&amp;"*",bc_2015)</f>
        <v>1427479.8100000003</v>
      </c>
      <c r="O26" s="614"/>
      <c r="P26" s="95"/>
      <c r="Q26" s="95"/>
      <c r="R26" s="613">
        <v>3240</v>
      </c>
      <c r="S26" s="17" t="s">
        <v>168</v>
      </c>
      <c r="T26" s="133"/>
      <c r="U26" s="133"/>
      <c r="V26" s="112">
        <f ca="1">-SUMIF(BC[],MID(R26,1,3)&amp;"*",bc_2017)+SUMIF(BC[],MID(R26,1,3)&amp;"*",bc_2016)</f>
        <v>0</v>
      </c>
      <c r="W26" s="133">
        <v>0</v>
      </c>
      <c r="X26" s="133">
        <f t="shared" ca="1" si="47"/>
        <v>0</v>
      </c>
      <c r="Y26" s="95"/>
      <c r="Z26" s="95"/>
      <c r="AA26" s="613">
        <v>2120</v>
      </c>
      <c r="AB26" s="17" t="s">
        <v>39</v>
      </c>
      <c r="AC26" s="120">
        <f t="shared" ca="1" si="49"/>
        <v>0</v>
      </c>
      <c r="AD26" s="120">
        <f t="shared" ca="1" si="50"/>
        <v>0</v>
      </c>
      <c r="AE26" s="120">
        <f t="shared" ca="1" si="51"/>
        <v>0</v>
      </c>
      <c r="AF26" s="120">
        <f t="shared" ca="1" si="52"/>
        <v>0</v>
      </c>
      <c r="AG26" s="95"/>
      <c r="AH26" s="95"/>
      <c r="AI26" s="615">
        <v>5260</v>
      </c>
      <c r="AJ26" s="17" t="s">
        <v>122</v>
      </c>
      <c r="AK26" s="112">
        <f ca="1">SUMIF(BC[],MID(AI26,1,3)&amp;"*",bc_2017)</f>
        <v>0</v>
      </c>
      <c r="AL26" s="112">
        <f ca="1">SUMIF(BC[],MID(AI26,1,3)&amp;"*",bc_2016)</f>
        <v>0</v>
      </c>
      <c r="AM26" s="602"/>
      <c r="AN26" s="95"/>
      <c r="AO26" s="95"/>
      <c r="AP26" s="18"/>
      <c r="AQ26" s="18"/>
      <c r="AR26" s="42"/>
      <c r="AS26" s="42"/>
      <c r="AT26" s="42"/>
      <c r="AU26" s="42"/>
      <c r="AV26" s="18"/>
      <c r="AW26" s="95"/>
      <c r="AX26" s="95"/>
      <c r="AY26" s="71"/>
      <c r="AZ26" s="42" t="s">
        <v>84</v>
      </c>
      <c r="BA26" s="136"/>
      <c r="BB26" s="136"/>
      <c r="BC26" s="133">
        <v>0</v>
      </c>
      <c r="BD26" s="133">
        <v>0</v>
      </c>
      <c r="BE26" s="95"/>
      <c r="BF26" s="95"/>
      <c r="BG26" s="71"/>
      <c r="BH26" s="383"/>
      <c r="BI26" s="95"/>
      <c r="BJ26" s="95"/>
      <c r="BK26" s="1029" t="s">
        <v>227</v>
      </c>
      <c r="BL26" s="1029" t="s">
        <v>71</v>
      </c>
      <c r="BM26" s="1028" t="s">
        <v>228</v>
      </c>
      <c r="BN26" s="1028" t="s">
        <v>254</v>
      </c>
      <c r="BO26" s="1028" t="s">
        <v>230</v>
      </c>
      <c r="BP26" s="1028" t="s">
        <v>231</v>
      </c>
      <c r="BQ26" s="1028" t="s">
        <v>232</v>
      </c>
      <c r="BR26" s="1028" t="s">
        <v>233</v>
      </c>
      <c r="BS26" s="1028" t="s">
        <v>234</v>
      </c>
      <c r="BT26" s="95"/>
      <c r="BU26" s="95"/>
      <c r="BV26" s="623">
        <v>3200</v>
      </c>
      <c r="BW26" s="624" t="s">
        <v>200</v>
      </c>
      <c r="BX26" s="338">
        <f t="shared" si="55"/>
        <v>1601484.6199999999</v>
      </c>
      <c r="BY26" s="338">
        <f t="shared" si="56"/>
        <v>77391.70000000007</v>
      </c>
      <c r="BZ26" s="338">
        <f t="shared" si="19"/>
        <v>1678876.3199999998</v>
      </c>
      <c r="CA26" s="338">
        <f t="shared" si="57"/>
        <v>1678876.3199999998</v>
      </c>
      <c r="CB26" s="338">
        <f t="shared" si="58"/>
        <v>1672148.3199999998</v>
      </c>
      <c r="CC26" s="338">
        <f t="shared" si="22"/>
        <v>0</v>
      </c>
      <c r="CD26" s="95"/>
      <c r="CE26" s="95"/>
      <c r="CF26" s="186">
        <v>900003</v>
      </c>
      <c r="CG26" s="675" t="s">
        <v>290</v>
      </c>
      <c r="CH26" s="676">
        <f>SUM(CH13,CH25)</f>
        <v>0</v>
      </c>
      <c r="CI26" s="676">
        <f>SUM(CI13,CI25)</f>
        <v>0</v>
      </c>
      <c r="CJ26" s="677">
        <f>SUM(CJ13,CJ25)</f>
        <v>0</v>
      </c>
      <c r="CK26" s="95"/>
      <c r="CL26" s="95"/>
      <c r="CM26" s="186">
        <v>900003</v>
      </c>
      <c r="CN26" s="250" t="s">
        <v>290</v>
      </c>
      <c r="CO26" s="693">
        <f>SUM(CO14,CO25)</f>
        <v>0</v>
      </c>
      <c r="CP26" s="694">
        <f>SUM(CP14,CP25)</f>
        <v>0</v>
      </c>
      <c r="CQ26" s="67"/>
      <c r="CR26" s="67"/>
      <c r="CS26" s="17"/>
      <c r="CT26" s="17"/>
      <c r="CU26" s="17"/>
      <c r="CV26" s="95"/>
      <c r="CW26" s="95"/>
      <c r="CX26" s="95"/>
      <c r="CY26" s="27">
        <v>900007</v>
      </c>
      <c r="CZ26" s="626" t="s">
        <v>340</v>
      </c>
      <c r="DA26" s="337">
        <f t="shared" ref="DA26:DF26" si="59">SUM(DA27:DA30)</f>
        <v>0</v>
      </c>
      <c r="DB26" s="337">
        <f t="shared" si="59"/>
        <v>0</v>
      </c>
      <c r="DC26" s="337">
        <f t="shared" si="59"/>
        <v>0</v>
      </c>
      <c r="DD26" s="337">
        <f t="shared" si="59"/>
        <v>0</v>
      </c>
      <c r="DE26" s="337">
        <f t="shared" si="59"/>
        <v>0</v>
      </c>
      <c r="DF26" s="337">
        <f t="shared" si="59"/>
        <v>0</v>
      </c>
      <c r="DI26" s="611" t="s">
        <v>58</v>
      </c>
      <c r="DJ26" s="631" t="s">
        <v>979</v>
      </c>
    </row>
    <row r="27" spans="1:114">
      <c r="A27" s="95"/>
      <c r="B27" s="613">
        <v>2130</v>
      </c>
      <c r="C27" s="17" t="s">
        <v>40</v>
      </c>
      <c r="D27" s="112">
        <f ca="1">-SUMIF(BC[],MID(B27,1,3)&amp;"*",bc_2017)</f>
        <v>0</v>
      </c>
      <c r="E27" s="112">
        <f ca="1">-SUMIF(BC[],MID(B27,1,3)&amp;"*",bc_2016)</f>
        <v>0</v>
      </c>
      <c r="F27" s="112">
        <f ca="1">-SUMIF(BC[],MID(B27,1,3)&amp;"*",bc_2015)</f>
        <v>0</v>
      </c>
      <c r="G27" s="602"/>
      <c r="H27" s="95"/>
      <c r="I27" s="95"/>
      <c r="J27" s="613">
        <v>5130</v>
      </c>
      <c r="K27" s="18" t="s">
        <v>116</v>
      </c>
      <c r="L27" s="112">
        <f ca="1">SUMIF(BC[],MID(J27,1,3)&amp;"*",bc_2017)</f>
        <v>15652137.109999999</v>
      </c>
      <c r="M27" s="112">
        <f ca="1">SUMIF(BC[],MID(J27,1,3)&amp;"*",bc_2016)</f>
        <v>13893169.539999999</v>
      </c>
      <c r="N27" s="112">
        <f ca="1">SUMIF(BC[],MID(J27,1,3)&amp;"*",bc_2015)</f>
        <v>12226382.900000002</v>
      </c>
      <c r="O27" s="614"/>
      <c r="P27" s="95"/>
      <c r="Q27" s="95"/>
      <c r="R27" s="637">
        <v>900006</v>
      </c>
      <c r="S27" s="638" t="s">
        <v>169</v>
      </c>
      <c r="T27" s="356">
        <f ca="1">T17+T18</f>
        <v>27577726.700000003</v>
      </c>
      <c r="U27" s="356">
        <f ca="1">U17</f>
        <v>-953582.3699999922</v>
      </c>
      <c r="V27" s="356">
        <f ca="1">V17+V22</f>
        <v>2003511.0600000005</v>
      </c>
      <c r="W27" s="356">
        <f>W17+W18+W22</f>
        <v>0</v>
      </c>
      <c r="X27" s="356">
        <f ca="1">X17+X18+X22</f>
        <v>28627655.390000008</v>
      </c>
      <c r="Y27" s="95"/>
      <c r="Z27" s="95"/>
      <c r="AA27" s="613">
        <v>2130</v>
      </c>
      <c r="AB27" s="17" t="s">
        <v>40</v>
      </c>
      <c r="AC27" s="120">
        <f t="shared" ca="1" si="49"/>
        <v>0</v>
      </c>
      <c r="AD27" s="120">
        <f t="shared" ca="1" si="50"/>
        <v>0</v>
      </c>
      <c r="AE27" s="120">
        <f t="shared" ca="1" si="51"/>
        <v>0</v>
      </c>
      <c r="AF27" s="120">
        <f t="shared" ca="1" si="52"/>
        <v>0</v>
      </c>
      <c r="AG27" s="95"/>
      <c r="AH27" s="95"/>
      <c r="AI27" s="615">
        <v>5270</v>
      </c>
      <c r="AJ27" s="17" t="s">
        <v>123</v>
      </c>
      <c r="AK27" s="112">
        <f ca="1">SUMIF(BC[],MID(AI27,1,3)&amp;"*",bc_2017)</f>
        <v>0</v>
      </c>
      <c r="AL27" s="112">
        <f ca="1">SUMIF(BC[],MID(AI27,1,3)&amp;"*",bc_2016)</f>
        <v>0</v>
      </c>
      <c r="AM27" s="602"/>
      <c r="AN27" s="95"/>
      <c r="AO27" s="95"/>
      <c r="AP27" s="997" t="s">
        <v>362</v>
      </c>
      <c r="AQ27" s="997"/>
      <c r="AR27" s="997"/>
      <c r="AS27" s="997"/>
      <c r="AT27" s="997"/>
      <c r="AU27" s="997"/>
      <c r="AV27" s="997"/>
      <c r="AW27" s="95"/>
      <c r="AX27" s="95"/>
      <c r="AY27" s="71"/>
      <c r="AZ27" s="42" t="s">
        <v>85</v>
      </c>
      <c r="BA27" s="136"/>
      <c r="BB27" s="136"/>
      <c r="BC27" s="133">
        <v>0</v>
      </c>
      <c r="BD27" s="133">
        <v>0</v>
      </c>
      <c r="BE27" s="95"/>
      <c r="BF27" s="95"/>
      <c r="BG27" s="71"/>
      <c r="BH27" s="383"/>
      <c r="BI27" s="95"/>
      <c r="BJ27" s="95"/>
      <c r="BK27" s="1029"/>
      <c r="BL27" s="1029"/>
      <c r="BM27" s="1028"/>
      <c r="BN27" s="1028"/>
      <c r="BO27" s="1028"/>
      <c r="BP27" s="1028"/>
      <c r="BQ27" s="1028"/>
      <c r="BR27" s="1028"/>
      <c r="BS27" s="1028"/>
      <c r="BT27" s="95"/>
      <c r="BU27" s="95"/>
      <c r="BV27" s="623">
        <v>3300</v>
      </c>
      <c r="BW27" s="624" t="s">
        <v>263</v>
      </c>
      <c r="BX27" s="338">
        <f t="shared" si="55"/>
        <v>3691811.1199999996</v>
      </c>
      <c r="BY27" s="338">
        <f t="shared" si="56"/>
        <v>775668.73000000033</v>
      </c>
      <c r="BZ27" s="338">
        <f t="shared" si="19"/>
        <v>4467479.8499999996</v>
      </c>
      <c r="CA27" s="338">
        <f t="shared" si="57"/>
        <v>4467479.8499999996</v>
      </c>
      <c r="CB27" s="338">
        <f t="shared" si="58"/>
        <v>4426879.8499999996</v>
      </c>
      <c r="CC27" s="338">
        <f t="shared" si="22"/>
        <v>0</v>
      </c>
      <c r="CD27" s="95"/>
      <c r="CE27" s="95"/>
      <c r="CF27" s="95"/>
      <c r="CG27" s="95"/>
      <c r="CH27" s="95"/>
      <c r="CI27" s="95"/>
      <c r="CJ27" s="95"/>
      <c r="CK27" s="95"/>
      <c r="CL27" s="95"/>
      <c r="CM27" s="67"/>
      <c r="CN27" s="95"/>
      <c r="CO27" s="95"/>
      <c r="CP27" s="95"/>
      <c r="CQ27" s="95"/>
      <c r="CR27" s="95"/>
      <c r="CS27" s="17"/>
      <c r="CT27" s="17"/>
      <c r="CU27" s="17"/>
      <c r="CV27" s="95"/>
      <c r="CW27" s="95"/>
      <c r="CX27" s="95"/>
      <c r="CY27" s="347" t="s">
        <v>341</v>
      </c>
      <c r="CZ27" s="630" t="s">
        <v>121</v>
      </c>
      <c r="DA27" s="338">
        <f>SUMIF(PE_CP,MID(CY27,1,1)&amp;"*",PE_A)</f>
        <v>0</v>
      </c>
      <c r="DB27" s="338">
        <f>SUMIF(PE_CP,MID(CY27,1,1)&amp;"*",PE_M)</f>
        <v>0</v>
      </c>
      <c r="DC27" s="338">
        <f>+DA27+DB27</f>
        <v>0</v>
      </c>
      <c r="DD27" s="338">
        <f>SUMIF(PE_CP,MID(CY27,1,1)&amp;"*",PE_D)</f>
        <v>0</v>
      </c>
      <c r="DE27" s="338">
        <f>SUMIF(PE_CP,MID(CY27,1,1)&amp;"*",PE_P)</f>
        <v>0</v>
      </c>
      <c r="DF27" s="338">
        <f>+DC27-DD27</f>
        <v>0</v>
      </c>
      <c r="DI27" s="611" t="s">
        <v>63</v>
      </c>
      <c r="DJ27" s="631" t="s">
        <v>980</v>
      </c>
    </row>
    <row r="28" spans="1:114">
      <c r="A28" s="95"/>
      <c r="B28" s="613">
        <v>2140</v>
      </c>
      <c r="C28" s="17" t="s">
        <v>41</v>
      </c>
      <c r="D28" s="112">
        <f ca="1">-SUMIF(BC[],MID(B28,1,3)&amp;"*",bc_2017)</f>
        <v>0</v>
      </c>
      <c r="E28" s="112">
        <f ca="1">-SUMIF(BC[],MID(B28,1,3)&amp;"*",bc_2016)</f>
        <v>0</v>
      </c>
      <c r="F28" s="112">
        <f ca="1">-SUMIF(BC[],MID(B28,1,3)&amp;"*",bc_2015)</f>
        <v>0</v>
      </c>
      <c r="G28" s="602"/>
      <c r="H28" s="95"/>
      <c r="I28" s="95"/>
      <c r="J28" s="597">
        <v>5200</v>
      </c>
      <c r="K28" s="598" t="s">
        <v>207</v>
      </c>
      <c r="L28" s="111">
        <f ca="1">SUM(L29:L37)</f>
        <v>0</v>
      </c>
      <c r="M28" s="111">
        <f ca="1">SUM(M29:M37)</f>
        <v>0</v>
      </c>
      <c r="N28" s="111">
        <f ca="1">SUM(N29:N37)</f>
        <v>0</v>
      </c>
      <c r="O28" s="614"/>
      <c r="P28" s="95"/>
      <c r="Q28" s="95"/>
      <c r="R28" s="18"/>
      <c r="S28" s="18"/>
      <c r="T28" s="42"/>
      <c r="U28" s="42"/>
      <c r="V28" s="42"/>
      <c r="W28" s="42"/>
      <c r="X28" s="639">
        <f ca="1">+X17-E40</f>
        <v>0</v>
      </c>
      <c r="Y28" s="95"/>
      <c r="Z28" s="95"/>
      <c r="AA28" s="613">
        <v>2140</v>
      </c>
      <c r="AB28" s="17" t="s">
        <v>41</v>
      </c>
      <c r="AC28" s="120">
        <f t="shared" ca="1" si="49"/>
        <v>0</v>
      </c>
      <c r="AD28" s="120">
        <f t="shared" ca="1" si="50"/>
        <v>0</v>
      </c>
      <c r="AE28" s="120">
        <f t="shared" ca="1" si="51"/>
        <v>0</v>
      </c>
      <c r="AF28" s="120">
        <f t="shared" ca="1" si="52"/>
        <v>0</v>
      </c>
      <c r="AG28" s="95"/>
      <c r="AH28" s="95"/>
      <c r="AI28" s="615">
        <v>5280</v>
      </c>
      <c r="AJ28" s="17" t="s">
        <v>124</v>
      </c>
      <c r="AK28" s="112">
        <f ca="1">SUMIF(BC[],MID(AI28,1,3)&amp;"*",bc_2017)</f>
        <v>0</v>
      </c>
      <c r="AL28" s="112">
        <f ca="1">SUMIF(BC[],MID(AI28,1,3)&amp;"*",bc_2016)</f>
        <v>0</v>
      </c>
      <c r="AM28" s="602"/>
      <c r="AN28" s="95"/>
      <c r="AO28" s="95"/>
      <c r="AP28" s="17"/>
      <c r="AQ28" s="17"/>
      <c r="AR28" s="17"/>
      <c r="AS28" s="49"/>
      <c r="AT28" s="17"/>
      <c r="AU28" s="42"/>
      <c r="AV28" s="18"/>
      <c r="AW28" s="95"/>
      <c r="AX28" s="95"/>
      <c r="AY28" s="629">
        <v>900005</v>
      </c>
      <c r="AZ28" s="598" t="s">
        <v>91</v>
      </c>
      <c r="BA28" s="137"/>
      <c r="BB28" s="137"/>
      <c r="BC28" s="115">
        <f ca="1">BC19+BC23</f>
        <v>0</v>
      </c>
      <c r="BD28" s="115">
        <f ca="1">BD19+BD23</f>
        <v>0</v>
      </c>
      <c r="BE28" s="95"/>
      <c r="BF28" s="95"/>
      <c r="BG28" s="65" t="s">
        <v>1540</v>
      </c>
      <c r="BH28" s="383" t="s">
        <v>381</v>
      </c>
      <c r="BI28" s="95"/>
      <c r="BJ28" s="95"/>
      <c r="BK28" s="610"/>
      <c r="BL28" s="12" t="s">
        <v>235</v>
      </c>
      <c r="BM28" s="332">
        <f>+BM29+BM41+BM45</f>
        <v>80405840.510000005</v>
      </c>
      <c r="BN28" s="332">
        <f t="shared" ref="BN28:BS28" si="60">+BN29+BN41+BN45</f>
        <v>8457903.8100000005</v>
      </c>
      <c r="BO28" s="332">
        <f t="shared" si="60"/>
        <v>88863744.320000008</v>
      </c>
      <c r="BP28" s="332">
        <f t="shared" si="60"/>
        <v>88863739.419999987</v>
      </c>
      <c r="BQ28" s="332">
        <f t="shared" si="60"/>
        <v>88863739.419999987</v>
      </c>
      <c r="BR28" s="332">
        <f t="shared" si="60"/>
        <v>8457898.9099999797</v>
      </c>
      <c r="BS28" s="332">
        <f t="shared" si="60"/>
        <v>8457898.9099999797</v>
      </c>
      <c r="BT28" s="95"/>
      <c r="BU28" s="95"/>
      <c r="BV28" s="623">
        <v>3400</v>
      </c>
      <c r="BW28" s="624" t="s">
        <v>201</v>
      </c>
      <c r="BX28" s="338">
        <f t="shared" si="55"/>
        <v>168973.96</v>
      </c>
      <c r="BY28" s="338">
        <f t="shared" si="56"/>
        <v>21766.150000000005</v>
      </c>
      <c r="BZ28" s="338">
        <f t="shared" si="19"/>
        <v>190740.11</v>
      </c>
      <c r="CA28" s="338">
        <f t="shared" si="57"/>
        <v>190740.11</v>
      </c>
      <c r="CB28" s="338">
        <f t="shared" si="58"/>
        <v>190740.11</v>
      </c>
      <c r="CC28" s="338">
        <f t="shared" si="22"/>
        <v>0</v>
      </c>
      <c r="CD28" s="95"/>
      <c r="CE28" s="95"/>
      <c r="CF28" s="95"/>
      <c r="CK28" s="95"/>
      <c r="CL28" s="95"/>
      <c r="CM28" s="67"/>
      <c r="CN28" s="95"/>
      <c r="CO28" s="95"/>
      <c r="CP28" s="95"/>
      <c r="CQ28" s="95"/>
      <c r="CR28" s="95"/>
      <c r="CS28" s="17"/>
      <c r="CT28" s="17"/>
      <c r="CU28" s="17"/>
      <c r="CV28" s="95"/>
      <c r="CW28" s="95"/>
      <c r="CX28" s="95"/>
      <c r="CY28" s="347" t="s">
        <v>342</v>
      </c>
      <c r="CZ28" s="630" t="s">
        <v>343</v>
      </c>
      <c r="DA28" s="338">
        <f>SUMIF(PE_CP,MID(CY28,1,1)&amp;"*",PE_A)</f>
        <v>0</v>
      </c>
      <c r="DB28" s="338">
        <f>SUMIF(PE_CP,MID(CY28,1,1)&amp;"*",PE_M)</f>
        <v>0</v>
      </c>
      <c r="DC28" s="338">
        <f>+DA28+DB28</f>
        <v>0</v>
      </c>
      <c r="DD28" s="338">
        <f>SUMIF(PE_CP,MID(CY28,1,1)&amp;"*",PE_D)</f>
        <v>0</v>
      </c>
      <c r="DE28" s="338">
        <f>SUMIF(PE_CP,MID(CY28,1,1)&amp;"*",PE_P)</f>
        <v>0</v>
      </c>
      <c r="DF28" s="338">
        <f>+DC28-DD28</f>
        <v>0</v>
      </c>
      <c r="DI28" s="611" t="s">
        <v>146</v>
      </c>
      <c r="DJ28" s="631" t="s">
        <v>981</v>
      </c>
    </row>
    <row r="29" spans="1:114">
      <c r="A29" s="95"/>
      <c r="B29" s="613">
        <v>2150</v>
      </c>
      <c r="C29" s="17" t="s">
        <v>42</v>
      </c>
      <c r="D29" s="112">
        <f ca="1">-SUMIF(BC[],MID(B29,1,3)&amp;"*",bc_2017)</f>
        <v>18500</v>
      </c>
      <c r="E29" s="112">
        <f ca="1">-SUMIF(BC[],MID(B29,1,3)&amp;"*",bc_2016)</f>
        <v>18500</v>
      </c>
      <c r="F29" s="112">
        <f ca="1">-SUMIF(BC[],MID(B29,1,3)&amp;"*",bc_2015)</f>
        <v>20250</v>
      </c>
      <c r="G29" s="602"/>
      <c r="H29" s="95"/>
      <c r="I29" s="95"/>
      <c r="J29" s="613">
        <v>5210</v>
      </c>
      <c r="K29" s="18" t="s">
        <v>117</v>
      </c>
      <c r="L29" s="112">
        <f ca="1">SUMIF(BC[],MID(J29,1,3)&amp;"*",bc_2017)</f>
        <v>0</v>
      </c>
      <c r="M29" s="112">
        <f ca="1">SUMIF(BC[],MID(J29,1,3)&amp;"*",bc_2016)</f>
        <v>0</v>
      </c>
      <c r="N29" s="112">
        <f ca="1">SUMIF(BC[],MID(J29,1,3)&amp;"*",bc_2015)</f>
        <v>0</v>
      </c>
      <c r="O29" s="614"/>
      <c r="P29" s="95"/>
      <c r="Q29" s="95"/>
      <c r="R29" s="18"/>
      <c r="S29" s="18"/>
      <c r="T29" s="42"/>
      <c r="U29" s="42"/>
      <c r="V29" s="42"/>
      <c r="W29" s="42"/>
      <c r="X29" s="639">
        <f ca="1">+X27-D40</f>
        <v>0</v>
      </c>
      <c r="Y29" s="95"/>
      <c r="Z29" s="95"/>
      <c r="AA29" s="613">
        <v>2150</v>
      </c>
      <c r="AB29" s="17" t="s">
        <v>42</v>
      </c>
      <c r="AC29" s="120">
        <f t="shared" ca="1" si="49"/>
        <v>0</v>
      </c>
      <c r="AD29" s="120">
        <f t="shared" ca="1" si="50"/>
        <v>0</v>
      </c>
      <c r="AE29" s="120">
        <f t="shared" ca="1" si="51"/>
        <v>0</v>
      </c>
      <c r="AF29" s="120">
        <f t="shared" ca="1" si="52"/>
        <v>1750</v>
      </c>
      <c r="AG29" s="95"/>
      <c r="AH29" s="95"/>
      <c r="AI29" s="615">
        <v>5290</v>
      </c>
      <c r="AJ29" s="17" t="s">
        <v>125</v>
      </c>
      <c r="AK29" s="112">
        <f ca="1">SUMIF(BC[],MID(AI29,1,3)&amp;"*",bc_2017)</f>
        <v>0</v>
      </c>
      <c r="AL29" s="112">
        <f ca="1">SUMIF(BC[],MID(AI29,1,3)&amp;"*",bc_2016)</f>
        <v>0</v>
      </c>
      <c r="AM29" s="602"/>
      <c r="AN29" s="95"/>
      <c r="AO29" s="95"/>
      <c r="AP29" s="17"/>
      <c r="AQ29" s="17"/>
      <c r="AR29" s="17"/>
      <c r="AS29" s="49"/>
      <c r="AT29" s="17"/>
      <c r="AU29" s="42"/>
      <c r="AV29" s="18"/>
      <c r="AW29" s="95"/>
      <c r="AX29" s="95"/>
      <c r="AY29" s="629">
        <v>900006</v>
      </c>
      <c r="AZ29" s="598" t="s">
        <v>92</v>
      </c>
      <c r="BA29" s="137"/>
      <c r="BB29" s="137"/>
      <c r="BC29" s="115">
        <f ca="1">+BC30-BC6</f>
        <v>5457146.0099999998</v>
      </c>
      <c r="BD29" s="115">
        <f ca="1">+BD30-BD6</f>
        <v>7271230.9600000009</v>
      </c>
      <c r="BE29" s="95"/>
      <c r="BF29" s="95"/>
      <c r="BG29" s="71"/>
      <c r="BH29" s="383"/>
      <c r="BI29" s="95"/>
      <c r="BJ29" s="95"/>
      <c r="BK29" s="640"/>
      <c r="BL29" s="12" t="s">
        <v>246</v>
      </c>
      <c r="BM29" s="335">
        <f>SUM(BM30:BM33)+BM36+SUM(BM39:BM40)</f>
        <v>0</v>
      </c>
      <c r="BN29" s="335">
        <f t="shared" ref="BN29:BS29" si="61">SUM(BN30:BN33)+BN36+SUM(BN39:BN40)</f>
        <v>0</v>
      </c>
      <c r="BO29" s="335">
        <f t="shared" si="61"/>
        <v>0</v>
      </c>
      <c r="BP29" s="335">
        <f t="shared" si="61"/>
        <v>0</v>
      </c>
      <c r="BQ29" s="335">
        <f t="shared" si="61"/>
        <v>0</v>
      </c>
      <c r="BR29" s="335">
        <f t="shared" si="61"/>
        <v>0</v>
      </c>
      <c r="BS29" s="335">
        <f t="shared" si="61"/>
        <v>0</v>
      </c>
      <c r="BT29" s="95"/>
      <c r="BU29" s="95"/>
      <c r="BV29" s="623">
        <v>3500</v>
      </c>
      <c r="BW29" s="624" t="s">
        <v>202</v>
      </c>
      <c r="BX29" s="338">
        <f t="shared" si="55"/>
        <v>725418.49</v>
      </c>
      <c r="BY29" s="338">
        <f t="shared" si="56"/>
        <v>-258208.96000000011</v>
      </c>
      <c r="BZ29" s="338">
        <f t="shared" si="19"/>
        <v>467209.52999999991</v>
      </c>
      <c r="CA29" s="338">
        <f t="shared" si="57"/>
        <v>467209.53</v>
      </c>
      <c r="CB29" s="338">
        <f t="shared" si="58"/>
        <v>467209.53</v>
      </c>
      <c r="CC29" s="338">
        <f t="shared" si="22"/>
        <v>0</v>
      </c>
      <c r="CD29" s="95"/>
      <c r="CE29" s="95"/>
      <c r="CF29" s="95"/>
      <c r="CG29" s="989" t="s">
        <v>361</v>
      </c>
      <c r="CH29" s="989"/>
      <c r="CI29" s="989"/>
      <c r="CJ29" s="989"/>
      <c r="CK29" s="95"/>
      <c r="CL29" s="95"/>
      <c r="CM29" s="67"/>
      <c r="CN29" s="989" t="s">
        <v>361</v>
      </c>
      <c r="CO29" s="989"/>
      <c r="CP29" s="989"/>
      <c r="CQ29" s="58"/>
      <c r="CR29" s="58"/>
      <c r="CS29" s="95"/>
      <c r="CT29" s="95"/>
      <c r="CU29" s="95"/>
      <c r="CV29" s="95"/>
      <c r="CW29" s="95"/>
      <c r="CX29" s="95"/>
      <c r="CY29" s="347" t="s">
        <v>344</v>
      </c>
      <c r="CZ29" s="630" t="s">
        <v>345</v>
      </c>
      <c r="DA29" s="338">
        <f>SUMIF(PE_CP,MID(CY29,1,1)&amp;"*",PE_A)</f>
        <v>0</v>
      </c>
      <c r="DB29" s="338">
        <f>SUMIF(PE_CP,MID(CY29,1,1)&amp;"*",PE_M)</f>
        <v>0</v>
      </c>
      <c r="DC29" s="338">
        <f>+DA29+DB29</f>
        <v>0</v>
      </c>
      <c r="DD29" s="338">
        <f>SUMIF(PE_CP,MID(CY29,1,1)&amp;"*",PE_D)</f>
        <v>0</v>
      </c>
      <c r="DE29" s="338">
        <f>SUMIF(PE_CP,MID(CY29,1,1)&amp;"*",PE_P)</f>
        <v>0</v>
      </c>
      <c r="DF29" s="338">
        <f>+DC29-DD29</f>
        <v>0</v>
      </c>
      <c r="DI29" s="611" t="s">
        <v>132</v>
      </c>
      <c r="DJ29" s="631" t="s">
        <v>982</v>
      </c>
    </row>
    <row r="30" spans="1:114">
      <c r="A30" s="95"/>
      <c r="B30" s="613">
        <v>2160</v>
      </c>
      <c r="C30" s="17" t="s">
        <v>364</v>
      </c>
      <c r="D30" s="112">
        <f ca="1">-SUMIF(BC[],MID(B30,1,3)&amp;"*",bc_2017)</f>
        <v>0</v>
      </c>
      <c r="E30" s="112">
        <f ca="1">-SUMIF(BC[],MID(B30,1,3)&amp;"*",bc_2016)</f>
        <v>0</v>
      </c>
      <c r="F30" s="112">
        <f ca="1">-SUMIF(BC[],MID(B30,1,3)&amp;"*",bc_2015)</f>
        <v>0</v>
      </c>
      <c r="G30" s="602" t="s">
        <v>45</v>
      </c>
      <c r="H30" s="95"/>
      <c r="I30" s="95"/>
      <c r="J30" s="613">
        <v>5220</v>
      </c>
      <c r="K30" s="18" t="s">
        <v>118</v>
      </c>
      <c r="L30" s="112">
        <f ca="1">SUMIF(BC[],MID(J30,1,3)&amp;"*",bc_2017)</f>
        <v>0</v>
      </c>
      <c r="M30" s="112">
        <f ca="1">SUMIF(BC[],MID(J30,1,3)&amp;"*",bc_2016)</f>
        <v>0</v>
      </c>
      <c r="N30" s="112">
        <f ca="1">SUMIF(BC[],MID(J30,1,3)&amp;"*",bc_2015)</f>
        <v>0</v>
      </c>
      <c r="O30" s="614"/>
      <c r="P30" s="95"/>
      <c r="Q30" s="95"/>
      <c r="R30" s="997" t="s">
        <v>361</v>
      </c>
      <c r="S30" s="997"/>
      <c r="T30" s="997"/>
      <c r="U30" s="997"/>
      <c r="V30" s="997"/>
      <c r="W30" s="997"/>
      <c r="X30" s="997"/>
      <c r="Y30" s="95"/>
      <c r="Z30" s="95"/>
      <c r="AA30" s="613">
        <v>2160</v>
      </c>
      <c r="AB30" s="17" t="s">
        <v>44</v>
      </c>
      <c r="AC30" s="120">
        <f t="shared" ca="1" si="49"/>
        <v>0</v>
      </c>
      <c r="AD30" s="120">
        <f t="shared" ca="1" si="50"/>
        <v>0</v>
      </c>
      <c r="AE30" s="120">
        <f t="shared" ca="1" si="51"/>
        <v>0</v>
      </c>
      <c r="AF30" s="120">
        <f t="shared" ca="1" si="52"/>
        <v>0</v>
      </c>
      <c r="AG30" s="95"/>
      <c r="AH30" s="95"/>
      <c r="AI30" s="615">
        <v>5310</v>
      </c>
      <c r="AJ30" s="17" t="s">
        <v>126</v>
      </c>
      <c r="AK30" s="112">
        <f ca="1">SUMIF(BC[],MID(AI30,1,3)&amp;"*",bc_2017)</f>
        <v>0</v>
      </c>
      <c r="AL30" s="112">
        <f ca="1">SUMIF(BC[],MID(AI30,1,3)&amp;"*",bc_2016)</f>
        <v>0</v>
      </c>
      <c r="AM30" s="602"/>
      <c r="AN30" s="95"/>
      <c r="AO30" s="95"/>
      <c r="AP30" s="17"/>
      <c r="AQ30" s="17"/>
      <c r="AR30" s="17"/>
      <c r="AS30" s="49"/>
      <c r="AT30" s="17"/>
      <c r="AU30" s="42"/>
      <c r="AV30" s="18"/>
      <c r="AW30" s="95"/>
      <c r="AX30" s="95"/>
      <c r="AY30" s="634">
        <v>2000</v>
      </c>
      <c r="AZ30" s="638" t="s">
        <v>93</v>
      </c>
      <c r="BA30" s="138"/>
      <c r="BB30" s="138"/>
      <c r="BC30" s="113">
        <f ca="1">-SUMIF(BC[],"2*",bc_2016)</f>
        <v>5457146.0099999998</v>
      </c>
      <c r="BD30" s="113">
        <f ca="1">-SUMIF(BC[],"2*",bc_2017)</f>
        <v>7271230.9600000009</v>
      </c>
      <c r="BE30" s="95"/>
      <c r="BF30" s="95"/>
      <c r="BG30" s="71"/>
      <c r="BH30" s="383"/>
      <c r="BI30" s="95"/>
      <c r="BJ30" s="95"/>
      <c r="BK30" s="34">
        <v>10</v>
      </c>
      <c r="BL30" s="11" t="s">
        <v>102</v>
      </c>
      <c r="BM30" s="333">
        <f t="shared" ref="BM30:BM39" si="62">SUMIF(pi_cri,MID(BK30,1,1)&amp;"*",pi_e)</f>
        <v>0</v>
      </c>
      <c r="BN30" s="333">
        <f t="shared" ref="BN30:BN39" si="63">SUMIF(pi_cri,MID(BK30,1,1)&amp;"*",pi_m)</f>
        <v>0</v>
      </c>
      <c r="BO30" s="333">
        <f>+BM30+BN30</f>
        <v>0</v>
      </c>
      <c r="BP30" s="333">
        <f t="shared" ref="BP30:BP39" si="64">SUMIF(pi_cri,MID(BK30,1,1)&amp;"*",pi_d)</f>
        <v>0</v>
      </c>
      <c r="BQ30" s="333">
        <f t="shared" ref="BQ30:BQ39" si="65">SUMIF(pi_cri,MID(BK30,1,1)&amp;"*",pi_r)</f>
        <v>0</v>
      </c>
      <c r="BR30" s="333">
        <f>+BQ30-BM30</f>
        <v>0</v>
      </c>
      <c r="BS30" s="333">
        <f>IF(BR30&gt;0,BR30,0)</f>
        <v>0</v>
      </c>
      <c r="BT30" s="95"/>
      <c r="BU30" s="95"/>
      <c r="BV30" s="623">
        <v>3600</v>
      </c>
      <c r="BW30" s="624" t="s">
        <v>203</v>
      </c>
      <c r="BX30" s="338">
        <f t="shared" si="55"/>
        <v>5081858.47</v>
      </c>
      <c r="BY30" s="338">
        <f t="shared" si="56"/>
        <v>65755.799999999988</v>
      </c>
      <c r="BZ30" s="338">
        <f t="shared" si="19"/>
        <v>5147614.2699999996</v>
      </c>
      <c r="CA30" s="338">
        <f t="shared" si="57"/>
        <v>5147614.2700000005</v>
      </c>
      <c r="CB30" s="338">
        <f t="shared" si="58"/>
        <v>5147614.2700000005</v>
      </c>
      <c r="CC30" s="338">
        <f t="shared" si="22"/>
        <v>0</v>
      </c>
      <c r="CD30" s="95"/>
      <c r="CE30" s="95"/>
      <c r="CF30" s="95"/>
      <c r="CG30" s="989"/>
      <c r="CH30" s="989"/>
      <c r="CI30" s="989"/>
      <c r="CJ30" s="989"/>
      <c r="CK30" s="95"/>
      <c r="CL30" s="95"/>
      <c r="CM30" s="67"/>
      <c r="CN30" s="989"/>
      <c r="CO30" s="989"/>
      <c r="CP30" s="989"/>
      <c r="CQ30" s="67"/>
      <c r="CR30" s="67"/>
      <c r="CS30" s="95"/>
      <c r="CT30" s="95"/>
      <c r="CU30" s="95"/>
      <c r="CV30" s="95"/>
      <c r="CW30" s="95"/>
      <c r="CX30" s="95"/>
      <c r="CY30" s="347" t="s">
        <v>346</v>
      </c>
      <c r="CZ30" s="630" t="s">
        <v>347</v>
      </c>
      <c r="DA30" s="338">
        <f>SUMIF(PE_CP,MID(CY30,1,1)&amp;"*",PE_A)</f>
        <v>0</v>
      </c>
      <c r="DB30" s="338">
        <f>SUMIF(PE_CP,MID(CY30,1,1)&amp;"*",PE_M)</f>
        <v>0</v>
      </c>
      <c r="DC30" s="338">
        <f>+DA30+DB30</f>
        <v>0</v>
      </c>
      <c r="DD30" s="338">
        <f>SUMIF(PE_CP,MID(CY30,1,1)&amp;"*",PE_D)</f>
        <v>0</v>
      </c>
      <c r="DE30" s="338">
        <f>SUMIF(PE_CP,MID(CY30,1,1)&amp;"*",PE_P)</f>
        <v>0</v>
      </c>
      <c r="DF30" s="338">
        <f>+DC30-DD30</f>
        <v>0</v>
      </c>
      <c r="DI30" s="611" t="s">
        <v>983</v>
      </c>
      <c r="DJ30" s="631" t="s">
        <v>984</v>
      </c>
    </row>
    <row r="31" spans="1:114">
      <c r="A31" s="95"/>
      <c r="B31" s="613">
        <v>2170</v>
      </c>
      <c r="C31" s="17" t="s">
        <v>46</v>
      </c>
      <c r="D31" s="112">
        <f ca="1">-SUMIF(BC[],MID(B31,1,3)&amp;"*",bc_2017)</f>
        <v>0</v>
      </c>
      <c r="E31" s="112">
        <f ca="1">-SUMIF(BC[],MID(B31,1,3)&amp;"*",bc_2016)</f>
        <v>0</v>
      </c>
      <c r="F31" s="112">
        <f ca="1">-SUMIF(BC[],MID(B31,1,3)&amp;"*",bc_2015)</f>
        <v>0</v>
      </c>
      <c r="G31" s="602"/>
      <c r="H31" s="95"/>
      <c r="I31" s="95"/>
      <c r="J31" s="613">
        <v>5230</v>
      </c>
      <c r="K31" s="18" t="s">
        <v>119</v>
      </c>
      <c r="L31" s="112">
        <f ca="1">SUMIF(BC[],MID(J31,1,3)&amp;"*",bc_2017)</f>
        <v>0</v>
      </c>
      <c r="M31" s="112">
        <f ca="1">SUMIF(BC[],MID(J31,1,3)&amp;"*",bc_2016)</f>
        <v>0</v>
      </c>
      <c r="N31" s="112">
        <f ca="1">SUMIF(BC[],MID(J31,1,3)&amp;"*",bc_2015)</f>
        <v>0</v>
      </c>
      <c r="O31" s="614"/>
      <c r="P31" s="95"/>
      <c r="Q31" s="95"/>
      <c r="R31" s="17"/>
      <c r="S31" s="17"/>
      <c r="T31" s="17"/>
      <c r="U31" s="49"/>
      <c r="V31" s="17"/>
      <c r="W31" s="42"/>
      <c r="X31" s="42"/>
      <c r="Y31" s="95"/>
      <c r="Z31" s="95"/>
      <c r="AA31" s="613">
        <v>2170</v>
      </c>
      <c r="AB31" s="17" t="s">
        <v>46</v>
      </c>
      <c r="AC31" s="120">
        <f t="shared" ca="1" si="49"/>
        <v>0</v>
      </c>
      <c r="AD31" s="120">
        <f t="shared" ca="1" si="50"/>
        <v>0</v>
      </c>
      <c r="AE31" s="120">
        <f t="shared" ca="1" si="51"/>
        <v>0</v>
      </c>
      <c r="AF31" s="120">
        <f t="shared" ca="1" si="52"/>
        <v>0</v>
      </c>
      <c r="AG31" s="95"/>
      <c r="AH31" s="95"/>
      <c r="AI31" s="615">
        <v>5320</v>
      </c>
      <c r="AJ31" s="17" t="s">
        <v>59</v>
      </c>
      <c r="AK31" s="112">
        <f ca="1">SUMIF(BC[],MID(AI31,1,3)&amp;"*",bc_2017)</f>
        <v>0</v>
      </c>
      <c r="AL31" s="112">
        <f ca="1">SUMIF(BC[],MID(AI31,1,3)&amp;"*",bc_2016)</f>
        <v>0</v>
      </c>
      <c r="AM31" s="602"/>
      <c r="AN31" s="95"/>
      <c r="AO31" s="95"/>
      <c r="AP31" s="17"/>
      <c r="AQ31" s="17"/>
      <c r="AR31" s="17"/>
      <c r="AS31" s="49"/>
      <c r="AT31" s="17"/>
      <c r="AU31" s="42"/>
      <c r="AV31" s="18"/>
      <c r="AW31" s="95"/>
      <c r="AX31" s="95"/>
      <c r="AY31" s="18"/>
      <c r="AZ31" s="18"/>
      <c r="BA31" s="42"/>
      <c r="BB31" s="42"/>
      <c r="BC31" s="641">
        <f ca="1">+BC30-E23</f>
        <v>0</v>
      </c>
      <c r="BD31" s="641">
        <f ca="1">+BD30-D23</f>
        <v>0</v>
      </c>
      <c r="BE31" s="95"/>
      <c r="BF31" s="95"/>
      <c r="BG31" s="71"/>
      <c r="BH31" s="383"/>
      <c r="BI31" s="95"/>
      <c r="BJ31" s="95"/>
      <c r="BK31" s="34">
        <v>30</v>
      </c>
      <c r="BL31" s="11" t="s">
        <v>236</v>
      </c>
      <c r="BM31" s="333">
        <f t="shared" si="62"/>
        <v>0</v>
      </c>
      <c r="BN31" s="333">
        <f t="shared" si="63"/>
        <v>0</v>
      </c>
      <c r="BO31" s="333">
        <f t="shared" ref="BO31:BO46" si="66">+BM31+BN31</f>
        <v>0</v>
      </c>
      <c r="BP31" s="333">
        <f t="shared" si="64"/>
        <v>0</v>
      </c>
      <c r="BQ31" s="333">
        <f t="shared" si="65"/>
        <v>0</v>
      </c>
      <c r="BR31" s="333">
        <f t="shared" ref="BR31:BR46" si="67">+BQ31-BM31</f>
        <v>0</v>
      </c>
      <c r="BS31" s="333">
        <f t="shared" ref="BS31:BS46" si="68">IF(BR31&gt;0,BR31,0)</f>
        <v>0</v>
      </c>
      <c r="BT31" s="95"/>
      <c r="BU31" s="95"/>
      <c r="BV31" s="623">
        <v>3700</v>
      </c>
      <c r="BW31" s="624" t="s">
        <v>204</v>
      </c>
      <c r="BX31" s="338">
        <f t="shared" si="55"/>
        <v>510777.37999999995</v>
      </c>
      <c r="BY31" s="338">
        <f t="shared" si="56"/>
        <v>-337315.05999999994</v>
      </c>
      <c r="BZ31" s="338">
        <f t="shared" si="19"/>
        <v>173462.32</v>
      </c>
      <c r="CA31" s="338">
        <f t="shared" si="57"/>
        <v>173462.32</v>
      </c>
      <c r="CB31" s="338">
        <f t="shared" si="58"/>
        <v>172412.32</v>
      </c>
      <c r="CC31" s="338">
        <f t="shared" si="22"/>
        <v>0</v>
      </c>
      <c r="CD31" s="95"/>
      <c r="CE31" s="95"/>
      <c r="CF31" s="95"/>
      <c r="CG31" s="17"/>
      <c r="CH31" s="17"/>
      <c r="CI31" s="17"/>
      <c r="CJ31" s="95"/>
      <c r="CK31" s="95"/>
      <c r="CL31" s="95"/>
      <c r="CM31" s="67"/>
      <c r="CN31" s="67"/>
      <c r="CO31" s="90"/>
      <c r="CP31" s="90"/>
      <c r="CQ31" s="67"/>
      <c r="CR31" s="67"/>
      <c r="CS31" s="95"/>
      <c r="CT31" s="95"/>
      <c r="CU31" s="95"/>
      <c r="CV31" s="95"/>
      <c r="CW31" s="95"/>
      <c r="CX31" s="95"/>
      <c r="CY31" s="27">
        <v>900008</v>
      </c>
      <c r="CZ31" s="626" t="s">
        <v>348</v>
      </c>
      <c r="DA31" s="337">
        <f t="shared" ref="DA31:DF31" si="69">SUM(DA32)</f>
        <v>0</v>
      </c>
      <c r="DB31" s="337">
        <f t="shared" si="69"/>
        <v>0</v>
      </c>
      <c r="DC31" s="337">
        <f t="shared" si="69"/>
        <v>0</v>
      </c>
      <c r="DD31" s="337">
        <f t="shared" si="69"/>
        <v>0</v>
      </c>
      <c r="DE31" s="337">
        <f t="shared" si="69"/>
        <v>0</v>
      </c>
      <c r="DF31" s="337">
        <f t="shared" si="69"/>
        <v>0</v>
      </c>
      <c r="DI31" s="611"/>
      <c r="DJ31" s="631"/>
    </row>
    <row r="32" spans="1:114">
      <c r="A32" s="95"/>
      <c r="B32" s="613">
        <v>2190</v>
      </c>
      <c r="C32" s="17" t="s">
        <v>47</v>
      </c>
      <c r="D32" s="112">
        <f ca="1">-SUMIF(BC[],MID(B32,1,3)&amp;"*",bc_2017)</f>
        <v>0</v>
      </c>
      <c r="E32" s="112">
        <f ca="1">-SUMIF(BC[],MID(B32,1,3)&amp;"*",bc_2016)</f>
        <v>0</v>
      </c>
      <c r="F32" s="112">
        <f ca="1">-SUMIF(BC[],MID(B32,1,3)&amp;"*",bc_2015)</f>
        <v>0</v>
      </c>
      <c r="G32" s="602"/>
      <c r="H32" s="95"/>
      <c r="I32" s="95"/>
      <c r="J32" s="613">
        <v>5240</v>
      </c>
      <c r="K32" s="18" t="s">
        <v>120</v>
      </c>
      <c r="L32" s="112">
        <f ca="1">SUMIF(BC[],MID(J32,1,3)&amp;"*",bc_2017)</f>
        <v>0</v>
      </c>
      <c r="M32" s="112">
        <f ca="1">SUMIF(BC[],MID(J32,1,3)&amp;"*",bc_2016)</f>
        <v>0</v>
      </c>
      <c r="N32" s="112">
        <f ca="1">SUMIF(BC[],MID(J32,1,3)&amp;"*",bc_2015)</f>
        <v>0</v>
      </c>
      <c r="O32" s="614"/>
      <c r="P32" s="95"/>
      <c r="Q32" s="95"/>
      <c r="R32" s="17"/>
      <c r="S32" s="17"/>
      <c r="T32" s="17"/>
      <c r="U32" s="49"/>
      <c r="V32" s="17"/>
      <c r="W32" s="42"/>
      <c r="X32" s="42"/>
      <c r="Y32" s="95"/>
      <c r="Z32" s="95"/>
      <c r="AA32" s="613">
        <v>2190</v>
      </c>
      <c r="AB32" s="17" t="s">
        <v>47</v>
      </c>
      <c r="AC32" s="120">
        <f t="shared" ca="1" si="49"/>
        <v>0</v>
      </c>
      <c r="AD32" s="120">
        <f t="shared" ca="1" si="50"/>
        <v>0</v>
      </c>
      <c r="AE32" s="120">
        <f t="shared" ca="1" si="51"/>
        <v>0</v>
      </c>
      <c r="AF32" s="120">
        <f t="shared" ca="1" si="52"/>
        <v>0</v>
      </c>
      <c r="AG32" s="95"/>
      <c r="AH32" s="95"/>
      <c r="AI32" s="615">
        <v>5330</v>
      </c>
      <c r="AJ32" s="17" t="s">
        <v>127</v>
      </c>
      <c r="AK32" s="112">
        <f ca="1">SUMIF(BC[],MID(AI32,1,3)&amp;"*",bc_2017)</f>
        <v>0</v>
      </c>
      <c r="AL32" s="112">
        <f ca="1">SUMIF(BC[],MID(AI32,1,3)&amp;"*",bc_2016)</f>
        <v>0</v>
      </c>
      <c r="AM32" s="602"/>
      <c r="AN32" s="95"/>
      <c r="AO32" s="95"/>
      <c r="AP32" s="17"/>
      <c r="AQ32" s="17"/>
      <c r="AR32" s="17"/>
      <c r="AS32" s="49"/>
      <c r="AT32" s="17"/>
      <c r="AU32" s="42"/>
      <c r="AV32" s="18"/>
      <c r="AW32" s="95"/>
      <c r="AX32" s="95"/>
      <c r="AY32" s="18"/>
      <c r="AZ32" s="18"/>
      <c r="BA32" s="42"/>
      <c r="BB32" s="42"/>
      <c r="BC32" s="42"/>
      <c r="BD32" s="42"/>
      <c r="BE32" s="95"/>
      <c r="BF32" s="95"/>
      <c r="BG32" s="71"/>
      <c r="BH32" s="383"/>
      <c r="BI32" s="95"/>
      <c r="BJ32" s="95"/>
      <c r="BK32" s="34">
        <v>40</v>
      </c>
      <c r="BL32" s="11" t="s">
        <v>105</v>
      </c>
      <c r="BM32" s="333">
        <f t="shared" si="62"/>
        <v>0</v>
      </c>
      <c r="BN32" s="333">
        <f t="shared" si="63"/>
        <v>0</v>
      </c>
      <c r="BO32" s="333">
        <f t="shared" si="66"/>
        <v>0</v>
      </c>
      <c r="BP32" s="333">
        <f t="shared" si="64"/>
        <v>0</v>
      </c>
      <c r="BQ32" s="333">
        <f t="shared" si="65"/>
        <v>0</v>
      </c>
      <c r="BR32" s="333">
        <f t="shared" si="67"/>
        <v>0</v>
      </c>
      <c r="BS32" s="333">
        <f t="shared" si="68"/>
        <v>0</v>
      </c>
      <c r="BT32" s="95"/>
      <c r="BU32" s="95"/>
      <c r="BV32" s="623">
        <v>3800</v>
      </c>
      <c r="BW32" s="624" t="s">
        <v>205</v>
      </c>
      <c r="BX32" s="338">
        <f t="shared" si="55"/>
        <v>1398937.78</v>
      </c>
      <c r="BY32" s="338">
        <f t="shared" si="56"/>
        <v>-42651.470000000016</v>
      </c>
      <c r="BZ32" s="338">
        <f t="shared" si="19"/>
        <v>1356286.31</v>
      </c>
      <c r="CA32" s="338">
        <f t="shared" si="57"/>
        <v>1356286.31</v>
      </c>
      <c r="CB32" s="338">
        <f t="shared" si="58"/>
        <v>1356286.31</v>
      </c>
      <c r="CC32" s="338">
        <f t="shared" si="22"/>
        <v>0</v>
      </c>
      <c r="CD32" s="95"/>
      <c r="CE32" s="95"/>
      <c r="CF32" s="95"/>
      <c r="CG32" s="17"/>
      <c r="CH32" s="17"/>
      <c r="CI32" s="17"/>
      <c r="CJ32" s="95"/>
      <c r="CK32" s="95"/>
      <c r="CL32" s="95"/>
      <c r="CM32" s="67"/>
      <c r="CN32" s="67"/>
      <c r="CO32" s="90"/>
      <c r="CP32" s="90"/>
      <c r="CQ32" s="67"/>
      <c r="CR32" s="67"/>
      <c r="CS32" s="95"/>
      <c r="CT32" s="95"/>
      <c r="CU32" s="95"/>
      <c r="CV32" s="95"/>
      <c r="CW32" s="95"/>
      <c r="CX32" s="95"/>
      <c r="CY32" s="347" t="s">
        <v>349</v>
      </c>
      <c r="CZ32" s="630" t="s">
        <v>350</v>
      </c>
      <c r="DA32" s="338">
        <f>SUMIF(PE_CP,MID(CY32,1,1)&amp;"*",PE_A)</f>
        <v>0</v>
      </c>
      <c r="DB32" s="338">
        <f>SUMIF(PE_CP,MID(CY32,1,1)&amp;"*",PE_M)</f>
        <v>0</v>
      </c>
      <c r="DC32" s="338">
        <f>+DA32+DB32</f>
        <v>0</v>
      </c>
      <c r="DD32" s="338">
        <f>SUMIF(PE_CP,MID(CY32,1,1)&amp;"*",PE_D)</f>
        <v>0</v>
      </c>
      <c r="DE32" s="338">
        <f>SUMIF(PE_CP,MID(CY32,1,1)&amp;"*",PE_P)</f>
        <v>0</v>
      </c>
      <c r="DF32" s="338">
        <f>+DC32-DD32</f>
        <v>0</v>
      </c>
      <c r="DI32" s="611"/>
      <c r="DJ32" s="627"/>
    </row>
    <row r="33" spans="1:114">
      <c r="A33" s="95"/>
      <c r="B33" s="597">
        <v>2200</v>
      </c>
      <c r="C33" s="601" t="s">
        <v>48</v>
      </c>
      <c r="D33" s="111">
        <f ca="1">SUM(D34:D39)</f>
        <v>2233972.39</v>
      </c>
      <c r="E33" s="111">
        <f ca="1">SUM(E34:E39)</f>
        <v>2058413.68</v>
      </c>
      <c r="F33" s="111">
        <f ca="1">SUM(F34:F39)</f>
        <v>1987929.08</v>
      </c>
      <c r="G33" s="602"/>
      <c r="H33" s="95"/>
      <c r="I33" s="95"/>
      <c r="J33" s="613">
        <v>5250</v>
      </c>
      <c r="K33" s="18" t="s">
        <v>121</v>
      </c>
      <c r="L33" s="112">
        <f ca="1">SUMIF(BC[],MID(J33,1,3)&amp;"*",bc_2017)</f>
        <v>0</v>
      </c>
      <c r="M33" s="112">
        <f ca="1">SUMIF(BC[],MID(J33,1,3)&amp;"*",bc_2016)</f>
        <v>0</v>
      </c>
      <c r="N33" s="112">
        <f ca="1">SUMIF(BC[],MID(J33,1,3)&amp;"*",bc_2015)</f>
        <v>0</v>
      </c>
      <c r="O33" s="614"/>
      <c r="P33" s="95"/>
      <c r="Q33" s="95"/>
      <c r="R33" s="17"/>
      <c r="S33" s="17"/>
      <c r="T33" s="17"/>
      <c r="U33" s="49"/>
      <c r="V33" s="17"/>
      <c r="W33" s="42"/>
      <c r="X33" s="42"/>
      <c r="Y33" s="95"/>
      <c r="Z33" s="95"/>
      <c r="AA33" s="597">
        <v>2200</v>
      </c>
      <c r="AB33" s="601" t="s">
        <v>48</v>
      </c>
      <c r="AC33" s="121">
        <f t="shared" ca="1" si="49"/>
        <v>175558.7100000002</v>
      </c>
      <c r="AD33" s="121">
        <f t="shared" ca="1" si="50"/>
        <v>0</v>
      </c>
      <c r="AE33" s="121">
        <f t="shared" ca="1" si="51"/>
        <v>70484.59999999986</v>
      </c>
      <c r="AF33" s="121">
        <f t="shared" ca="1" si="52"/>
        <v>0</v>
      </c>
      <c r="AG33" s="95"/>
      <c r="AH33" s="95"/>
      <c r="AI33" s="27">
        <v>4500</v>
      </c>
      <c r="AJ33" s="18" t="s">
        <v>128</v>
      </c>
      <c r="AK33" s="112">
        <f ca="1">SUMIF(BC[],"54*",bc_2017)</f>
        <v>0</v>
      </c>
      <c r="AL33" s="112">
        <f ca="1">SUMIF(BC[],"54*",bc_2016)</f>
        <v>0</v>
      </c>
      <c r="AM33" s="602"/>
      <c r="AN33" s="95"/>
      <c r="AO33" s="95"/>
      <c r="AP33" s="17"/>
      <c r="AQ33" s="17"/>
      <c r="AR33" s="17"/>
      <c r="AS33" s="49"/>
      <c r="AT33" s="17"/>
      <c r="AU33" s="42"/>
      <c r="AV33" s="18"/>
      <c r="AW33" s="95"/>
      <c r="AX33" s="95"/>
      <c r="AY33" s="989" t="s">
        <v>361</v>
      </c>
      <c r="AZ33" s="989"/>
      <c r="BA33" s="989"/>
      <c r="BB33" s="989"/>
      <c r="BC33" s="989"/>
      <c r="BD33" s="989"/>
      <c r="BE33" s="95"/>
      <c r="BF33" s="95"/>
      <c r="BG33" s="88"/>
      <c r="BH33" s="384"/>
      <c r="BI33" s="95"/>
      <c r="BJ33" s="95"/>
      <c r="BK33" s="34">
        <v>50</v>
      </c>
      <c r="BL33" s="11" t="s">
        <v>237</v>
      </c>
      <c r="BM33" s="333">
        <f t="shared" si="62"/>
        <v>0</v>
      </c>
      <c r="BN33" s="333">
        <f t="shared" si="63"/>
        <v>0</v>
      </c>
      <c r="BO33" s="333">
        <f t="shared" si="66"/>
        <v>0</v>
      </c>
      <c r="BP33" s="333">
        <f t="shared" si="64"/>
        <v>0</v>
      </c>
      <c r="BQ33" s="333">
        <f t="shared" si="65"/>
        <v>0</v>
      </c>
      <c r="BR33" s="333">
        <f t="shared" si="67"/>
        <v>0</v>
      </c>
      <c r="BS33" s="333">
        <f t="shared" si="68"/>
        <v>0</v>
      </c>
      <c r="BT33" s="95"/>
      <c r="BU33" s="95"/>
      <c r="BV33" s="623">
        <v>3900</v>
      </c>
      <c r="BW33" s="624" t="s">
        <v>206</v>
      </c>
      <c r="BX33" s="338">
        <f t="shared" si="55"/>
        <v>1031681.38</v>
      </c>
      <c r="BY33" s="338">
        <f t="shared" si="56"/>
        <v>141333.20000000001</v>
      </c>
      <c r="BZ33" s="338">
        <f t="shared" si="19"/>
        <v>1173014.58</v>
      </c>
      <c r="CA33" s="338">
        <f t="shared" si="57"/>
        <v>1173014.58</v>
      </c>
      <c r="CB33" s="338">
        <f t="shared" si="58"/>
        <v>1173014.58</v>
      </c>
      <c r="CC33" s="338">
        <f t="shared" si="22"/>
        <v>0</v>
      </c>
      <c r="CD33" s="95"/>
      <c r="CE33" s="95"/>
      <c r="CF33" s="95"/>
      <c r="CG33" s="17"/>
      <c r="CH33" s="17"/>
      <c r="CI33" s="17"/>
      <c r="CJ33" s="95"/>
      <c r="CK33" s="95"/>
      <c r="CL33" s="95"/>
      <c r="CM33" s="67"/>
      <c r="CN33" s="67"/>
      <c r="CO33" s="90"/>
      <c r="CP33" s="90"/>
      <c r="CQ33" s="67"/>
      <c r="CR33" s="67"/>
      <c r="CS33" s="95"/>
      <c r="CT33" s="95"/>
      <c r="CU33" s="95"/>
      <c r="CV33" s="95"/>
      <c r="CW33" s="95"/>
      <c r="CX33" s="95"/>
      <c r="CY33" s="347" t="s">
        <v>351</v>
      </c>
      <c r="CZ33" s="624" t="s">
        <v>352</v>
      </c>
      <c r="DA33" s="338">
        <f>SUMIF(PE_CP,MID(CY33,1,1)&amp;"*",PE_A)</f>
        <v>0</v>
      </c>
      <c r="DB33" s="338">
        <f>SUMIF(PE_CP,MID(CY33,1,1)&amp;"*",PE_M)</f>
        <v>0</v>
      </c>
      <c r="DC33" s="338">
        <f>+DA33+DB33</f>
        <v>0</v>
      </c>
      <c r="DD33" s="338">
        <f>SUMIF(PE_CP,MID(CY33,1,1)&amp;"*",PE_D)</f>
        <v>0</v>
      </c>
      <c r="DE33" s="338">
        <f>SUMIF(PE_CP,MID(CY33,1,1)&amp;"*",PE_P)</f>
        <v>0</v>
      </c>
      <c r="DF33" s="338">
        <f>+DC33-DD33</f>
        <v>0</v>
      </c>
      <c r="DI33" s="611" t="s">
        <v>985</v>
      </c>
      <c r="DJ33" s="631" t="s">
        <v>986</v>
      </c>
    </row>
    <row r="34" spans="1:114">
      <c r="A34" s="95"/>
      <c r="B34" s="613">
        <v>2210</v>
      </c>
      <c r="C34" s="17" t="s">
        <v>49</v>
      </c>
      <c r="D34" s="112">
        <f ca="1">-SUMIF(BC[],MID(B34,1,3)&amp;"*",bc_2017)</f>
        <v>0</v>
      </c>
      <c r="E34" s="112">
        <f ca="1">-SUMIF(BC[],MID(B34,1,3)&amp;"*",bc_2016)</f>
        <v>0</v>
      </c>
      <c r="F34" s="112">
        <f ca="1">-SUMIF(BC[],MID(B34,1,3)&amp;"*",bc_2015)</f>
        <v>0</v>
      </c>
      <c r="G34" s="602"/>
      <c r="H34" s="95"/>
      <c r="I34" s="95"/>
      <c r="J34" s="613">
        <v>5260</v>
      </c>
      <c r="K34" s="18" t="s">
        <v>122</v>
      </c>
      <c r="L34" s="112">
        <f ca="1">SUMIF(BC[],MID(J34,1,3)&amp;"*",bc_2017)</f>
        <v>0</v>
      </c>
      <c r="M34" s="112">
        <f ca="1">SUMIF(BC[],MID(J34,1,3)&amp;"*",bc_2016)</f>
        <v>0</v>
      </c>
      <c r="N34" s="112">
        <f ca="1">SUMIF(BC[],MID(J34,1,3)&amp;"*",bc_2015)</f>
        <v>0</v>
      </c>
      <c r="O34" s="614"/>
      <c r="P34" s="95"/>
      <c r="Q34" s="95"/>
      <c r="R34" s="17"/>
      <c r="S34" s="17"/>
      <c r="T34" s="17"/>
      <c r="U34" s="49"/>
      <c r="V34" s="17"/>
      <c r="W34" s="42"/>
      <c r="X34" s="42"/>
      <c r="Y34" s="95"/>
      <c r="Z34" s="95"/>
      <c r="AA34" s="613">
        <v>2210</v>
      </c>
      <c r="AB34" s="17" t="s">
        <v>49</v>
      </c>
      <c r="AC34" s="120">
        <f t="shared" ca="1" si="49"/>
        <v>0</v>
      </c>
      <c r="AD34" s="120">
        <f t="shared" ca="1" si="50"/>
        <v>0</v>
      </c>
      <c r="AE34" s="120">
        <f t="shared" ca="1" si="51"/>
        <v>0</v>
      </c>
      <c r="AF34" s="120">
        <f t="shared" ca="1" si="52"/>
        <v>0</v>
      </c>
      <c r="AG34" s="95"/>
      <c r="AH34" s="95"/>
      <c r="AI34" s="27">
        <v>900003</v>
      </c>
      <c r="AJ34" s="598" t="s">
        <v>129</v>
      </c>
      <c r="AK34" s="128">
        <f ca="1">+AK5-AK17</f>
        <v>2925534.3100000024</v>
      </c>
      <c r="AL34" s="128">
        <f ca="1">+AL5-AL17</f>
        <v>905941.17000000179</v>
      </c>
      <c r="AM34" s="602"/>
      <c r="AN34" s="95"/>
      <c r="AO34" s="95"/>
      <c r="AP34" s="17"/>
      <c r="AQ34" s="17"/>
      <c r="AR34" s="17"/>
      <c r="AS34" s="49"/>
      <c r="AT34" s="17"/>
      <c r="AU34" s="42"/>
      <c r="AV34" s="18"/>
      <c r="AW34" s="95"/>
      <c r="AX34" s="95"/>
      <c r="AY34" s="989"/>
      <c r="AZ34" s="989"/>
      <c r="BA34" s="989"/>
      <c r="BB34" s="989"/>
      <c r="BC34" s="989"/>
      <c r="BD34" s="989"/>
      <c r="BE34" s="95"/>
      <c r="BF34" s="95"/>
      <c r="BG34" s="17"/>
      <c r="BH34" s="17"/>
      <c r="BI34" s="95"/>
      <c r="BJ34" s="95"/>
      <c r="BK34" s="34">
        <v>51</v>
      </c>
      <c r="BL34" s="3" t="s">
        <v>238</v>
      </c>
      <c r="BM34" s="333">
        <f t="shared" si="62"/>
        <v>0</v>
      </c>
      <c r="BN34" s="333">
        <f t="shared" si="63"/>
        <v>0</v>
      </c>
      <c r="BO34" s="333">
        <f t="shared" si="66"/>
        <v>0</v>
      </c>
      <c r="BP34" s="333">
        <f t="shared" si="64"/>
        <v>0</v>
      </c>
      <c r="BQ34" s="333">
        <f t="shared" si="65"/>
        <v>0</v>
      </c>
      <c r="BR34" s="333">
        <f t="shared" si="67"/>
        <v>0</v>
      </c>
      <c r="BS34" s="333">
        <f t="shared" si="68"/>
        <v>0</v>
      </c>
      <c r="BT34" s="95"/>
      <c r="BU34" s="95"/>
      <c r="BV34" s="619">
        <v>4000</v>
      </c>
      <c r="BW34" s="620" t="s">
        <v>207</v>
      </c>
      <c r="BX34" s="337">
        <f t="shared" ref="BX34:CC34" si="70">SUM(BX35:BX43)</f>
        <v>0</v>
      </c>
      <c r="BY34" s="337">
        <f t="shared" si="70"/>
        <v>0</v>
      </c>
      <c r="BZ34" s="337">
        <f t="shared" si="70"/>
        <v>0</v>
      </c>
      <c r="CA34" s="337">
        <f t="shared" si="70"/>
        <v>0</v>
      </c>
      <c r="CB34" s="337">
        <f t="shared" si="70"/>
        <v>0</v>
      </c>
      <c r="CC34" s="337">
        <f t="shared" si="70"/>
        <v>0</v>
      </c>
      <c r="CD34" s="95"/>
      <c r="CE34" s="95"/>
      <c r="CF34" s="95"/>
      <c r="CG34" s="17"/>
      <c r="CH34" s="17"/>
      <c r="CI34" s="17"/>
      <c r="CJ34" s="95"/>
      <c r="CK34" s="95"/>
      <c r="CL34" s="95"/>
      <c r="CM34" s="67"/>
      <c r="CN34" s="67"/>
      <c r="CO34" s="90"/>
      <c r="CP34" s="90"/>
      <c r="CQ34" s="67"/>
      <c r="CR34" s="67"/>
      <c r="CS34" s="95"/>
      <c r="CT34" s="95"/>
      <c r="CU34" s="95"/>
      <c r="CV34" s="95"/>
      <c r="CW34" s="95"/>
      <c r="CX34" s="95"/>
      <c r="CY34" s="347" t="s">
        <v>353</v>
      </c>
      <c r="CZ34" s="624" t="s">
        <v>354</v>
      </c>
      <c r="DA34" s="338">
        <f>SUMIF(PE_CP,MID(CY34,1,1)&amp;"*",PE_A)</f>
        <v>0</v>
      </c>
      <c r="DB34" s="338">
        <f>SUMIF(PE_CP,MID(CY34,1,1)&amp;"*",PE_M)</f>
        <v>0</v>
      </c>
      <c r="DC34" s="338">
        <f>+DA34+DB34</f>
        <v>0</v>
      </c>
      <c r="DD34" s="338">
        <f>SUMIF(PE_CP,MID(CY34,1,1)&amp;"*",PE_D)</f>
        <v>0</v>
      </c>
      <c r="DE34" s="338">
        <f>SUMIF(PE_CP,MID(CY34,1,1)&amp;"*",PE_P)</f>
        <v>0</v>
      </c>
      <c r="DF34" s="338">
        <f>+DC34-DD34</f>
        <v>0</v>
      </c>
      <c r="DI34" s="611" t="s">
        <v>987</v>
      </c>
      <c r="DJ34" s="631" t="s">
        <v>988</v>
      </c>
    </row>
    <row r="35" spans="1:114">
      <c r="A35" s="95"/>
      <c r="B35" s="613">
        <v>2220</v>
      </c>
      <c r="C35" s="17" t="s">
        <v>50</v>
      </c>
      <c r="D35" s="112">
        <f ca="1">-SUMIF(BC[],MID(B35,1,3)&amp;"*",bc_2017)</f>
        <v>0</v>
      </c>
      <c r="E35" s="112">
        <f ca="1">-SUMIF(BC[],MID(B35,1,3)&amp;"*",bc_2016)</f>
        <v>0</v>
      </c>
      <c r="F35" s="112">
        <f ca="1">-SUMIF(BC[],MID(B35,1,3)&amp;"*",bc_2015)</f>
        <v>0</v>
      </c>
      <c r="G35" s="602"/>
      <c r="H35" s="95"/>
      <c r="I35" s="95"/>
      <c r="J35" s="613">
        <v>5270</v>
      </c>
      <c r="K35" s="18" t="s">
        <v>123</v>
      </c>
      <c r="L35" s="112">
        <f ca="1">SUMIF(BC[],MID(J35,1,3)&amp;"*",bc_2017)</f>
        <v>0</v>
      </c>
      <c r="M35" s="112">
        <f ca="1">SUMIF(BC[],MID(J35,1,3)&amp;"*",bc_2016)</f>
        <v>0</v>
      </c>
      <c r="N35" s="112">
        <f ca="1">SUMIF(BC[],MID(J35,1,3)&amp;"*",bc_2015)</f>
        <v>0</v>
      </c>
      <c r="O35" s="614"/>
      <c r="P35" s="95"/>
      <c r="Q35" s="95"/>
      <c r="R35" s="17"/>
      <c r="S35" s="17"/>
      <c r="T35" s="17"/>
      <c r="U35" s="49"/>
      <c r="V35" s="17"/>
      <c r="W35" s="42"/>
      <c r="X35" s="42"/>
      <c r="Y35" s="95"/>
      <c r="Z35" s="95"/>
      <c r="AA35" s="613">
        <v>2220</v>
      </c>
      <c r="AB35" s="17" t="s">
        <v>50</v>
      </c>
      <c r="AC35" s="120">
        <f t="shared" ca="1" si="49"/>
        <v>0</v>
      </c>
      <c r="AD35" s="120">
        <f t="shared" ca="1" si="50"/>
        <v>0</v>
      </c>
      <c r="AE35" s="120">
        <f t="shared" ca="1" si="51"/>
        <v>0</v>
      </c>
      <c r="AF35" s="120">
        <f t="shared" ca="1" si="52"/>
        <v>0</v>
      </c>
      <c r="AG35" s="95"/>
      <c r="AH35" s="95"/>
      <c r="AI35" s="615"/>
      <c r="AJ35" s="598" t="s">
        <v>130</v>
      </c>
      <c r="AK35" s="147">
        <f ca="1">+AK44</f>
        <v>-1300144.0899999943</v>
      </c>
      <c r="AL35" s="147">
        <f ca="1">+AL44</f>
        <v>900771.74999999627</v>
      </c>
      <c r="AM35" s="602"/>
      <c r="AN35" s="95"/>
      <c r="AO35" s="95"/>
      <c r="AP35" s="17"/>
      <c r="AQ35" s="17"/>
      <c r="AR35" s="17"/>
      <c r="AS35" s="49"/>
      <c r="AT35" s="17"/>
      <c r="AU35" s="42"/>
      <c r="AV35" s="18"/>
      <c r="AW35" s="95"/>
      <c r="AX35" s="95"/>
      <c r="AY35" s="17"/>
      <c r="AZ35" s="17"/>
      <c r="BA35" s="17"/>
      <c r="BB35" s="49"/>
      <c r="BC35" s="17"/>
      <c r="BD35" s="42"/>
      <c r="BE35" s="95"/>
      <c r="BF35" s="95"/>
      <c r="BG35" s="17"/>
      <c r="BH35" s="17"/>
      <c r="BI35" s="95"/>
      <c r="BJ35" s="95"/>
      <c r="BK35" s="34">
        <v>52</v>
      </c>
      <c r="BL35" s="3" t="s">
        <v>239</v>
      </c>
      <c r="BM35" s="333">
        <f t="shared" si="62"/>
        <v>0</v>
      </c>
      <c r="BN35" s="333">
        <f t="shared" si="63"/>
        <v>0</v>
      </c>
      <c r="BO35" s="333">
        <f t="shared" si="66"/>
        <v>0</v>
      </c>
      <c r="BP35" s="333">
        <f t="shared" si="64"/>
        <v>0</v>
      </c>
      <c r="BQ35" s="333">
        <f t="shared" si="65"/>
        <v>0</v>
      </c>
      <c r="BR35" s="333">
        <f t="shared" si="67"/>
        <v>0</v>
      </c>
      <c r="BS35" s="333">
        <f t="shared" si="68"/>
        <v>0</v>
      </c>
      <c r="BT35" s="95"/>
      <c r="BU35" s="95"/>
      <c r="BV35" s="623">
        <v>4100</v>
      </c>
      <c r="BW35" s="624" t="s">
        <v>117</v>
      </c>
      <c r="BX35" s="338">
        <f t="shared" ref="BX35:BX43" si="71">SUMIF(PE_COG,MID(BV35,1,2)&amp;"*",PE_A)</f>
        <v>0</v>
      </c>
      <c r="BY35" s="338">
        <f t="shared" ref="BY35:BY43" si="72">SUMIF(PE_COG,MID(BV35,1,2)&amp;"*",PE_M)</f>
        <v>0</v>
      </c>
      <c r="BZ35" s="338">
        <f t="shared" si="19"/>
        <v>0</v>
      </c>
      <c r="CA35" s="338">
        <f t="shared" ref="CA35:CA43" si="73">SUMIF(PE_COG,MID(BV35,1,2)&amp;"*",PE_D)</f>
        <v>0</v>
      </c>
      <c r="CB35" s="338">
        <f t="shared" ref="CB35:CB43" si="74">SUMIF(PE_COG,MID(BV35,1,2)&amp;"*",PE_P)</f>
        <v>0</v>
      </c>
      <c r="CC35" s="338">
        <f t="shared" si="22"/>
        <v>0</v>
      </c>
      <c r="CD35" s="95"/>
      <c r="CE35" s="95"/>
      <c r="CF35" s="95"/>
      <c r="CG35" s="17"/>
      <c r="CH35" s="17"/>
      <c r="CI35" s="17"/>
      <c r="CJ35" s="95"/>
      <c r="CK35" s="95"/>
      <c r="CL35" s="95"/>
      <c r="CM35" s="67"/>
      <c r="CN35" s="67"/>
      <c r="CO35" s="90"/>
      <c r="CP35" s="90"/>
      <c r="CQ35" s="67"/>
      <c r="CR35" s="67"/>
      <c r="CS35" s="95"/>
      <c r="CT35" s="95"/>
      <c r="CU35" s="95"/>
      <c r="CV35" s="95"/>
      <c r="CW35" s="95"/>
      <c r="CX35" s="95"/>
      <c r="CY35" s="642" t="s">
        <v>355</v>
      </c>
      <c r="CZ35" s="643" t="s">
        <v>356</v>
      </c>
      <c r="DA35" s="339">
        <f>SUMIF(PE_CP,MID(CY35,1,1)&amp;"*",PE_A)</f>
        <v>0</v>
      </c>
      <c r="DB35" s="339">
        <f>SUMIF(PE_CP,MID(CY35,1,1)&amp;"*",PE_M)</f>
        <v>0</v>
      </c>
      <c r="DC35" s="339">
        <f>+DA35+DB35</f>
        <v>0</v>
      </c>
      <c r="DD35" s="339">
        <f>SUMIF(PE_CP,MID(CY35,1,1)&amp;"*",PE_D)</f>
        <v>0</v>
      </c>
      <c r="DE35" s="339">
        <f>SUMIF(PE_CP,MID(CY35,1,1)&amp;"*",PE_P)</f>
        <v>0</v>
      </c>
      <c r="DF35" s="339">
        <f>+DC35-DD35</f>
        <v>0</v>
      </c>
      <c r="DI35" s="611"/>
      <c r="DJ35" s="631"/>
    </row>
    <row r="36" spans="1:114">
      <c r="A36" s="95"/>
      <c r="B36" s="613">
        <v>2230</v>
      </c>
      <c r="C36" s="17" t="s">
        <v>51</v>
      </c>
      <c r="D36" s="112">
        <f ca="1">-SUMIF(BC[],MID(B36,1,3)&amp;"*",bc_2017)</f>
        <v>0</v>
      </c>
      <c r="E36" s="112">
        <f ca="1">-SUMIF(BC[],MID(B36,1,3)&amp;"*",bc_2016)</f>
        <v>0</v>
      </c>
      <c r="F36" s="112">
        <f ca="1">-SUMIF(BC[],MID(B36,1,3)&amp;"*",bc_2015)</f>
        <v>0</v>
      </c>
      <c r="G36" s="602" t="s">
        <v>52</v>
      </c>
      <c r="H36" s="95"/>
      <c r="I36" s="95"/>
      <c r="J36" s="613">
        <v>5280</v>
      </c>
      <c r="K36" s="18" t="s">
        <v>124</v>
      </c>
      <c r="L36" s="112">
        <f ca="1">SUMIF(BC[],MID(J36,1,3)&amp;"*",bc_2017)</f>
        <v>0</v>
      </c>
      <c r="M36" s="112">
        <f ca="1">SUMIF(BC[],MID(J36,1,3)&amp;"*",bc_2016)</f>
        <v>0</v>
      </c>
      <c r="N36" s="112">
        <f ca="1">SUMIF(BC[],MID(J36,1,3)&amp;"*",bc_2015)</f>
        <v>0</v>
      </c>
      <c r="O36" s="614"/>
      <c r="P36" s="95"/>
      <c r="Q36" s="95"/>
      <c r="R36" s="17"/>
      <c r="S36" s="17"/>
      <c r="T36" s="17"/>
      <c r="U36" s="49"/>
      <c r="V36" s="17"/>
      <c r="W36" s="42"/>
      <c r="X36" s="42"/>
      <c r="Y36" s="95"/>
      <c r="Z36" s="95"/>
      <c r="AA36" s="613">
        <v>2230</v>
      </c>
      <c r="AB36" s="17" t="s">
        <v>51</v>
      </c>
      <c r="AC36" s="120">
        <f t="shared" ca="1" si="49"/>
        <v>0</v>
      </c>
      <c r="AD36" s="120">
        <f t="shared" ca="1" si="50"/>
        <v>0</v>
      </c>
      <c r="AE36" s="120">
        <f t="shared" ca="1" si="51"/>
        <v>0</v>
      </c>
      <c r="AF36" s="120">
        <f t="shared" ca="1" si="52"/>
        <v>0</v>
      </c>
      <c r="AG36" s="95"/>
      <c r="AH36" s="95"/>
      <c r="AI36" s="27">
        <v>900004</v>
      </c>
      <c r="AJ36" s="598" t="s">
        <v>101</v>
      </c>
      <c r="AK36" s="128">
        <f ca="1">SUM(AK37:AK39)</f>
        <v>853461.14000000432</v>
      </c>
      <c r="AL36" s="128">
        <f ca="1">SUM(AL37:AL39)</f>
        <v>3453823.5599999987</v>
      </c>
      <c r="AM36" s="602"/>
      <c r="AN36" s="95"/>
      <c r="AO36" s="95"/>
      <c r="AP36" s="17"/>
      <c r="AQ36" s="17"/>
      <c r="AR36" s="17"/>
      <c r="AS36" s="49"/>
      <c r="AT36" s="17"/>
      <c r="AU36" s="42"/>
      <c r="AV36" s="18"/>
      <c r="AW36" s="95"/>
      <c r="AX36" s="95"/>
      <c r="AY36" s="17"/>
      <c r="AZ36" s="17"/>
      <c r="BA36" s="17"/>
      <c r="BB36" s="49"/>
      <c r="BC36" s="17"/>
      <c r="BD36" s="42"/>
      <c r="BE36" s="95"/>
      <c r="BF36" s="95"/>
      <c r="BG36" s="1033" t="s">
        <v>361</v>
      </c>
      <c r="BH36" s="1033"/>
      <c r="BI36" s="95"/>
      <c r="BJ36" s="95"/>
      <c r="BK36" s="34">
        <v>60</v>
      </c>
      <c r="BL36" s="11" t="s">
        <v>240</v>
      </c>
      <c r="BM36" s="333">
        <f t="shared" si="62"/>
        <v>0</v>
      </c>
      <c r="BN36" s="333">
        <f t="shared" si="63"/>
        <v>0</v>
      </c>
      <c r="BO36" s="333">
        <f t="shared" si="66"/>
        <v>0</v>
      </c>
      <c r="BP36" s="333">
        <f t="shared" si="64"/>
        <v>0</v>
      </c>
      <c r="BQ36" s="333">
        <f t="shared" si="65"/>
        <v>0</v>
      </c>
      <c r="BR36" s="333">
        <f t="shared" si="67"/>
        <v>0</v>
      </c>
      <c r="BS36" s="333">
        <f t="shared" si="68"/>
        <v>0</v>
      </c>
      <c r="BT36" s="95"/>
      <c r="BU36" s="95"/>
      <c r="BV36" s="623">
        <v>4200</v>
      </c>
      <c r="BW36" s="624" t="s">
        <v>118</v>
      </c>
      <c r="BX36" s="338">
        <f t="shared" si="71"/>
        <v>0</v>
      </c>
      <c r="BY36" s="338">
        <f t="shared" si="72"/>
        <v>0</v>
      </c>
      <c r="BZ36" s="338">
        <f t="shared" si="19"/>
        <v>0</v>
      </c>
      <c r="CA36" s="338">
        <f t="shared" si="73"/>
        <v>0</v>
      </c>
      <c r="CB36" s="338">
        <f t="shared" si="74"/>
        <v>0</v>
      </c>
      <c r="CC36" s="338">
        <f t="shared" si="22"/>
        <v>0</v>
      </c>
      <c r="CD36" s="95"/>
      <c r="CE36" s="95"/>
      <c r="CF36" s="95"/>
      <c r="CG36" s="17"/>
      <c r="CH36" s="17"/>
      <c r="CI36" s="17"/>
      <c r="CJ36" s="95"/>
      <c r="CK36" s="95"/>
      <c r="CL36" s="95"/>
      <c r="CM36" s="67"/>
      <c r="CN36" s="67"/>
      <c r="CO36" s="90"/>
      <c r="CP36" s="90"/>
      <c r="CQ36" s="67"/>
      <c r="CR36" s="67"/>
      <c r="CS36" s="95"/>
      <c r="CT36" s="95"/>
      <c r="CU36" s="95"/>
      <c r="CV36" s="95"/>
      <c r="CW36" s="95"/>
      <c r="CX36" s="95"/>
      <c r="CY36" s="95"/>
      <c r="CZ36" s="95"/>
      <c r="DA36" s="95"/>
      <c r="DB36" s="95"/>
      <c r="DC36" s="95"/>
      <c r="DD36" s="96"/>
      <c r="DE36" s="96"/>
      <c r="DF36" s="96"/>
      <c r="DI36" s="611"/>
      <c r="DJ36" s="612" t="s">
        <v>989</v>
      </c>
    </row>
    <row r="37" spans="1:114">
      <c r="A37" s="95"/>
      <c r="B37" s="613">
        <v>2240</v>
      </c>
      <c r="C37" s="17" t="s">
        <v>53</v>
      </c>
      <c r="D37" s="112">
        <f ca="1">-SUMIF(BC[],MID(B37,1,3)&amp;"*",bc_2017)</f>
        <v>0</v>
      </c>
      <c r="E37" s="112">
        <f ca="1">-SUMIF(BC[],MID(B37,1,3)&amp;"*",bc_2016)</f>
        <v>0</v>
      </c>
      <c r="F37" s="112">
        <f ca="1">-SUMIF(BC[],MID(B37,1,3)&amp;"*",bc_2015)</f>
        <v>0</v>
      </c>
      <c r="G37" s="602" t="s">
        <v>43</v>
      </c>
      <c r="H37" s="95"/>
      <c r="I37" s="95"/>
      <c r="J37" s="613">
        <v>5290</v>
      </c>
      <c r="K37" s="18" t="s">
        <v>125</v>
      </c>
      <c r="L37" s="112">
        <f ca="1">SUMIF(BC[],MID(J37,1,3)&amp;"*",bc_2017)</f>
        <v>0</v>
      </c>
      <c r="M37" s="112">
        <f ca="1">SUMIF(BC[],MID(J37,1,3)&amp;"*",bc_2016)</f>
        <v>0</v>
      </c>
      <c r="N37" s="112">
        <f ca="1">SUMIF(BC[],MID(J37,1,3)&amp;"*",bc_2015)</f>
        <v>0</v>
      </c>
      <c r="O37" s="614"/>
      <c r="P37" s="95"/>
      <c r="Q37" s="95"/>
      <c r="R37" s="17"/>
      <c r="S37" s="17"/>
      <c r="T37" s="17"/>
      <c r="U37" s="49"/>
      <c r="V37" s="17"/>
      <c r="W37" s="42"/>
      <c r="X37" s="42"/>
      <c r="Y37" s="95"/>
      <c r="Z37" s="95"/>
      <c r="AA37" s="613">
        <v>2240</v>
      </c>
      <c r="AB37" s="17" t="s">
        <v>53</v>
      </c>
      <c r="AC37" s="120">
        <f t="shared" ca="1" si="49"/>
        <v>0</v>
      </c>
      <c r="AD37" s="120">
        <f t="shared" ca="1" si="50"/>
        <v>0</v>
      </c>
      <c r="AE37" s="120">
        <f t="shared" ca="1" si="51"/>
        <v>0</v>
      </c>
      <c r="AF37" s="120">
        <f t="shared" ca="1" si="52"/>
        <v>0</v>
      </c>
      <c r="AG37" s="95"/>
      <c r="AH37" s="95"/>
      <c r="AI37" s="613"/>
      <c r="AJ37" s="18" t="s">
        <v>18</v>
      </c>
      <c r="AK37" s="112">
        <v>0</v>
      </c>
      <c r="AL37" s="112">
        <v>0</v>
      </c>
      <c r="AM37" s="602"/>
      <c r="AN37" s="95"/>
      <c r="AO37" s="95"/>
      <c r="AP37" s="17"/>
      <c r="AQ37" s="17"/>
      <c r="AR37" s="17"/>
      <c r="AS37" s="49"/>
      <c r="AT37" s="17"/>
      <c r="AU37" s="42"/>
      <c r="AV37" s="18"/>
      <c r="AW37" s="95"/>
      <c r="AX37" s="95"/>
      <c r="AY37" s="17"/>
      <c r="AZ37" s="17"/>
      <c r="BA37" s="17"/>
      <c r="BB37" s="49"/>
      <c r="BC37" s="17"/>
      <c r="BD37" s="42"/>
      <c r="BE37" s="95"/>
      <c r="BF37" s="95"/>
      <c r="BG37" s="1033"/>
      <c r="BH37" s="1033"/>
      <c r="BI37" s="95"/>
      <c r="BJ37" s="95"/>
      <c r="BK37" s="34">
        <v>61</v>
      </c>
      <c r="BL37" s="3" t="s">
        <v>238</v>
      </c>
      <c r="BM37" s="333">
        <f t="shared" si="62"/>
        <v>0</v>
      </c>
      <c r="BN37" s="333">
        <f t="shared" si="63"/>
        <v>0</v>
      </c>
      <c r="BO37" s="333">
        <f t="shared" si="66"/>
        <v>0</v>
      </c>
      <c r="BP37" s="333">
        <f t="shared" si="64"/>
        <v>0</v>
      </c>
      <c r="BQ37" s="333">
        <f t="shared" si="65"/>
        <v>0</v>
      </c>
      <c r="BR37" s="333">
        <f t="shared" si="67"/>
        <v>0</v>
      </c>
      <c r="BS37" s="333">
        <f t="shared" si="68"/>
        <v>0</v>
      </c>
      <c r="BT37" s="95"/>
      <c r="BU37" s="95"/>
      <c r="BV37" s="623">
        <v>4300</v>
      </c>
      <c r="BW37" s="624" t="s">
        <v>119</v>
      </c>
      <c r="BX37" s="338">
        <f t="shared" si="71"/>
        <v>0</v>
      </c>
      <c r="BY37" s="338">
        <f t="shared" si="72"/>
        <v>0</v>
      </c>
      <c r="BZ37" s="338">
        <f t="shared" si="19"/>
        <v>0</v>
      </c>
      <c r="CA37" s="338">
        <f t="shared" si="73"/>
        <v>0</v>
      </c>
      <c r="CB37" s="338">
        <f t="shared" si="74"/>
        <v>0</v>
      </c>
      <c r="CC37" s="338">
        <f t="shared" si="22"/>
        <v>0</v>
      </c>
      <c r="CD37" s="95"/>
      <c r="CE37" s="95"/>
      <c r="CF37" s="95"/>
      <c r="CK37" s="95"/>
      <c r="CL37" s="95"/>
      <c r="CM37" s="67"/>
      <c r="CN37" s="67"/>
      <c r="CO37" s="90"/>
      <c r="CP37" s="90"/>
      <c r="CQ37" s="67"/>
      <c r="CR37" s="67"/>
      <c r="CS37" s="95"/>
      <c r="CT37" s="95"/>
      <c r="CU37" s="95"/>
      <c r="CV37" s="95"/>
      <c r="CW37" s="95"/>
      <c r="CX37" s="95"/>
      <c r="CY37" s="95"/>
      <c r="CZ37" s="95"/>
      <c r="DA37" s="95"/>
      <c r="DB37" s="95"/>
      <c r="DC37" s="95"/>
      <c r="DD37" s="96"/>
      <c r="DE37" s="96"/>
      <c r="DF37" s="96"/>
      <c r="DI37" s="611" t="s">
        <v>990</v>
      </c>
      <c r="DJ37" s="631" t="s">
        <v>991</v>
      </c>
    </row>
    <row r="38" spans="1:114">
      <c r="A38" s="95"/>
      <c r="B38" s="613">
        <v>2250</v>
      </c>
      <c r="C38" s="17" t="s">
        <v>363</v>
      </c>
      <c r="D38" s="112">
        <f ca="1">-SUMIF(BC[],MID(B38,1,3)&amp;"*",bc_2017)</f>
        <v>0</v>
      </c>
      <c r="E38" s="112">
        <f ca="1">-SUMIF(BC[],MID(B38,1,3)&amp;"*",bc_2016)</f>
        <v>0</v>
      </c>
      <c r="F38" s="112">
        <f ca="1">-SUMIF(BC[],MID(B38,1,3)&amp;"*",bc_2015)</f>
        <v>0</v>
      </c>
      <c r="G38" s="602" t="s">
        <v>45</v>
      </c>
      <c r="H38" s="95"/>
      <c r="I38" s="95"/>
      <c r="J38" s="597">
        <v>5300</v>
      </c>
      <c r="K38" s="598" t="s">
        <v>208</v>
      </c>
      <c r="L38" s="111">
        <f ca="1">SUM(L39:L41)</f>
        <v>0</v>
      </c>
      <c r="M38" s="111">
        <f ca="1">SUM(M39:M41)</f>
        <v>0</v>
      </c>
      <c r="N38" s="111">
        <f ca="1">SUM(N39:N41)</f>
        <v>0</v>
      </c>
      <c r="O38" s="614"/>
      <c r="P38" s="95"/>
      <c r="Q38" s="95"/>
      <c r="R38" s="17"/>
      <c r="S38" s="17"/>
      <c r="T38" s="17"/>
      <c r="U38" s="49"/>
      <c r="V38" s="17"/>
      <c r="W38" s="42"/>
      <c r="X38" s="42"/>
      <c r="Y38" s="95"/>
      <c r="Z38" s="95"/>
      <c r="AA38" s="613">
        <v>2250</v>
      </c>
      <c r="AB38" s="17" t="s">
        <v>54</v>
      </c>
      <c r="AC38" s="120">
        <f t="shared" ca="1" si="49"/>
        <v>0</v>
      </c>
      <c r="AD38" s="120">
        <f t="shared" ca="1" si="50"/>
        <v>0</v>
      </c>
      <c r="AE38" s="120">
        <f t="shared" ca="1" si="51"/>
        <v>0</v>
      </c>
      <c r="AF38" s="120">
        <f t="shared" ca="1" si="52"/>
        <v>0</v>
      </c>
      <c r="AG38" s="95"/>
      <c r="AH38" s="95"/>
      <c r="AI38" s="613"/>
      <c r="AJ38" s="18" t="s">
        <v>20</v>
      </c>
      <c r="AK38" s="112">
        <v>0</v>
      </c>
      <c r="AL38" s="112">
        <v>0</v>
      </c>
      <c r="AM38" s="602"/>
      <c r="AN38" s="95"/>
      <c r="AO38" s="95"/>
      <c r="AP38" s="95"/>
      <c r="AQ38" s="95"/>
      <c r="AR38" s="95"/>
      <c r="AS38" s="95"/>
      <c r="AT38" s="95"/>
      <c r="AU38" s="95"/>
      <c r="AV38" s="95"/>
      <c r="AW38" s="95"/>
      <c r="AX38" s="95"/>
      <c r="AY38" s="17"/>
      <c r="AZ38" s="17"/>
      <c r="BA38" s="17"/>
      <c r="BB38" s="49"/>
      <c r="BC38" s="17"/>
      <c r="BD38" s="42"/>
      <c r="BE38" s="95"/>
      <c r="BF38" s="95"/>
      <c r="BG38" s="17"/>
      <c r="BH38" s="17"/>
      <c r="BI38" s="95"/>
      <c r="BJ38" s="95"/>
      <c r="BK38" s="34">
        <v>62</v>
      </c>
      <c r="BL38" s="3" t="s">
        <v>239</v>
      </c>
      <c r="BM38" s="333">
        <f t="shared" si="62"/>
        <v>0</v>
      </c>
      <c r="BN38" s="333">
        <f t="shared" si="63"/>
        <v>0</v>
      </c>
      <c r="BO38" s="333">
        <f t="shared" si="66"/>
        <v>0</v>
      </c>
      <c r="BP38" s="333">
        <f t="shared" si="64"/>
        <v>0</v>
      </c>
      <c r="BQ38" s="333">
        <f t="shared" si="65"/>
        <v>0</v>
      </c>
      <c r="BR38" s="333">
        <f t="shared" si="67"/>
        <v>0</v>
      </c>
      <c r="BS38" s="333">
        <f t="shared" si="68"/>
        <v>0</v>
      </c>
      <c r="BT38" s="95"/>
      <c r="BU38" s="95"/>
      <c r="BV38" s="623">
        <v>4400</v>
      </c>
      <c r="BW38" s="624" t="s">
        <v>120</v>
      </c>
      <c r="BX38" s="338">
        <f t="shared" si="71"/>
        <v>0</v>
      </c>
      <c r="BY38" s="338">
        <f t="shared" si="72"/>
        <v>0</v>
      </c>
      <c r="BZ38" s="338">
        <f t="shared" si="19"/>
        <v>0</v>
      </c>
      <c r="CA38" s="338">
        <f t="shared" si="73"/>
        <v>0</v>
      </c>
      <c r="CB38" s="338">
        <f t="shared" si="74"/>
        <v>0</v>
      </c>
      <c r="CC38" s="338">
        <f t="shared" si="22"/>
        <v>0</v>
      </c>
      <c r="CD38" s="95"/>
      <c r="CE38" s="95"/>
      <c r="CF38" s="95"/>
      <c r="CK38" s="95"/>
      <c r="CL38" s="95"/>
      <c r="CM38" s="67"/>
      <c r="CN38" s="67"/>
      <c r="CO38" s="90"/>
      <c r="CP38" s="90"/>
      <c r="CQ38" s="67"/>
      <c r="CR38" s="67"/>
      <c r="CS38" s="95"/>
      <c r="CT38" s="95"/>
      <c r="CU38" s="95"/>
      <c r="CV38" s="95"/>
      <c r="CW38" s="95"/>
      <c r="CX38" s="95"/>
      <c r="CY38" s="95"/>
      <c r="CZ38" s="997" t="s">
        <v>361</v>
      </c>
      <c r="DA38" s="997"/>
      <c r="DB38" s="997"/>
      <c r="DC38" s="997"/>
      <c r="DD38" s="997"/>
      <c r="DE38" s="997"/>
      <c r="DF38" s="96"/>
      <c r="DI38" s="611"/>
      <c r="DJ38" s="631" t="s">
        <v>992</v>
      </c>
    </row>
    <row r="39" spans="1:114" ht="12" thickBot="1">
      <c r="A39" s="95"/>
      <c r="B39" s="613">
        <v>2260</v>
      </c>
      <c r="C39" s="17" t="s">
        <v>55</v>
      </c>
      <c r="D39" s="112">
        <f ca="1">-SUMIF(BC[],MID(B39,1,3)&amp;"*",bc_2017)</f>
        <v>2233972.39</v>
      </c>
      <c r="E39" s="112">
        <f ca="1">-SUMIF(BC[],MID(B39,1,3)&amp;"*",bc_2016)</f>
        <v>2058413.68</v>
      </c>
      <c r="F39" s="112">
        <f ca="1">-SUMIF(BC[],MID(B39,1,3)&amp;"*",bc_2015)</f>
        <v>1987929.08</v>
      </c>
      <c r="G39" s="602"/>
      <c r="H39" s="95"/>
      <c r="I39" s="95"/>
      <c r="J39" s="613">
        <v>5310</v>
      </c>
      <c r="K39" s="18" t="s">
        <v>126</v>
      </c>
      <c r="L39" s="112">
        <f ca="1">SUMIF(BC[],MID(J39,1,3)&amp;"*",bc_2017)</f>
        <v>0</v>
      </c>
      <c r="M39" s="112">
        <f ca="1">SUMIF(BC[],MID(J39,1,3)&amp;"*",bc_2016)</f>
        <v>0</v>
      </c>
      <c r="N39" s="112">
        <f ca="1">SUMIF(BC[],MID(J39,1,3)&amp;"*",bc_2015)</f>
        <v>0</v>
      </c>
      <c r="O39" s="614"/>
      <c r="P39" s="95"/>
      <c r="Q39" s="95"/>
      <c r="R39" s="17"/>
      <c r="S39" s="17"/>
      <c r="T39" s="17"/>
      <c r="U39" s="49"/>
      <c r="V39" s="17"/>
      <c r="W39" s="42"/>
      <c r="X39" s="42"/>
      <c r="Y39" s="95"/>
      <c r="Z39" s="95"/>
      <c r="AA39" s="613">
        <v>2260</v>
      </c>
      <c r="AB39" s="17" t="s">
        <v>55</v>
      </c>
      <c r="AC39" s="120">
        <f t="shared" ca="1" si="49"/>
        <v>175558.7100000002</v>
      </c>
      <c r="AD39" s="120">
        <f t="shared" ca="1" si="50"/>
        <v>0</v>
      </c>
      <c r="AE39" s="120">
        <f t="shared" ca="1" si="51"/>
        <v>70484.59999999986</v>
      </c>
      <c r="AF39" s="120">
        <f t="shared" ca="1" si="52"/>
        <v>0</v>
      </c>
      <c r="AG39" s="95"/>
      <c r="AH39" s="95"/>
      <c r="AI39" s="27">
        <v>4600</v>
      </c>
      <c r="AJ39" s="18" t="s">
        <v>131</v>
      </c>
      <c r="AK39" s="112">
        <f ca="1">+AC42-AD42</f>
        <v>853461.14000000432</v>
      </c>
      <c r="AL39" s="112">
        <f ca="1">+AE42-AF42</f>
        <v>3453823.5599999987</v>
      </c>
      <c r="AM39" s="602"/>
      <c r="AN39" s="95"/>
      <c r="AO39" s="95"/>
      <c r="AP39" s="95"/>
      <c r="AQ39" s="95"/>
      <c r="AR39" s="95"/>
      <c r="AS39" s="95"/>
      <c r="AT39" s="95"/>
      <c r="AU39" s="95"/>
      <c r="AV39" s="95"/>
      <c r="AW39" s="95"/>
      <c r="AX39" s="95"/>
      <c r="AY39" s="17"/>
      <c r="AZ39" s="17"/>
      <c r="BA39" s="17"/>
      <c r="BB39" s="49"/>
      <c r="BC39" s="17"/>
      <c r="BD39" s="42"/>
      <c r="BE39" s="95"/>
      <c r="BF39" s="95"/>
      <c r="BG39" s="17"/>
      <c r="BH39" s="17"/>
      <c r="BI39" s="95"/>
      <c r="BJ39" s="95"/>
      <c r="BK39" s="34">
        <v>80</v>
      </c>
      <c r="BL39" s="11" t="s">
        <v>242</v>
      </c>
      <c r="BM39" s="333">
        <f t="shared" si="62"/>
        <v>0</v>
      </c>
      <c r="BN39" s="333">
        <f t="shared" si="63"/>
        <v>0</v>
      </c>
      <c r="BO39" s="333">
        <f t="shared" si="66"/>
        <v>0</v>
      </c>
      <c r="BP39" s="333">
        <f t="shared" si="64"/>
        <v>0</v>
      </c>
      <c r="BQ39" s="333">
        <f t="shared" si="65"/>
        <v>0</v>
      </c>
      <c r="BR39" s="333">
        <f t="shared" si="67"/>
        <v>0</v>
      </c>
      <c r="BS39" s="333">
        <f t="shared" si="68"/>
        <v>0</v>
      </c>
      <c r="BT39" s="95"/>
      <c r="BU39" s="95"/>
      <c r="BV39" s="623">
        <v>4500</v>
      </c>
      <c r="BW39" s="624" t="s">
        <v>121</v>
      </c>
      <c r="BX39" s="338">
        <f t="shared" si="71"/>
        <v>0</v>
      </c>
      <c r="BY39" s="338">
        <f t="shared" si="72"/>
        <v>0</v>
      </c>
      <c r="BZ39" s="338">
        <f t="shared" si="19"/>
        <v>0</v>
      </c>
      <c r="CA39" s="338">
        <f t="shared" si="73"/>
        <v>0</v>
      </c>
      <c r="CB39" s="338">
        <f t="shared" si="74"/>
        <v>0</v>
      </c>
      <c r="CC39" s="338">
        <f t="shared" si="22"/>
        <v>0</v>
      </c>
      <c r="CD39" s="95"/>
      <c r="CE39" s="95"/>
      <c r="CF39" s="95"/>
      <c r="CG39" s="95"/>
      <c r="CH39" s="95"/>
      <c r="CI39" s="95"/>
      <c r="CJ39" s="95"/>
      <c r="CK39" s="95"/>
      <c r="CL39" s="95"/>
      <c r="CM39" s="67"/>
      <c r="CN39" s="67"/>
      <c r="CO39" s="90"/>
      <c r="CP39" s="90"/>
      <c r="CQ39" s="67"/>
      <c r="CR39" s="67"/>
      <c r="CS39" s="95"/>
      <c r="CT39" s="95"/>
      <c r="CU39" s="95"/>
      <c r="CV39" s="95"/>
      <c r="CW39" s="95"/>
      <c r="CX39" s="95"/>
      <c r="CY39" s="95"/>
      <c r="CZ39" s="95"/>
      <c r="DA39" s="95"/>
      <c r="DB39" s="95"/>
      <c r="DC39" s="95"/>
      <c r="DD39" s="96"/>
      <c r="DE39" s="96"/>
      <c r="DF39" s="96"/>
      <c r="DI39" s="644"/>
      <c r="DJ39" s="645"/>
    </row>
    <row r="40" spans="1:114">
      <c r="A40" s="95"/>
      <c r="B40" s="597">
        <v>3000</v>
      </c>
      <c r="C40" s="601" t="s">
        <v>56</v>
      </c>
      <c r="D40" s="111">
        <f ca="1">+D41+D45</f>
        <v>28627655.390000012</v>
      </c>
      <c r="E40" s="111">
        <f ca="1">+E41+E45</f>
        <v>25770683.190000005</v>
      </c>
      <c r="F40" s="111">
        <f ca="1">+F41+F45</f>
        <v>23801485.309999995</v>
      </c>
      <c r="G40" s="633"/>
      <c r="H40" s="95"/>
      <c r="I40" s="95"/>
      <c r="J40" s="613">
        <v>5320</v>
      </c>
      <c r="K40" s="18" t="s">
        <v>59</v>
      </c>
      <c r="L40" s="112">
        <f ca="1">SUMIF(BC[],MID(J40,1,3)&amp;"*",bc_2017)</f>
        <v>0</v>
      </c>
      <c r="M40" s="112">
        <f ca="1">SUMIF(BC[],MID(J40,1,3)&amp;"*",bc_2016)</f>
        <v>0</v>
      </c>
      <c r="N40" s="112">
        <f ca="1">SUMIF(BC[],MID(J40,1,3)&amp;"*",bc_2015)</f>
        <v>0</v>
      </c>
      <c r="O40" s="614"/>
      <c r="P40" s="95"/>
      <c r="Q40" s="95"/>
      <c r="R40" s="17"/>
      <c r="S40" s="17"/>
      <c r="T40" s="17"/>
      <c r="U40" s="49"/>
      <c r="V40" s="17"/>
      <c r="W40" s="42"/>
      <c r="X40" s="42"/>
      <c r="Y40" s="95"/>
      <c r="Z40" s="95"/>
      <c r="AA40" s="597">
        <v>3000</v>
      </c>
      <c r="AB40" s="601" t="s">
        <v>56</v>
      </c>
      <c r="AC40" s="121">
        <f t="shared" ca="1" si="49"/>
        <v>2856972.2000000067</v>
      </c>
      <c r="AD40" s="121">
        <f t="shared" ca="1" si="50"/>
        <v>0</v>
      </c>
      <c r="AE40" s="121">
        <f t="shared" ref="AE40" ca="1" si="75">IF(E40&gt;F40,E40-F40,0)</f>
        <v>1969197.8800000101</v>
      </c>
      <c r="AF40" s="121">
        <f t="shared" ref="AF40" ca="1" si="76">IF(F40&gt;E40,F40-E40,0)</f>
        <v>0</v>
      </c>
      <c r="AG40" s="95"/>
      <c r="AH40" s="95"/>
      <c r="AI40" s="27">
        <v>900005</v>
      </c>
      <c r="AJ40" s="598" t="s">
        <v>113</v>
      </c>
      <c r="AK40" s="128">
        <f ca="1">SUM(AK41:AK43)</f>
        <v>2153605.2299999986</v>
      </c>
      <c r="AL40" s="128">
        <f ca="1">SUM(AL41:AL43)</f>
        <v>2553051.8100000024</v>
      </c>
      <c r="AM40" s="602"/>
      <c r="AN40" s="95"/>
      <c r="AO40" s="95"/>
      <c r="AP40" s="95"/>
      <c r="AQ40" s="95"/>
      <c r="AR40" s="95"/>
      <c r="AS40" s="95"/>
      <c r="AT40" s="95"/>
      <c r="AU40" s="95"/>
      <c r="AV40" s="95"/>
      <c r="AW40" s="95"/>
      <c r="AX40" s="95"/>
      <c r="AY40" s="17"/>
      <c r="AZ40" s="17"/>
      <c r="BA40" s="17"/>
      <c r="BB40" s="49"/>
      <c r="BC40" s="17"/>
      <c r="BD40" s="42"/>
      <c r="BE40" s="95"/>
      <c r="BF40" s="95"/>
      <c r="BG40" s="17"/>
      <c r="BH40" s="17"/>
      <c r="BI40" s="95"/>
      <c r="BJ40" s="95"/>
      <c r="BK40" s="34">
        <v>90</v>
      </c>
      <c r="BL40" s="11" t="s">
        <v>243</v>
      </c>
      <c r="BM40" s="333">
        <v>0</v>
      </c>
      <c r="BN40" s="333">
        <v>0</v>
      </c>
      <c r="BO40" s="333">
        <f t="shared" si="66"/>
        <v>0</v>
      </c>
      <c r="BP40" s="333">
        <v>0</v>
      </c>
      <c r="BQ40" s="333">
        <v>0</v>
      </c>
      <c r="BR40" s="333">
        <f t="shared" si="67"/>
        <v>0</v>
      </c>
      <c r="BS40" s="333">
        <f t="shared" si="68"/>
        <v>0</v>
      </c>
      <c r="BT40" s="95"/>
      <c r="BU40" s="95"/>
      <c r="BV40" s="623">
        <v>4600</v>
      </c>
      <c r="BW40" s="624" t="s">
        <v>264</v>
      </c>
      <c r="BX40" s="338">
        <f t="shared" si="71"/>
        <v>0</v>
      </c>
      <c r="BY40" s="338">
        <f t="shared" si="72"/>
        <v>0</v>
      </c>
      <c r="BZ40" s="338">
        <f t="shared" si="19"/>
        <v>0</v>
      </c>
      <c r="CA40" s="338">
        <f t="shared" si="73"/>
        <v>0</v>
      </c>
      <c r="CB40" s="338">
        <f t="shared" si="74"/>
        <v>0</v>
      </c>
      <c r="CC40" s="338">
        <f t="shared" si="22"/>
        <v>0</v>
      </c>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6"/>
      <c r="DE40" s="96"/>
      <c r="DF40" s="96"/>
      <c r="DI40" s="646"/>
      <c r="DJ40" s="646"/>
    </row>
    <row r="41" spans="1:114">
      <c r="A41" s="95"/>
      <c r="B41" s="597">
        <v>3100</v>
      </c>
      <c r="C41" s="601" t="s">
        <v>57</v>
      </c>
      <c r="D41" s="111">
        <f ca="1">SUM(D42:D44)</f>
        <v>27577726.700000003</v>
      </c>
      <c r="E41" s="111">
        <f ca="1">SUM(E42:E44)</f>
        <v>26724265.559999999</v>
      </c>
      <c r="F41" s="111">
        <f ca="1">SUM(F42:F44)</f>
        <v>23270442</v>
      </c>
      <c r="G41" s="602" t="s">
        <v>58</v>
      </c>
      <c r="H41" s="95"/>
      <c r="I41" s="95"/>
      <c r="J41" s="613">
        <v>5330</v>
      </c>
      <c r="K41" s="18" t="s">
        <v>127</v>
      </c>
      <c r="L41" s="112">
        <f ca="1">SUMIF(BC[],MID(J41,1,3)&amp;"*",bc_2017)</f>
        <v>0</v>
      </c>
      <c r="M41" s="112">
        <f ca="1">SUMIF(BC[],MID(J41,1,3)&amp;"*",bc_2016)</f>
        <v>0</v>
      </c>
      <c r="N41" s="112">
        <f ca="1">SUMIF(BC[],MID(J41,1,3)&amp;"*",bc_2015)</f>
        <v>0</v>
      </c>
      <c r="O41" s="614"/>
      <c r="P41" s="95"/>
      <c r="Q41" s="95"/>
      <c r="R41" s="95"/>
      <c r="S41" s="95"/>
      <c r="T41" s="95"/>
      <c r="U41" s="95"/>
      <c r="V41" s="95"/>
      <c r="W41" s="95"/>
      <c r="X41" s="95"/>
      <c r="Y41" s="95"/>
      <c r="Z41" s="95"/>
      <c r="AA41" s="597">
        <v>3100</v>
      </c>
      <c r="AB41" s="601" t="s">
        <v>57</v>
      </c>
      <c r="AC41" s="121">
        <f t="shared" ca="1" si="49"/>
        <v>853461.14000000432</v>
      </c>
      <c r="AD41" s="121">
        <f t="shared" ca="1" si="50"/>
        <v>0</v>
      </c>
      <c r="AE41" s="121">
        <f t="shared" ref="AE41:AE53" ca="1" si="77">IF(E41&gt;F41,E41-F41,0)</f>
        <v>3453823.5599999987</v>
      </c>
      <c r="AF41" s="121">
        <f t="shared" ref="AF41:AF53" ca="1" si="78">IF(F41&gt;E41,F41-E41,0)</f>
        <v>0</v>
      </c>
      <c r="AG41" s="95"/>
      <c r="AH41" s="95"/>
      <c r="AI41" s="613">
        <v>1230</v>
      </c>
      <c r="AJ41" s="18" t="s">
        <v>18</v>
      </c>
      <c r="AK41" s="129">
        <f ca="1">+AD16-AC16</f>
        <v>0</v>
      </c>
      <c r="AL41" s="129">
        <f ca="1">+AF16-AE16</f>
        <v>0</v>
      </c>
      <c r="AM41" s="602" t="s">
        <v>132</v>
      </c>
      <c r="AN41" s="95"/>
      <c r="AO41" s="95"/>
      <c r="AP41" s="95"/>
      <c r="AQ41" s="95"/>
      <c r="AR41" s="95"/>
      <c r="AS41" s="95"/>
      <c r="AT41" s="95"/>
      <c r="AU41" s="95"/>
      <c r="AV41" s="95"/>
      <c r="AW41" s="95"/>
      <c r="AX41" s="95"/>
      <c r="AY41" s="17"/>
      <c r="AZ41" s="17"/>
      <c r="BA41" s="17"/>
      <c r="BB41" s="49"/>
      <c r="BC41" s="17"/>
      <c r="BD41" s="42"/>
      <c r="BE41" s="95"/>
      <c r="BF41" s="95"/>
      <c r="BG41" s="95"/>
      <c r="BH41" s="95"/>
      <c r="BI41" s="95"/>
      <c r="BJ41" s="95"/>
      <c r="BK41" s="640"/>
      <c r="BL41" s="12" t="s">
        <v>247</v>
      </c>
      <c r="BM41" s="335">
        <f>SUM(BM42:BM44)</f>
        <v>80405840.510000005</v>
      </c>
      <c r="BN41" s="335">
        <f t="shared" ref="BN41:BS41" si="79">SUM(BN42:BN44)</f>
        <v>8457903.8100000005</v>
      </c>
      <c r="BO41" s="335">
        <f t="shared" si="79"/>
        <v>88863744.320000008</v>
      </c>
      <c r="BP41" s="335">
        <f t="shared" si="79"/>
        <v>88863739.419999987</v>
      </c>
      <c r="BQ41" s="335">
        <f t="shared" si="79"/>
        <v>88863739.419999987</v>
      </c>
      <c r="BR41" s="335">
        <f t="shared" si="79"/>
        <v>8457898.9099999797</v>
      </c>
      <c r="BS41" s="335">
        <f t="shared" si="79"/>
        <v>8457898.9099999797</v>
      </c>
      <c r="BT41" s="95"/>
      <c r="BU41" s="95"/>
      <c r="BV41" s="623">
        <v>4700</v>
      </c>
      <c r="BW41" s="624" t="s">
        <v>123</v>
      </c>
      <c r="BX41" s="338">
        <f t="shared" si="71"/>
        <v>0</v>
      </c>
      <c r="BY41" s="338">
        <f t="shared" si="72"/>
        <v>0</v>
      </c>
      <c r="BZ41" s="338">
        <f t="shared" si="19"/>
        <v>0</v>
      </c>
      <c r="CA41" s="338">
        <f t="shared" si="73"/>
        <v>0</v>
      </c>
      <c r="CB41" s="338">
        <f t="shared" si="74"/>
        <v>0</v>
      </c>
      <c r="CC41" s="338">
        <f t="shared" si="22"/>
        <v>0</v>
      </c>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6"/>
      <c r="DE41" s="96"/>
      <c r="DF41" s="96"/>
      <c r="DI41" s="646"/>
      <c r="DJ41" s="646"/>
    </row>
    <row r="42" spans="1:114" ht="10.15" customHeight="1">
      <c r="A42" s="95"/>
      <c r="B42" s="613">
        <v>3110</v>
      </c>
      <c r="C42" s="17" t="s">
        <v>59</v>
      </c>
      <c r="D42" s="112">
        <f ca="1">-SUMIF(BC[],MID(B42,1,3)&amp;"*",bc_2017)</f>
        <v>27577726.700000003</v>
      </c>
      <c r="E42" s="112">
        <f ca="1">-SUMIF(BC[],MID(B42,1,3)&amp;"*",bc_2016)</f>
        <v>26724265.559999999</v>
      </c>
      <c r="F42" s="112">
        <f ca="1">-SUMIF(BC[],MID(B42,1,3)&amp;"*",bc_2015)</f>
        <v>23270442</v>
      </c>
      <c r="G42" s="602"/>
      <c r="H42" s="95"/>
      <c r="I42" s="95"/>
      <c r="J42" s="597">
        <v>5400</v>
      </c>
      <c r="K42" s="598" t="s">
        <v>209</v>
      </c>
      <c r="L42" s="111">
        <f ca="1">SUM(L43:L47)</f>
        <v>0</v>
      </c>
      <c r="M42" s="111">
        <f ca="1">SUM(M43:M47)</f>
        <v>0</v>
      </c>
      <c r="N42" s="111">
        <f ca="1">SUM(N43:N47)</f>
        <v>0</v>
      </c>
      <c r="O42" s="614"/>
      <c r="P42" s="95"/>
      <c r="Q42" s="95"/>
      <c r="R42" s="95"/>
      <c r="S42" s="95"/>
      <c r="T42" s="95"/>
      <c r="U42" s="95"/>
      <c r="V42" s="95"/>
      <c r="W42" s="95"/>
      <c r="X42" s="95"/>
      <c r="Y42" s="95"/>
      <c r="Z42" s="95"/>
      <c r="AA42" s="613">
        <v>3110</v>
      </c>
      <c r="AB42" s="17" t="s">
        <v>59</v>
      </c>
      <c r="AC42" s="120">
        <f t="shared" ca="1" si="49"/>
        <v>853461.14000000432</v>
      </c>
      <c r="AD42" s="120">
        <f t="shared" ca="1" si="50"/>
        <v>0</v>
      </c>
      <c r="AE42" s="120">
        <f t="shared" ca="1" si="77"/>
        <v>3453823.5599999987</v>
      </c>
      <c r="AF42" s="120">
        <f t="shared" ca="1" si="78"/>
        <v>0</v>
      </c>
      <c r="AG42" s="95"/>
      <c r="AH42" s="95"/>
      <c r="AI42" s="613" t="s">
        <v>133</v>
      </c>
      <c r="AJ42" s="18" t="s">
        <v>20</v>
      </c>
      <c r="AK42" s="129">
        <f ca="1">+AD17-AC17+AD18-AC18</f>
        <v>2153605.2299999986</v>
      </c>
      <c r="AL42" s="129">
        <f ca="1">+AF17-AE17+AF18-AE18</f>
        <v>2553051.8100000024</v>
      </c>
      <c r="AM42" s="602" t="s">
        <v>132</v>
      </c>
      <c r="AN42" s="95"/>
      <c r="AO42" s="95"/>
      <c r="AP42" s="95"/>
      <c r="AQ42" s="95"/>
      <c r="AR42" s="95"/>
      <c r="AS42" s="95"/>
      <c r="AT42" s="95"/>
      <c r="AU42" s="95"/>
      <c r="AV42" s="95"/>
      <c r="AW42" s="95"/>
      <c r="AX42" s="95"/>
      <c r="AY42" s="17"/>
      <c r="AZ42" s="17"/>
      <c r="BA42" s="17"/>
      <c r="BB42" s="49"/>
      <c r="BC42" s="17"/>
      <c r="BD42" s="42"/>
      <c r="BE42" s="95"/>
      <c r="BF42" s="95"/>
      <c r="BG42" s="95"/>
      <c r="BH42" s="95"/>
      <c r="BI42" s="95"/>
      <c r="BJ42" s="95"/>
      <c r="BK42" s="34">
        <v>20</v>
      </c>
      <c r="BL42" s="11" t="s">
        <v>103</v>
      </c>
      <c r="BM42" s="333">
        <f>SUMIF(pi_cri,MID(BK42,1,1)&amp;"*",pi_e)</f>
        <v>0</v>
      </c>
      <c r="BN42" s="333">
        <f>SUMIF(pi_cri,MID(BK42,1,1)&amp;"*",pi_m)</f>
        <v>0</v>
      </c>
      <c r="BO42" s="333">
        <f t="shared" si="66"/>
        <v>0</v>
      </c>
      <c r="BP42" s="333">
        <f>SUMIF(pi_cri,MID(BK42,1,1)&amp;"*",pi_d)</f>
        <v>0</v>
      </c>
      <c r="BQ42" s="333">
        <f>SUMIF(pi_cri,MID(BK42,1,1)&amp;"*",pi_r)</f>
        <v>0</v>
      </c>
      <c r="BR42" s="333">
        <f t="shared" si="67"/>
        <v>0</v>
      </c>
      <c r="BS42" s="333">
        <f t="shared" si="68"/>
        <v>0</v>
      </c>
      <c r="BT42" s="95"/>
      <c r="BU42" s="95"/>
      <c r="BV42" s="623">
        <v>4800</v>
      </c>
      <c r="BW42" s="624" t="s">
        <v>124</v>
      </c>
      <c r="BX42" s="338">
        <f t="shared" si="71"/>
        <v>0</v>
      </c>
      <c r="BY42" s="338">
        <f t="shared" si="72"/>
        <v>0</v>
      </c>
      <c r="BZ42" s="338">
        <f t="shared" si="19"/>
        <v>0</v>
      </c>
      <c r="CA42" s="338">
        <f t="shared" si="73"/>
        <v>0</v>
      </c>
      <c r="CB42" s="338">
        <f t="shared" si="74"/>
        <v>0</v>
      </c>
      <c r="CC42" s="338">
        <f t="shared" si="22"/>
        <v>0</v>
      </c>
      <c r="CD42" s="95"/>
      <c r="CE42" s="95"/>
      <c r="CF42" s="95"/>
      <c r="CG42" s="95"/>
      <c r="CH42" s="95"/>
      <c r="CI42" s="95"/>
      <c r="CJ42" s="95"/>
      <c r="CK42" s="95"/>
      <c r="CL42" s="95"/>
      <c r="CM42" s="95"/>
      <c r="CN42" s="95"/>
      <c r="CO42" s="95"/>
      <c r="CP42" s="95"/>
      <c r="CQ42" s="95"/>
      <c r="CR42" s="95"/>
      <c r="CS42" s="95"/>
      <c r="CT42" s="95"/>
      <c r="CU42" s="95"/>
      <c r="CV42" s="95"/>
      <c r="CW42" s="95"/>
      <c r="CX42" s="95"/>
      <c r="CY42" s="95"/>
      <c r="CZ42" s="95"/>
      <c r="DA42" s="95"/>
      <c r="DB42" s="95"/>
      <c r="DC42" s="95"/>
      <c r="DD42" s="96"/>
      <c r="DE42" s="96"/>
      <c r="DF42" s="96"/>
      <c r="DI42" s="989" t="s">
        <v>361</v>
      </c>
      <c r="DJ42" s="989"/>
    </row>
    <row r="43" spans="1:114">
      <c r="A43" s="95"/>
      <c r="B43" s="613">
        <v>3120</v>
      </c>
      <c r="C43" s="17" t="s">
        <v>60</v>
      </c>
      <c r="D43" s="112">
        <f ca="1">-SUMIF(BC[],MID(B43,1,3)&amp;"*",bc_2017)</f>
        <v>0</v>
      </c>
      <c r="E43" s="112">
        <f ca="1">-SUMIF(BC[],MID(B43,1,3)&amp;"*",bc_2016)</f>
        <v>0</v>
      </c>
      <c r="F43" s="112">
        <f ca="1">-SUMIF(BC[],MID(B43,1,3)&amp;"*",bc_2015)</f>
        <v>0</v>
      </c>
      <c r="G43" s="602"/>
      <c r="H43" s="95"/>
      <c r="I43" s="95"/>
      <c r="J43" s="613">
        <v>5410</v>
      </c>
      <c r="K43" s="18" t="s">
        <v>210</v>
      </c>
      <c r="L43" s="112">
        <f ca="1">SUMIF(BC[],MID(J43,1,3)&amp;"*",bc_2017)</f>
        <v>0</v>
      </c>
      <c r="M43" s="112">
        <f ca="1">SUMIF(BC[],MID(J43,1,3)&amp;"*",bc_2016)</f>
        <v>0</v>
      </c>
      <c r="N43" s="112">
        <f ca="1">SUMIF(BC[],MID(J43,1,3)&amp;"*",bc_2015)</f>
        <v>0</v>
      </c>
      <c r="O43" s="614"/>
      <c r="P43" s="95"/>
      <c r="Q43" s="95"/>
      <c r="R43" s="95"/>
      <c r="S43" s="95"/>
      <c r="T43" s="95"/>
      <c r="U43" s="95"/>
      <c r="V43" s="95"/>
      <c r="W43" s="95"/>
      <c r="X43" s="95"/>
      <c r="Y43" s="95"/>
      <c r="Z43" s="95"/>
      <c r="AA43" s="613">
        <v>3120</v>
      </c>
      <c r="AB43" s="17" t="s">
        <v>60</v>
      </c>
      <c r="AC43" s="120">
        <f t="shared" ca="1" si="49"/>
        <v>0</v>
      </c>
      <c r="AD43" s="120">
        <f t="shared" ca="1" si="50"/>
        <v>0</v>
      </c>
      <c r="AE43" s="120">
        <f t="shared" ca="1" si="77"/>
        <v>0</v>
      </c>
      <c r="AF43" s="120">
        <f t="shared" ca="1" si="78"/>
        <v>0</v>
      </c>
      <c r="AG43" s="95"/>
      <c r="AH43" s="95"/>
      <c r="AI43" s="27">
        <v>4700</v>
      </c>
      <c r="AJ43" s="18" t="s">
        <v>134</v>
      </c>
      <c r="AK43" s="112">
        <v>0</v>
      </c>
      <c r="AL43" s="112">
        <v>0</v>
      </c>
      <c r="AM43" s="602"/>
      <c r="AN43" s="95"/>
      <c r="AO43" s="95"/>
      <c r="AP43" s="95"/>
      <c r="AQ43" s="95"/>
      <c r="AR43" s="95"/>
      <c r="AS43" s="95"/>
      <c r="AT43" s="95"/>
      <c r="AU43" s="95"/>
      <c r="AV43" s="95"/>
      <c r="AW43" s="95"/>
      <c r="AX43" s="95"/>
      <c r="AY43" s="17"/>
      <c r="AZ43" s="17"/>
      <c r="BA43" s="17"/>
      <c r="BB43" s="49"/>
      <c r="BC43" s="17"/>
      <c r="BD43" s="42"/>
      <c r="BE43" s="95"/>
      <c r="BF43" s="95"/>
      <c r="BG43" s="95"/>
      <c r="BH43" s="95"/>
      <c r="BI43" s="95"/>
      <c r="BJ43" s="95"/>
      <c r="BK43" s="34">
        <v>70</v>
      </c>
      <c r="BL43" s="11" t="s">
        <v>241</v>
      </c>
      <c r="BM43" s="333">
        <f>SUMIF(pi_cri,MID(BK43,1,1)&amp;"*",pi_e)</f>
        <v>1312000</v>
      </c>
      <c r="BN43" s="333">
        <f>SUMIF(pi_cri,MID(BK43,1,1)&amp;"*",pi_m)</f>
        <v>1613534.31</v>
      </c>
      <c r="BO43" s="333">
        <f t="shared" si="66"/>
        <v>2925534.31</v>
      </c>
      <c r="BP43" s="333">
        <f>SUMIF(pi_cri,MID(BK43,1,1)&amp;"*",pi_d)</f>
        <v>2925534.31</v>
      </c>
      <c r="BQ43" s="333">
        <f>SUMIF(pi_cri,MID(BK43,1,1)&amp;"*",pi_r)</f>
        <v>2925534.31</v>
      </c>
      <c r="BR43" s="333">
        <f t="shared" si="67"/>
        <v>1613534.31</v>
      </c>
      <c r="BS43" s="333">
        <f t="shared" si="68"/>
        <v>1613534.31</v>
      </c>
      <c r="BT43" s="95"/>
      <c r="BU43" s="95"/>
      <c r="BV43" s="623">
        <v>4900</v>
      </c>
      <c r="BW43" s="624" t="s">
        <v>125</v>
      </c>
      <c r="BX43" s="338">
        <f t="shared" si="71"/>
        <v>0</v>
      </c>
      <c r="BY43" s="338">
        <f t="shared" si="72"/>
        <v>0</v>
      </c>
      <c r="BZ43" s="338">
        <f t="shared" si="19"/>
        <v>0</v>
      </c>
      <c r="CA43" s="338">
        <f t="shared" si="73"/>
        <v>0</v>
      </c>
      <c r="CB43" s="338">
        <f t="shared" si="74"/>
        <v>0</v>
      </c>
      <c r="CC43" s="338">
        <f t="shared" si="22"/>
        <v>0</v>
      </c>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6"/>
      <c r="DE43" s="96"/>
      <c r="DF43" s="96"/>
      <c r="DI43" s="989"/>
      <c r="DJ43" s="989"/>
    </row>
    <row r="44" spans="1:114">
      <c r="A44" s="95"/>
      <c r="B44" s="613">
        <v>3130</v>
      </c>
      <c r="C44" s="17" t="s">
        <v>61</v>
      </c>
      <c r="D44" s="112">
        <f ca="1">-SUMIF(BC[],MID(B44,1,3)&amp;"*",bc_2017)</f>
        <v>0</v>
      </c>
      <c r="E44" s="112">
        <f ca="1">-SUMIF(BC[],MID(B44,1,3)&amp;"*",bc_2016)</f>
        <v>0</v>
      </c>
      <c r="F44" s="112">
        <f ca="1">-SUMIF(BC[],MID(B44,1,3)&amp;"*",bc_2015)</f>
        <v>0</v>
      </c>
      <c r="G44" s="602"/>
      <c r="H44" s="95"/>
      <c r="I44" s="95"/>
      <c r="J44" s="613">
        <v>5420</v>
      </c>
      <c r="K44" s="18" t="s">
        <v>211</v>
      </c>
      <c r="L44" s="112">
        <f ca="1">SUMIF(BC[],MID(J44,1,3)&amp;"*",bc_2017)</f>
        <v>0</v>
      </c>
      <c r="M44" s="112">
        <f ca="1">SUMIF(BC[],MID(J44,1,3)&amp;"*",bc_2016)</f>
        <v>0</v>
      </c>
      <c r="N44" s="112">
        <f ca="1">SUMIF(BC[],MID(J44,1,3)&amp;"*",bc_2015)</f>
        <v>0</v>
      </c>
      <c r="O44" s="614"/>
      <c r="P44" s="95"/>
      <c r="Q44" s="95"/>
      <c r="R44" s="95"/>
      <c r="S44" s="95"/>
      <c r="T44" s="95"/>
      <c r="U44" s="95"/>
      <c r="V44" s="95"/>
      <c r="W44" s="95"/>
      <c r="X44" s="95"/>
      <c r="Y44" s="95"/>
      <c r="Z44" s="95"/>
      <c r="AA44" s="613">
        <v>3130</v>
      </c>
      <c r="AB44" s="17" t="s">
        <v>61</v>
      </c>
      <c r="AC44" s="120">
        <f t="shared" ca="1" si="49"/>
        <v>0</v>
      </c>
      <c r="AD44" s="120">
        <f t="shared" ca="1" si="50"/>
        <v>0</v>
      </c>
      <c r="AE44" s="120">
        <f t="shared" ca="1" si="77"/>
        <v>0</v>
      </c>
      <c r="AF44" s="120">
        <f t="shared" ca="1" si="78"/>
        <v>0</v>
      </c>
      <c r="AG44" s="95"/>
      <c r="AH44" s="95"/>
      <c r="AI44" s="27">
        <v>900006</v>
      </c>
      <c r="AJ44" s="598" t="s">
        <v>135</v>
      </c>
      <c r="AK44" s="128">
        <f ca="1">+AK36-AK40</f>
        <v>-1300144.0899999943</v>
      </c>
      <c r="AL44" s="128">
        <f ca="1">+AL36-AL40</f>
        <v>900771.74999999627</v>
      </c>
      <c r="AM44" s="602"/>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34">
        <v>90</v>
      </c>
      <c r="BL44" s="11" t="s">
        <v>243</v>
      </c>
      <c r="BM44" s="333">
        <f>SUMIF(pi_cri,MID(BK44,1,1)&amp;"*",pi_e)</f>
        <v>79093840.510000005</v>
      </c>
      <c r="BN44" s="333">
        <f>SUMIF(pi_cri,MID(BK44,1,1)&amp;"*",pi_m)</f>
        <v>6844369.5</v>
      </c>
      <c r="BO44" s="333">
        <f t="shared" si="66"/>
        <v>85938210.010000005</v>
      </c>
      <c r="BP44" s="333">
        <f>SUMIF(pi_cri,MID(BK44,1,1)&amp;"*",pi_d)</f>
        <v>85938205.109999985</v>
      </c>
      <c r="BQ44" s="333">
        <f>SUMIF(pi_cri,MID(BK44,1,1)&amp;"*",pi_r)</f>
        <v>85938205.109999985</v>
      </c>
      <c r="BR44" s="333">
        <f t="shared" si="67"/>
        <v>6844364.5999999791</v>
      </c>
      <c r="BS44" s="333">
        <f t="shared" si="68"/>
        <v>6844364.5999999791</v>
      </c>
      <c r="BT44" s="95"/>
      <c r="BU44" s="95"/>
      <c r="BV44" s="619">
        <v>5000</v>
      </c>
      <c r="BW44" s="620" t="s">
        <v>265</v>
      </c>
      <c r="BX44" s="337">
        <f t="shared" ref="BX44:CC44" si="80">SUM(BX45:BX53)</f>
        <v>1042027.56</v>
      </c>
      <c r="BY44" s="337">
        <f t="shared" si="80"/>
        <v>1675477.6800000002</v>
      </c>
      <c r="BZ44" s="337">
        <f t="shared" si="80"/>
        <v>2717505.24</v>
      </c>
      <c r="CA44" s="337">
        <f t="shared" si="80"/>
        <v>2717505.24</v>
      </c>
      <c r="CB44" s="337">
        <f t="shared" si="80"/>
        <v>2717505.24</v>
      </c>
      <c r="CC44" s="337">
        <f t="shared" si="80"/>
        <v>0</v>
      </c>
      <c r="CD44" s="95"/>
      <c r="CE44" s="95"/>
      <c r="CF44" s="95"/>
      <c r="CG44" s="95"/>
      <c r="CH44" s="95"/>
      <c r="CI44" s="95"/>
      <c r="CJ44" s="95"/>
      <c r="CK44" s="95"/>
      <c r="CL44" s="95"/>
      <c r="CM44" s="95"/>
      <c r="CN44" s="95"/>
      <c r="CO44" s="95"/>
      <c r="CP44" s="95"/>
      <c r="CQ44" s="95"/>
      <c r="CR44" s="95"/>
      <c r="CS44" s="95"/>
      <c r="CT44" s="95"/>
      <c r="CU44" s="95"/>
      <c r="CV44" s="95"/>
      <c r="CW44" s="95"/>
      <c r="CX44" s="95"/>
      <c r="CY44" s="95"/>
      <c r="CZ44" s="95"/>
      <c r="DA44" s="95"/>
      <c r="DB44" s="95"/>
      <c r="DC44" s="95"/>
      <c r="DD44" s="96"/>
      <c r="DE44" s="96"/>
      <c r="DF44" s="96"/>
    </row>
    <row r="45" spans="1:114">
      <c r="A45" s="95"/>
      <c r="B45" s="597">
        <v>3200</v>
      </c>
      <c r="C45" s="601" t="s">
        <v>62</v>
      </c>
      <c r="D45" s="111">
        <f ca="1">SUM(D46:D50)</f>
        <v>1049928.6900000083</v>
      </c>
      <c r="E45" s="111">
        <f ca="1">SUM(E46:E50)</f>
        <v>-953582.3699999922</v>
      </c>
      <c r="F45" s="111">
        <f ca="1">SUM(F46:F50)</f>
        <v>531043.3099999968</v>
      </c>
      <c r="G45" s="602" t="s">
        <v>63</v>
      </c>
      <c r="H45" s="95"/>
      <c r="I45" s="95"/>
      <c r="J45" s="613">
        <v>5430</v>
      </c>
      <c r="K45" s="18" t="s">
        <v>212</v>
      </c>
      <c r="L45" s="112">
        <f ca="1">SUMIF(BC[],MID(J45,1,3)&amp;"*",bc_2017)</f>
        <v>0</v>
      </c>
      <c r="M45" s="112">
        <f ca="1">SUMIF(BC[],MID(J45,1,3)&amp;"*",bc_2016)</f>
        <v>0</v>
      </c>
      <c r="N45" s="112">
        <f ca="1">SUMIF(BC[],MID(J45,1,3)&amp;"*",bc_2015)</f>
        <v>0</v>
      </c>
      <c r="O45" s="614"/>
      <c r="P45" s="95"/>
      <c r="Q45" s="95"/>
      <c r="R45" s="95"/>
      <c r="S45" s="95"/>
      <c r="T45" s="95"/>
      <c r="U45" s="95"/>
      <c r="V45" s="95"/>
      <c r="W45" s="95"/>
      <c r="X45" s="95"/>
      <c r="Y45" s="95"/>
      <c r="Z45" s="95"/>
      <c r="AA45" s="597">
        <v>3200</v>
      </c>
      <c r="AB45" s="601" t="s">
        <v>62</v>
      </c>
      <c r="AC45" s="121">
        <f t="shared" ca="1" si="49"/>
        <v>2003511.0600000005</v>
      </c>
      <c r="AD45" s="121">
        <f t="shared" ca="1" si="50"/>
        <v>0</v>
      </c>
      <c r="AE45" s="121">
        <f t="shared" ca="1" si="77"/>
        <v>0</v>
      </c>
      <c r="AF45" s="121">
        <f t="shared" ca="1" si="78"/>
        <v>1484625.679999989</v>
      </c>
      <c r="AG45" s="95"/>
      <c r="AH45" s="95"/>
      <c r="AI45" s="615"/>
      <c r="AJ45" s="598" t="s">
        <v>136</v>
      </c>
      <c r="AK45" s="147">
        <f ca="1">+AK56</f>
        <v>2743292.7699999944</v>
      </c>
      <c r="AL45" s="147">
        <f ca="1">+AL56</f>
        <v>-1301231.1399999973</v>
      </c>
      <c r="AM45" s="602"/>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640"/>
      <c r="BL45" s="12" t="s">
        <v>248</v>
      </c>
      <c r="BM45" s="335">
        <f>SUM(BM46)</f>
        <v>0</v>
      </c>
      <c r="BN45" s="335">
        <f t="shared" ref="BN45:BS45" si="81">SUM(BN46)</f>
        <v>0</v>
      </c>
      <c r="BO45" s="335">
        <f t="shared" si="81"/>
        <v>0</v>
      </c>
      <c r="BP45" s="335">
        <f t="shared" si="81"/>
        <v>0</v>
      </c>
      <c r="BQ45" s="335">
        <f t="shared" si="81"/>
        <v>0</v>
      </c>
      <c r="BR45" s="335">
        <f t="shared" si="81"/>
        <v>0</v>
      </c>
      <c r="BS45" s="335">
        <f t="shared" si="81"/>
        <v>0</v>
      </c>
      <c r="BT45" s="95"/>
      <c r="BU45" s="95"/>
      <c r="BV45" s="623">
        <v>5100</v>
      </c>
      <c r="BW45" s="624" t="s">
        <v>21</v>
      </c>
      <c r="BX45" s="338">
        <f t="shared" ref="BX45:BX53" si="82">SUMIF(PE_COG,MID(BV45,1,2)&amp;"*",PE_A)</f>
        <v>315389.03000000003</v>
      </c>
      <c r="BY45" s="338">
        <f t="shared" ref="BY45:BY53" si="83">SUMIF(PE_COG,MID(BV45,1,2)&amp;"*",PE_M)</f>
        <v>1059539.17</v>
      </c>
      <c r="BZ45" s="338">
        <f t="shared" si="19"/>
        <v>1374928.2</v>
      </c>
      <c r="CA45" s="338">
        <f t="shared" ref="CA45:CA53" si="84">SUMIF(PE_COG,MID(BV45,1,2)&amp;"*",PE_D)</f>
        <v>1374928.2</v>
      </c>
      <c r="CB45" s="338">
        <f t="shared" ref="CB45:CB53" si="85">SUMIF(PE_COG,MID(BV45,1,2)&amp;"*",PE_P)</f>
        <v>1374928.2</v>
      </c>
      <c r="CC45" s="338">
        <f t="shared" si="22"/>
        <v>0</v>
      </c>
      <c r="CD45" s="95"/>
      <c r="CE45" s="95"/>
      <c r="CF45" s="95"/>
      <c r="CG45" s="95"/>
      <c r="CH45" s="95"/>
      <c r="CI45" s="95"/>
      <c r="CJ45" s="95"/>
      <c r="CK45" s="95"/>
      <c r="CL45" s="95"/>
      <c r="CM45" s="95"/>
      <c r="CN45" s="95"/>
      <c r="CO45" s="95"/>
      <c r="CP45" s="95"/>
      <c r="CQ45" s="95"/>
      <c r="CR45" s="95"/>
      <c r="CS45" s="95"/>
      <c r="CT45" s="95"/>
      <c r="CU45" s="95"/>
      <c r="CV45" s="95"/>
      <c r="CW45" s="95"/>
      <c r="CX45" s="95"/>
      <c r="CY45" s="95"/>
      <c r="CZ45" s="95"/>
      <c r="DA45" s="95"/>
      <c r="DB45" s="95"/>
      <c r="DC45" s="95"/>
      <c r="DD45" s="96"/>
      <c r="DE45" s="96"/>
      <c r="DF45" s="96"/>
    </row>
    <row r="46" spans="1:114">
      <c r="A46" s="95"/>
      <c r="B46" s="613">
        <v>3210</v>
      </c>
      <c r="C46" s="17" t="s">
        <v>64</v>
      </c>
      <c r="D46" s="112">
        <f ca="1">-SUMIF(BC[],MID(B46,1,3)&amp;"*",bc_2017)+L57</f>
        <v>394466.96000000834</v>
      </c>
      <c r="E46" s="112">
        <f ca="1">-SUMIF(BC[],MID(B46,1,3)&amp;"*",bc_2016)+M57</f>
        <v>-1484625.6799999923</v>
      </c>
      <c r="F46" s="112">
        <f ca="1">-SUMIF(BC[],MID(B46,1,3)&amp;"*",bc_2015)+N57</f>
        <v>-1332152.8400000036</v>
      </c>
      <c r="G46" s="602"/>
      <c r="H46" s="95"/>
      <c r="I46" s="95"/>
      <c r="J46" s="613">
        <v>5440</v>
      </c>
      <c r="K46" s="18" t="s">
        <v>213</v>
      </c>
      <c r="L46" s="112">
        <f ca="1">SUMIF(BC[],MID(J46,1,3)&amp;"*",bc_2017)</f>
        <v>0</v>
      </c>
      <c r="M46" s="112">
        <f ca="1">SUMIF(BC[],MID(J46,1,3)&amp;"*",bc_2016)</f>
        <v>0</v>
      </c>
      <c r="N46" s="112">
        <f ca="1">SUMIF(BC[],MID(J46,1,3)&amp;"*",bc_2015)</f>
        <v>0</v>
      </c>
      <c r="O46" s="614"/>
      <c r="P46" s="95"/>
      <c r="Q46" s="95"/>
      <c r="R46" s="95"/>
      <c r="S46" s="95"/>
      <c r="T46" s="95"/>
      <c r="U46" s="95"/>
      <c r="V46" s="95"/>
      <c r="W46" s="95"/>
      <c r="X46" s="95"/>
      <c r="Y46" s="95"/>
      <c r="Z46" s="95"/>
      <c r="AA46" s="613">
        <v>3210</v>
      </c>
      <c r="AB46" s="17" t="s">
        <v>148</v>
      </c>
      <c r="AC46" s="120">
        <f t="shared" ca="1" si="49"/>
        <v>1879092.6400000006</v>
      </c>
      <c r="AD46" s="120">
        <f t="shared" ca="1" si="50"/>
        <v>0</v>
      </c>
      <c r="AE46" s="120">
        <f t="shared" ca="1" si="77"/>
        <v>0</v>
      </c>
      <c r="AF46" s="120">
        <f t="shared" ca="1" si="78"/>
        <v>152472.83999998868</v>
      </c>
      <c r="AG46" s="95"/>
      <c r="AH46" s="95"/>
      <c r="AI46" s="27">
        <v>900007</v>
      </c>
      <c r="AJ46" s="598" t="s">
        <v>101</v>
      </c>
      <c r="AK46" s="128">
        <f ca="1">+AK47+AK50</f>
        <v>2743514.7599999947</v>
      </c>
      <c r="AL46" s="128">
        <f ca="1">+AL47+AL50</f>
        <v>537339.72999999207</v>
      </c>
      <c r="AM46" s="602"/>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39" t="s">
        <v>244</v>
      </c>
      <c r="BL46" s="40" t="s">
        <v>245</v>
      </c>
      <c r="BM46" s="334">
        <f>SUMIF(pi_cri,MID(BK46,1,1)&amp;"*",pi_e)</f>
        <v>0</v>
      </c>
      <c r="BN46" s="334">
        <f>SUMIF(pi_cri,MID(BK46,1,1)&amp;"*",pi_m)</f>
        <v>0</v>
      </c>
      <c r="BO46" s="334">
        <f t="shared" si="66"/>
        <v>0</v>
      </c>
      <c r="BP46" s="334">
        <f>SUMIF(pi_cri,MID(BK46,1,1)&amp;"*",pi_d)</f>
        <v>0</v>
      </c>
      <c r="BQ46" s="334">
        <f>SUMIF(pi_cri,MID(BK46,1,1)&amp;"*",pi_r)</f>
        <v>0</v>
      </c>
      <c r="BR46" s="334">
        <f t="shared" si="67"/>
        <v>0</v>
      </c>
      <c r="BS46" s="334">
        <f t="shared" si="68"/>
        <v>0</v>
      </c>
      <c r="BT46" s="95"/>
      <c r="BU46" s="95"/>
      <c r="BV46" s="623">
        <v>5200</v>
      </c>
      <c r="BW46" s="624" t="s">
        <v>22</v>
      </c>
      <c r="BX46" s="338">
        <f t="shared" si="82"/>
        <v>0</v>
      </c>
      <c r="BY46" s="338">
        <f t="shared" si="83"/>
        <v>0</v>
      </c>
      <c r="BZ46" s="338">
        <f t="shared" si="19"/>
        <v>0</v>
      </c>
      <c r="CA46" s="338">
        <f t="shared" si="84"/>
        <v>0</v>
      </c>
      <c r="CB46" s="338">
        <f t="shared" si="85"/>
        <v>0</v>
      </c>
      <c r="CC46" s="338">
        <f t="shared" si="22"/>
        <v>0</v>
      </c>
      <c r="CD46" s="95"/>
      <c r="CE46" s="95"/>
      <c r="CF46" s="95"/>
      <c r="CG46" s="95"/>
      <c r="CH46" s="95"/>
      <c r="CI46" s="95"/>
      <c r="CJ46" s="95"/>
      <c r="CK46" s="95"/>
      <c r="CL46" s="95"/>
      <c r="CM46" s="95"/>
      <c r="CN46" s="95"/>
      <c r="CO46" s="95"/>
      <c r="CP46" s="95"/>
      <c r="CQ46" s="95"/>
      <c r="CR46" s="95"/>
      <c r="CS46" s="95"/>
      <c r="CT46" s="95"/>
      <c r="CU46" s="95"/>
      <c r="CV46" s="95"/>
      <c r="CW46" s="95"/>
      <c r="CX46" s="95"/>
      <c r="CY46" s="95"/>
      <c r="CZ46" s="95"/>
      <c r="DA46" s="95"/>
      <c r="DB46" s="95"/>
      <c r="DC46" s="95"/>
      <c r="DD46" s="96"/>
      <c r="DE46" s="96"/>
      <c r="DF46" s="96"/>
    </row>
    <row r="47" spans="1:114">
      <c r="A47" s="95"/>
      <c r="B47" s="613">
        <v>3220</v>
      </c>
      <c r="C47" s="17" t="s">
        <v>65</v>
      </c>
      <c r="D47" s="112">
        <f ca="1">-SUMIF(BC[],MID(B47,1,3)&amp;"*",bc_2017)</f>
        <v>655461.73</v>
      </c>
      <c r="E47" s="112">
        <f ca="1">-SUMIF(BC[],MID(B47,1,3)&amp;"*",bc_2016)</f>
        <v>531043.31000000006</v>
      </c>
      <c r="F47" s="112">
        <f ca="1">-SUMIF(BC[],MID(B47,1,3)&amp;"*",bc_2015)</f>
        <v>1863196.1500000004</v>
      </c>
      <c r="G47" s="602"/>
      <c r="H47" s="95"/>
      <c r="I47" s="95"/>
      <c r="J47" s="613">
        <v>5450</v>
      </c>
      <c r="K47" s="18" t="s">
        <v>214</v>
      </c>
      <c r="L47" s="112">
        <f ca="1">SUMIF(BC[],MID(J47,1,3)&amp;"*",bc_2017)</f>
        <v>0</v>
      </c>
      <c r="M47" s="112">
        <f ca="1">SUMIF(BC[],MID(J47,1,3)&amp;"*",bc_2016)</f>
        <v>0</v>
      </c>
      <c r="N47" s="112">
        <f ca="1">SUMIF(BC[],MID(J47,1,3)&amp;"*",bc_2015)</f>
        <v>0</v>
      </c>
      <c r="O47" s="614"/>
      <c r="P47" s="95"/>
      <c r="Q47" s="95"/>
      <c r="R47" s="95"/>
      <c r="S47" s="95"/>
      <c r="T47" s="95"/>
      <c r="U47" s="95"/>
      <c r="V47" s="95"/>
      <c r="W47" s="95"/>
      <c r="X47" s="95"/>
      <c r="Y47" s="95"/>
      <c r="Z47" s="95"/>
      <c r="AA47" s="613">
        <v>3220</v>
      </c>
      <c r="AB47" s="17" t="s">
        <v>65</v>
      </c>
      <c r="AC47" s="120">
        <f t="shared" ca="1" si="49"/>
        <v>124418.41999999993</v>
      </c>
      <c r="AD47" s="120">
        <f t="shared" ca="1" si="50"/>
        <v>0</v>
      </c>
      <c r="AE47" s="120">
        <f t="shared" ca="1" si="77"/>
        <v>0</v>
      </c>
      <c r="AF47" s="120">
        <f t="shared" ca="1" si="78"/>
        <v>1332152.8400000003</v>
      </c>
      <c r="AG47" s="95"/>
      <c r="AH47" s="95"/>
      <c r="AI47" s="647"/>
      <c r="AJ47" s="18" t="s">
        <v>137</v>
      </c>
      <c r="AK47" s="129">
        <f>SUM(AK48:AK49)</f>
        <v>0</v>
      </c>
      <c r="AL47" s="129"/>
      <c r="AM47" s="602"/>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11"/>
      <c r="BL47" s="11"/>
      <c r="BM47" s="11"/>
      <c r="BN47" s="11"/>
      <c r="BO47" s="11"/>
      <c r="BP47" s="11"/>
      <c r="BQ47" s="11"/>
      <c r="BR47" s="11"/>
      <c r="BS47" s="11"/>
      <c r="BT47" s="95"/>
      <c r="BU47" s="95"/>
      <c r="BV47" s="623">
        <v>5300</v>
      </c>
      <c r="BW47" s="624" t="s">
        <v>23</v>
      </c>
      <c r="BX47" s="338">
        <f t="shared" si="82"/>
        <v>0</v>
      </c>
      <c r="BY47" s="338">
        <f t="shared" si="83"/>
        <v>0</v>
      </c>
      <c r="BZ47" s="338">
        <f t="shared" si="19"/>
        <v>0</v>
      </c>
      <c r="CA47" s="338">
        <f t="shared" si="84"/>
        <v>0</v>
      </c>
      <c r="CB47" s="338">
        <f t="shared" si="85"/>
        <v>0</v>
      </c>
      <c r="CC47" s="338">
        <f t="shared" si="22"/>
        <v>0</v>
      </c>
      <c r="CD47" s="95"/>
      <c r="CE47" s="95"/>
      <c r="CF47" s="95"/>
      <c r="CG47" s="95"/>
      <c r="CH47" s="95"/>
      <c r="CI47" s="95"/>
      <c r="CJ47" s="95"/>
      <c r="CK47" s="95"/>
      <c r="CL47" s="95"/>
      <c r="CM47" s="95"/>
      <c r="CN47" s="95"/>
      <c r="CO47" s="95"/>
      <c r="CP47" s="95"/>
      <c r="CQ47" s="95"/>
      <c r="CR47" s="95"/>
      <c r="CS47" s="95"/>
      <c r="CT47" s="95"/>
      <c r="CU47" s="95"/>
      <c r="CV47" s="95"/>
      <c r="CW47" s="95"/>
      <c r="CX47" s="95"/>
      <c r="CY47" s="95"/>
      <c r="CZ47" s="95"/>
      <c r="DA47" s="95"/>
      <c r="DB47" s="95"/>
      <c r="DC47" s="95"/>
      <c r="DD47" s="96"/>
      <c r="DE47" s="96"/>
      <c r="DF47" s="96"/>
    </row>
    <row r="48" spans="1:114">
      <c r="A48" s="95"/>
      <c r="B48" s="613">
        <v>3230</v>
      </c>
      <c r="C48" s="17" t="s">
        <v>66</v>
      </c>
      <c r="D48" s="112">
        <f ca="1">-SUMIF(BC[],MID(B48,1,3)&amp;"*",bc_2017)</f>
        <v>0</v>
      </c>
      <c r="E48" s="112">
        <f ca="1">-SUMIF(BC[],MID(B48,1,3)&amp;"*",bc_2016)</f>
        <v>0</v>
      </c>
      <c r="F48" s="112">
        <f ca="1">-SUMIF(BC[],MID(B48,1,3)&amp;"*",bc_2015)</f>
        <v>0</v>
      </c>
      <c r="G48" s="602"/>
      <c r="H48" s="95"/>
      <c r="I48" s="95"/>
      <c r="J48" s="597">
        <v>5500</v>
      </c>
      <c r="K48" s="598" t="s">
        <v>215</v>
      </c>
      <c r="L48" s="111">
        <f ca="1">SUM(L49:L54)</f>
        <v>2531067.35</v>
      </c>
      <c r="M48" s="111">
        <f ca="1">SUM(M49:M54)</f>
        <v>2390566.8499999996</v>
      </c>
      <c r="N48" s="111">
        <f ca="1">SUM(N49:N54)</f>
        <v>1985472.5799999998</v>
      </c>
      <c r="O48" s="614"/>
      <c r="P48" s="95"/>
      <c r="Q48" s="95"/>
      <c r="R48" s="95"/>
      <c r="S48" s="95"/>
      <c r="T48" s="95"/>
      <c r="U48" s="95"/>
      <c r="V48" s="95"/>
      <c r="W48" s="95"/>
      <c r="X48" s="95"/>
      <c r="Y48" s="95"/>
      <c r="Z48" s="95"/>
      <c r="AA48" s="613">
        <v>3230</v>
      </c>
      <c r="AB48" s="17" t="s">
        <v>66</v>
      </c>
      <c r="AC48" s="120">
        <f t="shared" ca="1" si="49"/>
        <v>0</v>
      </c>
      <c r="AD48" s="120">
        <f t="shared" ca="1" si="50"/>
        <v>0</v>
      </c>
      <c r="AE48" s="120">
        <f t="shared" ca="1" si="77"/>
        <v>0</v>
      </c>
      <c r="AF48" s="120">
        <f t="shared" ca="1" si="78"/>
        <v>0</v>
      </c>
      <c r="AG48" s="95"/>
      <c r="AH48" s="95"/>
      <c r="AI48" s="613">
        <v>2233</v>
      </c>
      <c r="AJ48" s="18" t="s">
        <v>138</v>
      </c>
      <c r="AK48" s="112">
        <v>0</v>
      </c>
      <c r="AL48" s="112">
        <v>0</v>
      </c>
      <c r="AM48" s="602"/>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11"/>
      <c r="BL48" s="11"/>
      <c r="BM48" s="11"/>
      <c r="BN48" s="11"/>
      <c r="BO48" s="11"/>
      <c r="BP48" s="11"/>
      <c r="BQ48" s="11"/>
      <c r="BR48" s="11"/>
      <c r="BS48" s="11"/>
      <c r="BT48" s="95"/>
      <c r="BU48" s="95"/>
      <c r="BV48" s="623">
        <v>5400</v>
      </c>
      <c r="BW48" s="624" t="s">
        <v>24</v>
      </c>
      <c r="BX48" s="338">
        <f t="shared" si="82"/>
        <v>666567.59</v>
      </c>
      <c r="BY48" s="338">
        <f t="shared" si="83"/>
        <v>456930.41000000015</v>
      </c>
      <c r="BZ48" s="338">
        <f t="shared" si="19"/>
        <v>1123498</v>
      </c>
      <c r="CA48" s="338">
        <f t="shared" si="84"/>
        <v>1123498</v>
      </c>
      <c r="CB48" s="338">
        <f t="shared" si="85"/>
        <v>1123498</v>
      </c>
      <c r="CC48" s="338">
        <f t="shared" si="22"/>
        <v>0</v>
      </c>
      <c r="CD48" s="95"/>
      <c r="CE48" s="95"/>
      <c r="CF48" s="95"/>
      <c r="CG48" s="95"/>
      <c r="CH48" s="95"/>
      <c r="CI48" s="95"/>
      <c r="CJ48" s="95"/>
      <c r="CK48" s="95"/>
      <c r="CL48" s="95"/>
      <c r="CM48" s="95"/>
      <c r="CN48" s="95"/>
      <c r="CO48" s="95"/>
      <c r="CP48" s="95"/>
      <c r="CQ48" s="95"/>
      <c r="CR48" s="95"/>
      <c r="CS48" s="95"/>
      <c r="CT48" s="95"/>
      <c r="CU48" s="95"/>
      <c r="CV48" s="95"/>
      <c r="CW48" s="95"/>
      <c r="CX48" s="95"/>
      <c r="CY48" s="95"/>
      <c r="CZ48" s="95"/>
      <c r="DA48" s="95"/>
      <c r="DB48" s="95"/>
      <c r="DC48" s="95"/>
      <c r="DD48" s="96"/>
      <c r="DE48" s="96"/>
      <c r="DF48" s="96"/>
    </row>
    <row r="49" spans="1:110">
      <c r="A49" s="95"/>
      <c r="B49" s="613">
        <v>3240</v>
      </c>
      <c r="C49" s="17" t="s">
        <v>67</v>
      </c>
      <c r="D49" s="112">
        <f ca="1">-SUMIF(BC[],MID(B49,1,3)&amp;"*",bc_2017)</f>
        <v>0</v>
      </c>
      <c r="E49" s="112">
        <f ca="1">-SUMIF(BC[],MID(B49,1,3)&amp;"*",bc_2016)</f>
        <v>0</v>
      </c>
      <c r="F49" s="112">
        <f ca="1">-SUMIF(BC[],MID(B49,1,3)&amp;"*",bc_2015)</f>
        <v>0</v>
      </c>
      <c r="G49" s="602"/>
      <c r="H49" s="95"/>
      <c r="I49" s="95"/>
      <c r="J49" s="613">
        <v>5510</v>
      </c>
      <c r="K49" s="18" t="s">
        <v>216</v>
      </c>
      <c r="L49" s="112">
        <f ca="1">SUMIF(BC[],MID(J49,1,3)&amp;"*",bc_2017)</f>
        <v>2531067.35</v>
      </c>
      <c r="M49" s="112">
        <f ca="1">SUMIF(BC[],MID(J49,1,3)&amp;"*",bc_2016)</f>
        <v>2390566.8499999996</v>
      </c>
      <c r="N49" s="112">
        <f ca="1">SUMIF(BC[],MID(J49,1,3)&amp;"*",bc_2015)</f>
        <v>1985472.5799999998</v>
      </c>
      <c r="O49" s="614"/>
      <c r="P49" s="95"/>
      <c r="Q49" s="95"/>
      <c r="R49" s="95"/>
      <c r="S49" s="95"/>
      <c r="T49" s="95"/>
      <c r="U49" s="95"/>
      <c r="V49" s="95"/>
      <c r="W49" s="95"/>
      <c r="X49" s="95"/>
      <c r="Y49" s="95"/>
      <c r="Z49" s="95"/>
      <c r="AA49" s="613">
        <v>3240</v>
      </c>
      <c r="AB49" s="17" t="s">
        <v>67</v>
      </c>
      <c r="AC49" s="120">
        <f t="shared" ca="1" si="49"/>
        <v>0</v>
      </c>
      <c r="AD49" s="120">
        <f t="shared" ca="1" si="50"/>
        <v>0</v>
      </c>
      <c r="AE49" s="120">
        <f t="shared" ca="1" si="77"/>
        <v>0</v>
      </c>
      <c r="AF49" s="120">
        <f t="shared" ca="1" si="78"/>
        <v>0</v>
      </c>
      <c r="AG49" s="95"/>
      <c r="AH49" s="95"/>
      <c r="AI49" s="648">
        <v>2234</v>
      </c>
      <c r="AJ49" s="18" t="s">
        <v>139</v>
      </c>
      <c r="AK49" s="112">
        <v>0</v>
      </c>
      <c r="AL49" s="112">
        <v>0</v>
      </c>
      <c r="AM49" s="602"/>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1032" t="s">
        <v>361</v>
      </c>
      <c r="BL49" s="1032"/>
      <c r="BM49" s="1032"/>
      <c r="BN49" s="1032"/>
      <c r="BO49" s="1032"/>
      <c r="BP49" s="1032"/>
      <c r="BQ49" s="1032"/>
      <c r="BR49" s="1032"/>
      <c r="BS49" s="11"/>
      <c r="BT49" s="95"/>
      <c r="BU49" s="95"/>
      <c r="BV49" s="623">
        <v>5500</v>
      </c>
      <c r="BW49" s="624" t="s">
        <v>25</v>
      </c>
      <c r="BX49" s="338">
        <f t="shared" si="82"/>
        <v>0</v>
      </c>
      <c r="BY49" s="338">
        <f t="shared" si="83"/>
        <v>0</v>
      </c>
      <c r="BZ49" s="338">
        <f t="shared" si="19"/>
        <v>0</v>
      </c>
      <c r="CA49" s="338">
        <f t="shared" si="84"/>
        <v>0</v>
      </c>
      <c r="CB49" s="338">
        <f t="shared" si="85"/>
        <v>0</v>
      </c>
      <c r="CC49" s="338">
        <f t="shared" si="22"/>
        <v>0</v>
      </c>
      <c r="CD49" s="95"/>
      <c r="CE49" s="95"/>
      <c r="CF49" s="95"/>
      <c r="CG49" s="95"/>
      <c r="CH49" s="95"/>
      <c r="CI49" s="95"/>
      <c r="CJ49" s="95"/>
      <c r="CK49" s="95"/>
      <c r="CL49" s="95"/>
      <c r="CM49" s="95"/>
      <c r="CN49" s="95"/>
      <c r="CO49" s="95"/>
      <c r="CP49" s="95"/>
      <c r="CQ49" s="95"/>
      <c r="CR49" s="95"/>
      <c r="CS49" s="95"/>
      <c r="CT49" s="95"/>
      <c r="CU49" s="95"/>
      <c r="CV49" s="95"/>
      <c r="CW49" s="95"/>
      <c r="CX49" s="95"/>
      <c r="CY49" s="95"/>
      <c r="CZ49" s="95"/>
      <c r="DA49" s="95"/>
      <c r="DB49" s="95"/>
      <c r="DC49" s="95"/>
      <c r="DD49" s="96"/>
      <c r="DE49" s="96"/>
      <c r="DF49" s="96"/>
    </row>
    <row r="50" spans="1:110">
      <c r="A50" s="95"/>
      <c r="B50" s="613">
        <v>3250</v>
      </c>
      <c r="C50" s="17" t="s">
        <v>68</v>
      </c>
      <c r="D50" s="112">
        <f ca="1">-SUMIF(BC[],MID(B50,1,3)&amp;"*",bc_2017)</f>
        <v>0</v>
      </c>
      <c r="E50" s="112">
        <f ca="1">-SUMIF(BC[],MID(B50,1,3)&amp;"*",bc_2016)</f>
        <v>0</v>
      </c>
      <c r="F50" s="112">
        <f ca="1">-SUMIF(BC[],MID(B50,1,3)&amp;"*",bc_2015)</f>
        <v>0</v>
      </c>
      <c r="G50" s="602"/>
      <c r="H50" s="95"/>
      <c r="I50" s="95"/>
      <c r="J50" s="613">
        <v>5520</v>
      </c>
      <c r="K50" s="18" t="s">
        <v>217</v>
      </c>
      <c r="L50" s="112">
        <f ca="1">SUMIF(BC[],MID(J50,1,3)&amp;"*",bc_2017)</f>
        <v>0</v>
      </c>
      <c r="M50" s="112">
        <f ca="1">SUMIF(BC[],MID(J50,1,3)&amp;"*",bc_2016)</f>
        <v>0</v>
      </c>
      <c r="N50" s="112">
        <f ca="1">SUMIF(BC[],MID(J50,1,3)&amp;"*",bc_2015)</f>
        <v>0</v>
      </c>
      <c r="O50" s="614"/>
      <c r="P50" s="95"/>
      <c r="Q50" s="95"/>
      <c r="R50" s="95"/>
      <c r="S50" s="95"/>
      <c r="T50" s="95"/>
      <c r="U50" s="95"/>
      <c r="V50" s="95"/>
      <c r="W50" s="95"/>
      <c r="X50" s="95"/>
      <c r="Y50" s="95"/>
      <c r="Z50" s="95"/>
      <c r="AA50" s="613">
        <v>3250</v>
      </c>
      <c r="AB50" s="17" t="s">
        <v>68</v>
      </c>
      <c r="AC50" s="120">
        <f t="shared" ca="1" si="49"/>
        <v>0</v>
      </c>
      <c r="AD50" s="120">
        <f t="shared" ca="1" si="50"/>
        <v>0</v>
      </c>
      <c r="AE50" s="120">
        <f t="shared" ca="1" si="77"/>
        <v>0</v>
      </c>
      <c r="AF50" s="120">
        <f t="shared" ca="1" si="78"/>
        <v>0</v>
      </c>
      <c r="AG50" s="95"/>
      <c r="AH50" s="95"/>
      <c r="AI50" s="649">
        <v>4800</v>
      </c>
      <c r="AJ50" s="18" t="s">
        <v>140</v>
      </c>
      <c r="AK50" s="130">
        <f ca="1">SUM(AC7:AC12)+SUM(AC14:AC15)+SUM(AC19:AC22)+SUM(AC25:AC32)+SUM(AC34:AC39)+SUM(AC43:AC44)+SUM(AC46:AC50)+SUM(AC52:AC53)-L57-L48</f>
        <v>2743514.7599999947</v>
      </c>
      <c r="AL50" s="130">
        <f ca="1">SUM(AE7:AE12)+SUM(AE14:AE15)+SUM(AE19:AE22)+SUM(AE25:AE32)+SUM(AE34:AE39)+SUM(AE43:AE44)+SUM(AE46:AE50)+SUM(AE52:AE53)-M57-M48</f>
        <v>537339.72999999207</v>
      </c>
      <c r="AM50" s="602"/>
      <c r="AN50" s="95"/>
      <c r="AO50" s="95"/>
      <c r="AP50" s="95"/>
      <c r="AQ50" s="95"/>
      <c r="AR50" s="95"/>
      <c r="AS50" s="95"/>
      <c r="AT50" s="95"/>
      <c r="AU50" s="95"/>
      <c r="AV50" s="95"/>
      <c r="AW50" s="95"/>
      <c r="AX50" s="95"/>
      <c r="AY50" s="95"/>
      <c r="AZ50" s="95"/>
      <c r="BA50" s="95"/>
      <c r="BB50" s="95"/>
      <c r="BC50" s="95"/>
      <c r="BD50" s="95"/>
      <c r="BE50" s="95"/>
      <c r="BF50" s="95"/>
      <c r="BI50" s="95"/>
      <c r="BJ50" s="95"/>
      <c r="BK50" s="17"/>
      <c r="BL50" s="17"/>
      <c r="BM50" s="17"/>
      <c r="BN50" s="49"/>
      <c r="BO50" s="17"/>
      <c r="BP50" s="11"/>
      <c r="BQ50" s="11"/>
      <c r="BR50" s="11"/>
      <c r="BS50" s="11"/>
      <c r="BT50" s="95"/>
      <c r="BU50" s="95"/>
      <c r="BV50" s="623">
        <v>5600</v>
      </c>
      <c r="BW50" s="624" t="s">
        <v>26</v>
      </c>
      <c r="BX50" s="338">
        <f t="shared" si="82"/>
        <v>0</v>
      </c>
      <c r="BY50" s="338">
        <f t="shared" si="83"/>
        <v>93663.739999999991</v>
      </c>
      <c r="BZ50" s="338">
        <f t="shared" si="19"/>
        <v>93663.739999999991</v>
      </c>
      <c r="CA50" s="338">
        <f t="shared" si="84"/>
        <v>93663.739999999991</v>
      </c>
      <c r="CB50" s="338">
        <f t="shared" si="85"/>
        <v>93663.739999999991</v>
      </c>
      <c r="CC50" s="338">
        <f t="shared" si="22"/>
        <v>0</v>
      </c>
      <c r="CD50" s="95"/>
      <c r="CE50" s="95"/>
      <c r="CF50" s="95"/>
      <c r="CG50" s="95"/>
      <c r="CH50" s="95"/>
      <c r="CI50" s="95"/>
      <c r="CJ50" s="95"/>
      <c r="CK50" s="95"/>
      <c r="CL50" s="95"/>
      <c r="CM50" s="95"/>
      <c r="CN50" s="95"/>
      <c r="CO50" s="95"/>
      <c r="CP50" s="95"/>
      <c r="CQ50" s="95"/>
      <c r="CR50" s="95"/>
      <c r="CS50" s="95"/>
      <c r="CT50" s="95"/>
      <c r="CU50" s="95"/>
      <c r="CV50" s="95"/>
      <c r="CW50" s="95"/>
      <c r="CX50" s="95"/>
      <c r="CY50" s="95"/>
      <c r="CZ50" s="95"/>
      <c r="DA50" s="95"/>
      <c r="DB50" s="95"/>
      <c r="DC50" s="95"/>
      <c r="DD50" s="95"/>
      <c r="DE50" s="95"/>
      <c r="DF50" s="95"/>
    </row>
    <row r="51" spans="1:110">
      <c r="A51" s="95"/>
      <c r="B51" s="597">
        <v>3300</v>
      </c>
      <c r="C51" s="601" t="s">
        <v>149</v>
      </c>
      <c r="D51" s="111">
        <f ca="1">SUM(D52:D53)</f>
        <v>0</v>
      </c>
      <c r="E51" s="111">
        <f ca="1">SUM(E52:E53)</f>
        <v>0</v>
      </c>
      <c r="F51" s="111">
        <f ca="1">SUM(F52:F53)</f>
        <v>0</v>
      </c>
      <c r="G51" s="602"/>
      <c r="H51" s="95"/>
      <c r="I51" s="95"/>
      <c r="J51" s="613">
        <v>5530</v>
      </c>
      <c r="K51" s="18" t="s">
        <v>218</v>
      </c>
      <c r="L51" s="112">
        <f ca="1">SUMIF(BC[],MID(J51,1,3)&amp;"*",bc_2017)</f>
        <v>0</v>
      </c>
      <c r="M51" s="112">
        <f ca="1">SUMIF(BC[],MID(J51,1,3)&amp;"*",bc_2016)</f>
        <v>0</v>
      </c>
      <c r="N51" s="112">
        <f ca="1">SUMIF(BC[],MID(J51,1,3)&amp;"*",bc_2015)</f>
        <v>0</v>
      </c>
      <c r="O51" s="614"/>
      <c r="P51" s="95"/>
      <c r="Q51" s="95"/>
      <c r="R51" s="95"/>
      <c r="S51" s="95"/>
      <c r="T51" s="95"/>
      <c r="U51" s="95"/>
      <c r="V51" s="95"/>
      <c r="W51" s="95"/>
      <c r="X51" s="95"/>
      <c r="Y51" s="95"/>
      <c r="Z51" s="95"/>
      <c r="AA51" s="597">
        <v>3300</v>
      </c>
      <c r="AB51" s="601" t="s">
        <v>149</v>
      </c>
      <c r="AC51" s="121">
        <f t="shared" ca="1" si="49"/>
        <v>0</v>
      </c>
      <c r="AD51" s="121">
        <f t="shared" ca="1" si="50"/>
        <v>0</v>
      </c>
      <c r="AE51" s="121">
        <f t="shared" ca="1" si="77"/>
        <v>0</v>
      </c>
      <c r="AF51" s="121">
        <f t="shared" ca="1" si="78"/>
        <v>0</v>
      </c>
      <c r="AG51" s="95"/>
      <c r="AH51" s="95"/>
      <c r="AI51" s="649">
        <v>900008</v>
      </c>
      <c r="AJ51" s="598" t="s">
        <v>113</v>
      </c>
      <c r="AK51" s="128">
        <f ca="1">+AK52+AK55</f>
        <v>221.98999999999796</v>
      </c>
      <c r="AL51" s="128">
        <f ca="1">+AL52+AL55</f>
        <v>1838570.8699999894</v>
      </c>
      <c r="AM51" s="602"/>
      <c r="AN51" s="95"/>
      <c r="AO51" s="95"/>
      <c r="AP51" s="95"/>
      <c r="AQ51" s="95"/>
      <c r="AR51" s="95"/>
      <c r="AS51" s="95"/>
      <c r="AT51" s="95"/>
      <c r="AU51" s="95"/>
      <c r="AV51" s="95"/>
      <c r="AW51" s="95"/>
      <c r="AX51" s="95"/>
      <c r="AY51" s="95"/>
      <c r="AZ51" s="95"/>
      <c r="BA51" s="95"/>
      <c r="BB51" s="95"/>
      <c r="BC51" s="95"/>
      <c r="BD51" s="95"/>
      <c r="BE51" s="95"/>
      <c r="BF51" s="95"/>
      <c r="BI51" s="95"/>
      <c r="BJ51" s="95"/>
      <c r="BK51" s="17"/>
      <c r="BL51" s="17"/>
      <c r="BM51" s="17"/>
      <c r="BN51" s="49"/>
      <c r="BO51" s="17"/>
      <c r="BP51" s="11"/>
      <c r="BQ51" s="11"/>
      <c r="BR51" s="11"/>
      <c r="BS51" s="11"/>
      <c r="BT51" s="95"/>
      <c r="BU51" s="95"/>
      <c r="BV51" s="623">
        <v>5700</v>
      </c>
      <c r="BW51" s="624" t="s">
        <v>27</v>
      </c>
      <c r="BX51" s="338">
        <f t="shared" si="82"/>
        <v>0</v>
      </c>
      <c r="BY51" s="338">
        <f t="shared" si="83"/>
        <v>0</v>
      </c>
      <c r="BZ51" s="338">
        <f t="shared" si="19"/>
        <v>0</v>
      </c>
      <c r="CA51" s="338">
        <f t="shared" si="84"/>
        <v>0</v>
      </c>
      <c r="CB51" s="338">
        <f t="shared" si="85"/>
        <v>0</v>
      </c>
      <c r="CC51" s="338">
        <f t="shared" si="22"/>
        <v>0</v>
      </c>
      <c r="CD51" s="95"/>
      <c r="CE51" s="95"/>
      <c r="CF51" s="95"/>
      <c r="CG51" s="95"/>
      <c r="CH51" s="95"/>
      <c r="CI51" s="95"/>
      <c r="CJ51" s="95"/>
      <c r="CK51" s="95"/>
      <c r="CL51" s="95"/>
      <c r="CM51" s="95"/>
      <c r="CN51" s="95"/>
      <c r="CO51" s="95"/>
      <c r="CP51" s="95"/>
      <c r="CQ51" s="95"/>
      <c r="CR51" s="95"/>
      <c r="CS51" s="95"/>
      <c r="CT51" s="95"/>
      <c r="CU51" s="95"/>
      <c r="CV51" s="95"/>
      <c r="CW51" s="95"/>
      <c r="CX51" s="95"/>
      <c r="CY51" s="95"/>
      <c r="CZ51" s="95"/>
      <c r="DA51" s="95"/>
      <c r="DB51" s="95"/>
      <c r="DC51" s="95"/>
      <c r="DD51" s="95"/>
      <c r="DE51" s="95"/>
      <c r="DF51" s="95"/>
    </row>
    <row r="52" spans="1:110">
      <c r="A52" s="95"/>
      <c r="B52" s="613">
        <v>3310</v>
      </c>
      <c r="C52" s="17" t="s">
        <v>69</v>
      </c>
      <c r="D52" s="112">
        <f ca="1">-SUMIF(BC[],MID(B52,1,3)&amp;"*",bc_2017)</f>
        <v>0</v>
      </c>
      <c r="E52" s="112">
        <f ca="1">-SUMIF(BC[],MID(B52,1,3)&amp;"*",bc_2016)</f>
        <v>0</v>
      </c>
      <c r="F52" s="112">
        <f ca="1">-SUMIF(BC[],MID(B52,1,3)&amp;"*",bc_2015)</f>
        <v>0</v>
      </c>
      <c r="G52" s="602"/>
      <c r="H52" s="95"/>
      <c r="I52" s="95"/>
      <c r="J52" s="613">
        <v>5540</v>
      </c>
      <c r="K52" s="18" t="s">
        <v>219</v>
      </c>
      <c r="L52" s="112">
        <f ca="1">SUMIF(BC[],MID(J52,1,3)&amp;"*",bc_2017)</f>
        <v>0</v>
      </c>
      <c r="M52" s="112">
        <f ca="1">SUMIF(BC[],MID(J52,1,3)&amp;"*",bc_2016)</f>
        <v>0</v>
      </c>
      <c r="N52" s="112">
        <f ca="1">SUMIF(BC[],MID(J52,1,3)&amp;"*",bc_2015)</f>
        <v>0</v>
      </c>
      <c r="O52" s="614"/>
      <c r="P52" s="95"/>
      <c r="Q52" s="95"/>
      <c r="R52" s="95"/>
      <c r="S52" s="95"/>
      <c r="T52" s="95"/>
      <c r="U52" s="95"/>
      <c r="V52" s="95"/>
      <c r="W52" s="95"/>
      <c r="X52" s="95"/>
      <c r="Y52" s="95"/>
      <c r="Z52" s="95"/>
      <c r="AA52" s="613">
        <v>3310</v>
      </c>
      <c r="AB52" s="17" t="s">
        <v>69</v>
      </c>
      <c r="AC52" s="120">
        <f t="shared" ca="1" si="49"/>
        <v>0</v>
      </c>
      <c r="AD52" s="120">
        <f t="shared" ca="1" si="50"/>
        <v>0</v>
      </c>
      <c r="AE52" s="120">
        <f t="shared" ca="1" si="77"/>
        <v>0</v>
      </c>
      <c r="AF52" s="120">
        <f t="shared" ca="1" si="78"/>
        <v>0</v>
      </c>
      <c r="AG52" s="95"/>
      <c r="AH52" s="95"/>
      <c r="AI52" s="648"/>
      <c r="AJ52" s="18" t="s">
        <v>141</v>
      </c>
      <c r="AK52" s="129">
        <f>SUM(AK53:AK54)</f>
        <v>0</v>
      </c>
      <c r="AL52" s="129"/>
      <c r="AM52" s="602"/>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17"/>
      <c r="BL52" s="17"/>
      <c r="BM52" s="17"/>
      <c r="BN52" s="49"/>
      <c r="BO52" s="17"/>
      <c r="BP52" s="11"/>
      <c r="BQ52" s="11"/>
      <c r="BR52" s="11"/>
      <c r="BS52" s="11"/>
      <c r="BT52" s="95"/>
      <c r="BU52" s="95"/>
      <c r="BV52" s="623">
        <v>5800</v>
      </c>
      <c r="BW52" s="624" t="s">
        <v>266</v>
      </c>
      <c r="BX52" s="338">
        <f t="shared" si="82"/>
        <v>0</v>
      </c>
      <c r="BY52" s="338">
        <f t="shared" si="83"/>
        <v>0</v>
      </c>
      <c r="BZ52" s="338">
        <f t="shared" si="19"/>
        <v>0</v>
      </c>
      <c r="CA52" s="338">
        <f t="shared" si="84"/>
        <v>0</v>
      </c>
      <c r="CB52" s="338">
        <f t="shared" si="85"/>
        <v>0</v>
      </c>
      <c r="CC52" s="338">
        <f t="shared" si="22"/>
        <v>0</v>
      </c>
      <c r="CD52" s="95"/>
      <c r="CE52" s="95"/>
      <c r="CF52" s="95"/>
      <c r="CG52" s="95"/>
      <c r="CH52" s="95"/>
      <c r="CI52" s="95"/>
      <c r="CJ52" s="95"/>
      <c r="CK52" s="95"/>
      <c r="CL52" s="95"/>
      <c r="CM52" s="95"/>
      <c r="CN52" s="95"/>
      <c r="CO52" s="95"/>
      <c r="CP52" s="95"/>
      <c r="CQ52" s="95"/>
      <c r="CR52" s="95"/>
      <c r="CS52" s="95"/>
      <c r="CT52" s="95"/>
      <c r="CU52" s="95"/>
      <c r="CV52" s="95"/>
      <c r="CW52" s="95"/>
      <c r="CX52" s="95"/>
      <c r="CY52" s="95"/>
      <c r="CZ52" s="95"/>
      <c r="DA52" s="95"/>
      <c r="DB52" s="95"/>
      <c r="DC52" s="95"/>
      <c r="DD52" s="95"/>
      <c r="DE52" s="95"/>
      <c r="DF52" s="95"/>
    </row>
    <row r="53" spans="1:110">
      <c r="A53" s="95"/>
      <c r="B53" s="650">
        <v>3320</v>
      </c>
      <c r="C53" s="635" t="s">
        <v>70</v>
      </c>
      <c r="D53" s="113">
        <f ca="1">-SUMIF(BC[],MID(B53,1,3)&amp;"*",bc_2017)</f>
        <v>0</v>
      </c>
      <c r="E53" s="113">
        <f ca="1">-SUMIF(BC[],MID(B53,1,3)&amp;"*",bc_2016)</f>
        <v>0</v>
      </c>
      <c r="F53" s="113">
        <f ca="1">-SUMIF(BC[],MID(B53,1,3)&amp;"*",bc_2015)</f>
        <v>0</v>
      </c>
      <c r="G53" s="651"/>
      <c r="H53" s="95"/>
      <c r="I53" s="95"/>
      <c r="J53" s="613">
        <v>5550</v>
      </c>
      <c r="K53" s="17" t="s">
        <v>220</v>
      </c>
      <c r="L53" s="112">
        <f ca="1">SUMIF(BC[],MID(J53,1,3)&amp;"*",bc_2017)</f>
        <v>0</v>
      </c>
      <c r="M53" s="112">
        <f ca="1">SUMIF(BC[],MID(J53,1,3)&amp;"*",bc_2016)</f>
        <v>0</v>
      </c>
      <c r="N53" s="112">
        <f ca="1">SUMIF(BC[],MID(J53,1,3)&amp;"*",bc_2015)</f>
        <v>0</v>
      </c>
      <c r="O53" s="614"/>
      <c r="P53" s="95"/>
      <c r="Q53" s="95"/>
      <c r="R53" s="95"/>
      <c r="S53" s="95"/>
      <c r="T53" s="95"/>
      <c r="U53" s="95"/>
      <c r="V53" s="95"/>
      <c r="W53" s="95"/>
      <c r="X53" s="95"/>
      <c r="Y53" s="95"/>
      <c r="Z53" s="95"/>
      <c r="AA53" s="650">
        <v>3320</v>
      </c>
      <c r="AB53" s="635" t="s">
        <v>70</v>
      </c>
      <c r="AC53" s="122">
        <f t="shared" ca="1" si="49"/>
        <v>0</v>
      </c>
      <c r="AD53" s="122">
        <f t="shared" ca="1" si="50"/>
        <v>0</v>
      </c>
      <c r="AE53" s="122">
        <f t="shared" ca="1" si="77"/>
        <v>0</v>
      </c>
      <c r="AF53" s="122">
        <f t="shared" ca="1" si="78"/>
        <v>0</v>
      </c>
      <c r="AG53" s="95"/>
      <c r="AH53" s="95"/>
      <c r="AI53" s="613">
        <v>2131</v>
      </c>
      <c r="AJ53" s="18" t="s">
        <v>138</v>
      </c>
      <c r="AK53" s="112">
        <v>0</v>
      </c>
      <c r="AL53" s="112">
        <v>0</v>
      </c>
      <c r="AM53" s="602"/>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17"/>
      <c r="BL53" s="17"/>
      <c r="BM53" s="17"/>
      <c r="BN53" s="49"/>
      <c r="BO53" s="17"/>
      <c r="BP53" s="11"/>
      <c r="BQ53" s="11"/>
      <c r="BR53" s="11"/>
      <c r="BS53" s="11"/>
      <c r="BT53" s="95"/>
      <c r="BU53" s="95"/>
      <c r="BV53" s="623">
        <v>5900</v>
      </c>
      <c r="BW53" s="624" t="s">
        <v>28</v>
      </c>
      <c r="BX53" s="338">
        <f t="shared" si="82"/>
        <v>60070.94</v>
      </c>
      <c r="BY53" s="338">
        <f t="shared" si="83"/>
        <v>65344.359999999986</v>
      </c>
      <c r="BZ53" s="338">
        <f t="shared" si="19"/>
        <v>125415.29999999999</v>
      </c>
      <c r="CA53" s="338">
        <f t="shared" si="84"/>
        <v>125415.3</v>
      </c>
      <c r="CB53" s="338">
        <f t="shared" si="85"/>
        <v>125415.3</v>
      </c>
      <c r="CC53" s="338">
        <f t="shared" si="22"/>
        <v>0</v>
      </c>
      <c r="CD53" s="95"/>
      <c r="CE53" s="95"/>
      <c r="CF53" s="95"/>
      <c r="CG53" s="95"/>
      <c r="CH53" s="95"/>
      <c r="CI53" s="95"/>
      <c r="CJ53" s="95"/>
      <c r="CK53" s="95"/>
      <c r="CL53" s="95"/>
      <c r="CM53" s="95"/>
      <c r="CN53" s="95"/>
      <c r="CO53" s="95"/>
      <c r="CP53" s="95"/>
      <c r="CQ53" s="95"/>
      <c r="CR53" s="95"/>
      <c r="CS53" s="95"/>
      <c r="CT53" s="95"/>
      <c r="CU53" s="95"/>
      <c r="CV53" s="95"/>
      <c r="CW53" s="95"/>
      <c r="CX53" s="95"/>
      <c r="CY53" s="95"/>
      <c r="CZ53" s="95"/>
      <c r="DA53" s="95"/>
      <c r="DB53" s="95"/>
      <c r="DC53" s="95"/>
      <c r="DD53" s="95"/>
      <c r="DE53" s="95"/>
      <c r="DF53" s="95"/>
    </row>
    <row r="54" spans="1:110">
      <c r="A54" s="95"/>
      <c r="B54" s="58"/>
      <c r="C54" s="58"/>
      <c r="D54" s="652">
        <f ca="1">IF(D4-D23-D40=0,"",D4-D23-D40)</f>
        <v>-1.862645149230957E-8</v>
      </c>
      <c r="E54" s="652" t="str">
        <f ca="1">IF(E4-E23-E40=0,"",E4-E23-E40)</f>
        <v/>
      </c>
      <c r="F54" s="652">
        <f ca="1">IF(F4-F23-F40=0,"",F4-F23-F40)</f>
        <v>7.4505805969238281E-9</v>
      </c>
      <c r="G54" s="58"/>
      <c r="H54" s="95"/>
      <c r="I54" s="95"/>
      <c r="J54" s="613">
        <v>5590</v>
      </c>
      <c r="K54" s="17" t="s">
        <v>221</v>
      </c>
      <c r="L54" s="112">
        <f ca="1">SUMIF(BC[],MID(J54,1,3)&amp;"*",bc_2017)</f>
        <v>0</v>
      </c>
      <c r="M54" s="112">
        <f ca="1">SUMIF(BC[],MID(J54,1,3)&amp;"*",bc_2016)</f>
        <v>0</v>
      </c>
      <c r="N54" s="112">
        <f ca="1">SUMIF(BC[],MID(J54,1,3)&amp;"*",bc_2015)</f>
        <v>0</v>
      </c>
      <c r="O54" s="614"/>
      <c r="P54" s="95"/>
      <c r="Q54" s="95"/>
      <c r="R54" s="95"/>
      <c r="S54" s="95"/>
      <c r="T54" s="95"/>
      <c r="U54" s="95"/>
      <c r="V54" s="95"/>
      <c r="W54" s="95"/>
      <c r="X54" s="95"/>
      <c r="Y54" s="95"/>
      <c r="Z54" s="95"/>
      <c r="AA54" s="653"/>
      <c r="AB54" s="58"/>
      <c r="AC54" s="654">
        <f ca="1">+AD4-AC4+AD23-AC23+AD40-AC40</f>
        <v>-1.6763806343078613E-8</v>
      </c>
      <c r="AD54" s="58"/>
      <c r="AE54" s="654">
        <f ca="1">+AF4-AE4+AF23-AE23+AF40-AE40</f>
        <v>-7.4505805969238281E-9</v>
      </c>
      <c r="AF54" s="58"/>
      <c r="AG54" s="95"/>
      <c r="AH54" s="95"/>
      <c r="AI54" s="648">
        <v>2132</v>
      </c>
      <c r="AJ54" s="18" t="s">
        <v>139</v>
      </c>
      <c r="AK54" s="112">
        <v>0</v>
      </c>
      <c r="AL54" s="112">
        <v>0</v>
      </c>
      <c r="AM54" s="602"/>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17"/>
      <c r="BL54" s="17"/>
      <c r="BM54" s="17"/>
      <c r="BN54" s="49"/>
      <c r="BO54" s="17"/>
      <c r="BP54" s="11"/>
      <c r="BQ54" s="11"/>
      <c r="BR54" s="11"/>
      <c r="BS54" s="11"/>
      <c r="BT54" s="95"/>
      <c r="BU54" s="95"/>
      <c r="BV54" s="619">
        <v>6000</v>
      </c>
      <c r="BW54" s="620" t="s">
        <v>222</v>
      </c>
      <c r="BX54" s="337">
        <f t="shared" ref="BX54:CC54" si="86">SUM(BX55:BX57)</f>
        <v>0</v>
      </c>
      <c r="BY54" s="337">
        <f t="shared" si="86"/>
        <v>0</v>
      </c>
      <c r="BZ54" s="337">
        <f t="shared" si="86"/>
        <v>0</v>
      </c>
      <c r="CA54" s="337">
        <f t="shared" si="86"/>
        <v>0</v>
      </c>
      <c r="CB54" s="337">
        <f t="shared" si="86"/>
        <v>0</v>
      </c>
      <c r="CC54" s="337">
        <f t="shared" si="86"/>
        <v>0</v>
      </c>
      <c r="CD54" s="95"/>
      <c r="CE54" s="95"/>
      <c r="CF54" s="95"/>
      <c r="CG54" s="95"/>
      <c r="CH54" s="95"/>
      <c r="CI54" s="95"/>
      <c r="CJ54" s="95"/>
      <c r="CK54" s="95"/>
      <c r="CL54" s="95"/>
      <c r="CM54" s="95"/>
      <c r="CN54" s="95"/>
      <c r="CO54" s="95"/>
      <c r="CP54" s="95"/>
      <c r="CQ54" s="95"/>
      <c r="CR54" s="95"/>
      <c r="CS54" s="95"/>
      <c r="CT54" s="95"/>
      <c r="CU54" s="95"/>
      <c r="CV54" s="95"/>
      <c r="CW54" s="95"/>
      <c r="CX54" s="95"/>
      <c r="CY54" s="95"/>
      <c r="CZ54" s="95"/>
      <c r="DA54" s="95"/>
      <c r="DB54" s="95"/>
      <c r="DC54" s="95"/>
      <c r="DD54" s="95"/>
      <c r="DE54" s="95"/>
      <c r="DF54" s="95"/>
    </row>
    <row r="55" spans="1:110">
      <c r="A55" s="95"/>
      <c r="B55" s="58"/>
      <c r="C55" s="58"/>
      <c r="D55" s="655"/>
      <c r="E55" s="655"/>
      <c r="F55" s="656"/>
      <c r="G55" s="58"/>
      <c r="H55" s="95"/>
      <c r="I55" s="95"/>
      <c r="J55" s="597">
        <v>5600</v>
      </c>
      <c r="K55" s="601" t="s">
        <v>222</v>
      </c>
      <c r="L55" s="111">
        <f ca="1">SUM(L56)</f>
        <v>0</v>
      </c>
      <c r="M55" s="111">
        <f ca="1">SUM(M56)</f>
        <v>0</v>
      </c>
      <c r="N55" s="111">
        <f ca="1">SUM(N56)</f>
        <v>0</v>
      </c>
      <c r="O55" s="614"/>
      <c r="P55" s="95"/>
      <c r="Q55" s="95"/>
      <c r="R55" s="95"/>
      <c r="S55" s="95"/>
      <c r="T55" s="95"/>
      <c r="U55" s="95"/>
      <c r="V55" s="95"/>
      <c r="W55" s="95"/>
      <c r="X55" s="95"/>
      <c r="Y55" s="95"/>
      <c r="Z55" s="95"/>
      <c r="AA55" s="58"/>
      <c r="AB55" s="58"/>
      <c r="AC55" s="657"/>
      <c r="AD55" s="58"/>
      <c r="AE55" s="58"/>
      <c r="AF55" s="657"/>
      <c r="AG55" s="95"/>
      <c r="AH55" s="95"/>
      <c r="AI55" s="649">
        <v>4900</v>
      </c>
      <c r="AJ55" s="18" t="s">
        <v>142</v>
      </c>
      <c r="AK55" s="130">
        <f ca="1">SUM(AD7:AD12)+SUM(AD14:AD15)+SUM(AD19:AD22)+SUM(AD25:AD32)+SUM(AD34:AD39)+SUM(AD43:AD44)+SUM(AD46:AD50)+SUM(AD52:AD53)</f>
        <v>221.98999999999796</v>
      </c>
      <c r="AL55" s="130">
        <f ca="1">SUM(AF7:AF12)+SUM(AF14:AF15)+SUM(AF19:AF22)+SUM(AF25:AF32)+SUM(AF34:AF39)+SUM(AF43:AF44)+SUM(AF46:AF50)+SUM(AF52:AF53)</f>
        <v>1838570.8699999894</v>
      </c>
      <c r="AM55" s="602"/>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17"/>
      <c r="BL55" s="17"/>
      <c r="BM55" s="17"/>
      <c r="BN55" s="49"/>
      <c r="BO55" s="17"/>
      <c r="BP55" s="11"/>
      <c r="BQ55" s="11"/>
      <c r="BR55" s="11"/>
      <c r="BS55" s="11"/>
      <c r="BT55" s="95"/>
      <c r="BU55" s="95"/>
      <c r="BV55" s="623">
        <v>6100</v>
      </c>
      <c r="BW55" s="624" t="s">
        <v>267</v>
      </c>
      <c r="BX55" s="338">
        <f>SUMIF(PE_COG,MID(BV55,1,2)&amp;"*",PE_A)</f>
        <v>0</v>
      </c>
      <c r="BY55" s="338">
        <f>SUMIF(PE_COG,MID(BV55,1,2)&amp;"*",PE_M)</f>
        <v>0</v>
      </c>
      <c r="BZ55" s="338">
        <f t="shared" si="19"/>
        <v>0</v>
      </c>
      <c r="CA55" s="338">
        <f>SUMIF(PE_COG,MID(BV55,1,2)&amp;"*",PE_D)</f>
        <v>0</v>
      </c>
      <c r="CB55" s="338">
        <f>SUMIF(PE_COG,MID(BV55,1,2)&amp;"*",PE_P)</f>
        <v>0</v>
      </c>
      <c r="CC55" s="338">
        <f t="shared" si="22"/>
        <v>0</v>
      </c>
      <c r="CD55" s="95"/>
      <c r="CE55" s="95"/>
      <c r="CF55" s="95"/>
      <c r="CG55" s="95"/>
      <c r="CH55" s="95"/>
      <c r="CI55" s="95"/>
      <c r="CJ55" s="95"/>
      <c r="CK55" s="95"/>
      <c r="CL55" s="95"/>
      <c r="CM55" s="95"/>
      <c r="CN55" s="95"/>
      <c r="CO55" s="95"/>
      <c r="CP55" s="95"/>
      <c r="CQ55" s="95"/>
      <c r="CR55" s="95"/>
      <c r="CS55" s="95"/>
      <c r="CT55" s="95"/>
      <c r="CU55" s="95"/>
      <c r="CV55" s="95"/>
      <c r="CW55" s="95"/>
      <c r="CX55" s="95"/>
      <c r="CY55" s="95"/>
      <c r="CZ55" s="95"/>
      <c r="DA55" s="95"/>
      <c r="DB55" s="95"/>
      <c r="DC55" s="95"/>
      <c r="DD55" s="95"/>
      <c r="DE55" s="95"/>
      <c r="DF55" s="95"/>
    </row>
    <row r="56" spans="1:110">
      <c r="A56" s="95"/>
      <c r="B56" s="989" t="s">
        <v>361</v>
      </c>
      <c r="C56" s="989"/>
      <c r="D56" s="989"/>
      <c r="E56" s="989"/>
      <c r="F56" s="989"/>
      <c r="G56" s="989"/>
      <c r="H56" s="95"/>
      <c r="I56" s="95"/>
      <c r="J56" s="613">
        <v>5610</v>
      </c>
      <c r="K56" s="17" t="s">
        <v>223</v>
      </c>
      <c r="L56" s="112">
        <f ca="1">SUMIF(BC[],MID(J56,1,3)&amp;"*",bc_2017)</f>
        <v>0</v>
      </c>
      <c r="M56" s="112">
        <f ca="1">SUMIF(BC[],MID(J56,1,3)&amp;"*",bc_2016)</f>
        <v>0</v>
      </c>
      <c r="N56" s="112">
        <f ca="1">SUMIF(BC[],MID(J56,1,3)&amp;"*",bc_2015)</f>
        <v>0</v>
      </c>
      <c r="O56" s="614"/>
      <c r="P56" s="95"/>
      <c r="Q56" s="95"/>
      <c r="R56" s="95"/>
      <c r="S56" s="95"/>
      <c r="T56" s="95"/>
      <c r="U56" s="95"/>
      <c r="V56" s="95"/>
      <c r="W56" s="95"/>
      <c r="X56" s="95"/>
      <c r="Y56" s="95"/>
      <c r="Z56" s="95"/>
      <c r="AA56" s="989" t="s">
        <v>361</v>
      </c>
      <c r="AB56" s="989"/>
      <c r="AC56" s="989"/>
      <c r="AD56" s="989"/>
      <c r="AE56" s="58"/>
      <c r="AF56" s="658"/>
      <c r="AG56" s="95"/>
      <c r="AH56" s="95"/>
      <c r="AI56" s="27">
        <v>900009</v>
      </c>
      <c r="AJ56" s="601" t="s">
        <v>143</v>
      </c>
      <c r="AK56" s="659">
        <f ca="1">+AK46-AK51</f>
        <v>2743292.7699999944</v>
      </c>
      <c r="AL56" s="659">
        <f ca="1">+AL46-AL51</f>
        <v>-1301231.1399999973</v>
      </c>
      <c r="AM56" s="602"/>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17"/>
      <c r="BL56" s="17"/>
      <c r="BM56" s="17"/>
      <c r="BN56" s="49"/>
      <c r="BO56" s="17"/>
      <c r="BP56" s="11"/>
      <c r="BQ56" s="11"/>
      <c r="BR56" s="11"/>
      <c r="BS56" s="11"/>
      <c r="BT56" s="95"/>
      <c r="BU56" s="95"/>
      <c r="BV56" s="623">
        <v>6200</v>
      </c>
      <c r="BW56" s="624" t="s">
        <v>268</v>
      </c>
      <c r="BX56" s="338">
        <f>SUMIF(PE_COG,MID(BV56,1,2)&amp;"*",PE_A)</f>
        <v>0</v>
      </c>
      <c r="BY56" s="338">
        <f>SUMIF(PE_COG,MID(BV56,1,2)&amp;"*",PE_M)</f>
        <v>0</v>
      </c>
      <c r="BZ56" s="338">
        <f t="shared" si="19"/>
        <v>0</v>
      </c>
      <c r="CA56" s="338">
        <f>SUMIF(PE_COG,MID(BV56,1,2)&amp;"*",PE_D)</f>
        <v>0</v>
      </c>
      <c r="CB56" s="338">
        <f>SUMIF(PE_COG,MID(BV56,1,2)&amp;"*",PE_P)</f>
        <v>0</v>
      </c>
      <c r="CC56" s="338">
        <f t="shared" si="22"/>
        <v>0</v>
      </c>
      <c r="CD56" s="95"/>
      <c r="CE56" s="95"/>
      <c r="CF56" s="95"/>
      <c r="CG56" s="95"/>
      <c r="CH56" s="95"/>
      <c r="CI56" s="95"/>
      <c r="CJ56" s="95"/>
      <c r="CK56" s="95"/>
      <c r="CL56" s="95"/>
      <c r="CM56" s="95"/>
      <c r="CN56" s="95"/>
      <c r="CO56" s="95"/>
      <c r="CP56" s="95"/>
      <c r="CQ56" s="95"/>
      <c r="CR56" s="95"/>
      <c r="CS56" s="95"/>
      <c r="CT56" s="95"/>
      <c r="CU56" s="95"/>
      <c r="CV56" s="95"/>
      <c r="CW56" s="95"/>
      <c r="CX56" s="95"/>
      <c r="CY56" s="95"/>
      <c r="CZ56" s="95"/>
      <c r="DA56" s="95"/>
      <c r="DB56" s="95"/>
      <c r="DC56" s="95"/>
      <c r="DD56" s="95"/>
      <c r="DE56" s="95"/>
      <c r="DF56" s="95"/>
    </row>
    <row r="57" spans="1:110">
      <c r="A57" s="95"/>
      <c r="B57" s="989"/>
      <c r="C57" s="989"/>
      <c r="D57" s="989"/>
      <c r="E57" s="989"/>
      <c r="F57" s="989"/>
      <c r="G57" s="989"/>
      <c r="H57" s="95"/>
      <c r="I57" s="95"/>
      <c r="J57" s="660">
        <v>3210</v>
      </c>
      <c r="K57" s="661" t="s">
        <v>224</v>
      </c>
      <c r="L57" s="116">
        <f ca="1">+L4-L23</f>
        <v>394466.96000000834</v>
      </c>
      <c r="M57" s="116">
        <f ca="1">+M4-M23</f>
        <v>-1484625.6799999923</v>
      </c>
      <c r="N57" s="116">
        <f ca="1">+N4-N23</f>
        <v>-1332152.8400000036</v>
      </c>
      <c r="O57" s="662"/>
      <c r="P57" s="95"/>
      <c r="Q57" s="95"/>
      <c r="R57" s="95"/>
      <c r="S57" s="95"/>
      <c r="T57" s="95"/>
      <c r="U57" s="95"/>
      <c r="V57" s="95"/>
      <c r="W57" s="95"/>
      <c r="X57" s="95"/>
      <c r="Y57" s="95"/>
      <c r="Z57" s="95"/>
      <c r="AA57" s="989"/>
      <c r="AB57" s="989"/>
      <c r="AC57" s="989"/>
      <c r="AD57" s="989"/>
      <c r="AE57" s="17"/>
      <c r="AF57" s="49"/>
      <c r="AG57" s="95"/>
      <c r="AH57" s="95"/>
      <c r="AI57" s="27">
        <v>9000010</v>
      </c>
      <c r="AJ57" s="601" t="s">
        <v>144</v>
      </c>
      <c r="AK57" s="111">
        <f ca="1">+AK34+AK44+AK56</f>
        <v>4368682.9900000021</v>
      </c>
      <c r="AL57" s="111">
        <f ca="1">+AL34+AL44+AL56</f>
        <v>505481.78000000073</v>
      </c>
      <c r="AM57" s="602"/>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17"/>
      <c r="BL57" s="17"/>
      <c r="BM57" s="17"/>
      <c r="BN57" s="49"/>
      <c r="BO57" s="17"/>
      <c r="BP57" s="11"/>
      <c r="BQ57" s="11"/>
      <c r="BR57" s="11"/>
      <c r="BS57" s="11"/>
      <c r="BT57" s="95"/>
      <c r="BU57" s="95"/>
      <c r="BV57" s="623">
        <v>6300</v>
      </c>
      <c r="BW57" s="624" t="s">
        <v>269</v>
      </c>
      <c r="BX57" s="338">
        <f>SUMIF(PE_COG,MID(BV57,1,2)&amp;"*",PE_A)</f>
        <v>0</v>
      </c>
      <c r="BY57" s="338">
        <f>SUMIF(PE_COG,MID(BV57,1,2)&amp;"*",PE_M)</f>
        <v>0</v>
      </c>
      <c r="BZ57" s="338">
        <f t="shared" si="19"/>
        <v>0</v>
      </c>
      <c r="CA57" s="338">
        <f>SUMIF(PE_COG,MID(BV57,1,2)&amp;"*",PE_D)</f>
        <v>0</v>
      </c>
      <c r="CB57" s="338">
        <f>SUMIF(PE_COG,MID(BV57,1,2)&amp;"*",PE_P)</f>
        <v>0</v>
      </c>
      <c r="CC57" s="338">
        <f t="shared" si="22"/>
        <v>0</v>
      </c>
      <c r="CD57" s="95"/>
      <c r="CE57" s="95"/>
      <c r="CF57" s="95"/>
      <c r="CG57" s="95"/>
      <c r="CH57" s="95"/>
      <c r="CI57" s="95"/>
      <c r="CJ57" s="95"/>
      <c r="CK57" s="95"/>
      <c r="CL57" s="95"/>
      <c r="CM57" s="95"/>
      <c r="CN57" s="95"/>
      <c r="CO57" s="95"/>
      <c r="CP57" s="95"/>
      <c r="CQ57" s="95"/>
      <c r="CR57" s="95"/>
      <c r="CS57" s="95"/>
      <c r="CT57" s="95"/>
      <c r="CU57" s="95"/>
      <c r="CV57" s="95"/>
      <c r="CW57" s="95"/>
      <c r="CX57" s="95"/>
      <c r="CY57" s="95"/>
      <c r="CZ57" s="95"/>
      <c r="DA57" s="95"/>
      <c r="DB57" s="95"/>
      <c r="DC57" s="95"/>
      <c r="DD57" s="95"/>
      <c r="DE57" s="95"/>
      <c r="DF57" s="95"/>
    </row>
    <row r="58" spans="1:110">
      <c r="A58" s="95"/>
      <c r="B58" s="17"/>
      <c r="C58" s="17"/>
      <c r="D58" s="107"/>
      <c r="E58" s="107"/>
      <c r="F58" s="108"/>
      <c r="G58" s="58"/>
      <c r="H58" s="95"/>
      <c r="I58" s="95"/>
      <c r="J58" s="663"/>
      <c r="K58" s="601"/>
      <c r="L58" s="62"/>
      <c r="M58" s="62"/>
      <c r="N58" s="62"/>
      <c r="O58" s="598"/>
      <c r="P58" s="95"/>
      <c r="Q58" s="95"/>
      <c r="R58" s="95"/>
      <c r="S58" s="95"/>
      <c r="T58" s="95"/>
      <c r="U58" s="95"/>
      <c r="V58" s="95"/>
      <c r="W58" s="95"/>
      <c r="X58" s="95"/>
      <c r="Y58" s="95"/>
      <c r="Z58" s="95"/>
      <c r="AA58" s="17"/>
      <c r="AC58" s="126"/>
      <c r="AD58" s="126"/>
      <c r="AE58" s="126"/>
      <c r="AF58" s="126"/>
      <c r="AG58" s="95"/>
      <c r="AH58" s="95"/>
      <c r="AI58" s="27">
        <v>9000011</v>
      </c>
      <c r="AJ58" s="601" t="s">
        <v>145</v>
      </c>
      <c r="AK58" s="112">
        <f ca="1">SUMIF(BC[],"111*",bc_2016)</f>
        <v>11324165.710000001</v>
      </c>
      <c r="AL58" s="112">
        <f ca="1">SUMIF(BC[],"111*",bc_2015)</f>
        <v>10818683.93</v>
      </c>
      <c r="AM58" s="602" t="s">
        <v>146</v>
      </c>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17"/>
      <c r="BL58" s="17"/>
      <c r="BM58" s="17"/>
      <c r="BN58" s="49"/>
      <c r="BO58" s="17"/>
      <c r="BP58" s="11"/>
      <c r="BQ58" s="11"/>
      <c r="BR58" s="11"/>
      <c r="BS58" s="11"/>
      <c r="BT58" s="95"/>
      <c r="BU58" s="95"/>
      <c r="BV58" s="619">
        <v>7000</v>
      </c>
      <c r="BW58" s="620" t="s">
        <v>270</v>
      </c>
      <c r="BX58" s="337">
        <f t="shared" ref="BX58:CC58" si="87">SUM(BX59:BX65)</f>
        <v>1937510.53</v>
      </c>
      <c r="BY58" s="337">
        <f t="shared" si="87"/>
        <v>733023.78</v>
      </c>
      <c r="BZ58" s="337">
        <f t="shared" si="87"/>
        <v>2670534.31</v>
      </c>
      <c r="CA58" s="337">
        <f t="shared" si="87"/>
        <v>0</v>
      </c>
      <c r="CB58" s="337">
        <f t="shared" si="87"/>
        <v>0</v>
      </c>
      <c r="CC58" s="337">
        <f t="shared" si="87"/>
        <v>2670534.31</v>
      </c>
      <c r="CD58" s="95"/>
      <c r="CE58" s="95"/>
      <c r="CF58" s="95"/>
      <c r="CG58" s="95"/>
      <c r="CH58" s="95"/>
      <c r="CI58" s="95"/>
      <c r="CJ58" s="95"/>
      <c r="CK58" s="95"/>
      <c r="CL58" s="95"/>
      <c r="CM58" s="95"/>
      <c r="CN58" s="95"/>
      <c r="CO58" s="95"/>
      <c r="CP58" s="95"/>
      <c r="CQ58" s="95"/>
      <c r="CR58" s="95"/>
      <c r="CS58" s="95"/>
      <c r="CT58" s="95"/>
      <c r="CU58" s="95"/>
      <c r="CV58" s="95"/>
      <c r="CW58" s="95"/>
      <c r="CX58" s="95"/>
      <c r="CY58" s="95"/>
      <c r="CZ58" s="95"/>
      <c r="DA58" s="95"/>
      <c r="DB58" s="95"/>
      <c r="DC58" s="95"/>
      <c r="DD58" s="95"/>
      <c r="DE58" s="95"/>
      <c r="DF58" s="95"/>
    </row>
    <row r="59" spans="1:110">
      <c r="A59" s="95"/>
      <c r="B59" s="17"/>
      <c r="C59" s="17"/>
      <c r="D59" s="107"/>
      <c r="E59" s="107"/>
      <c r="F59" s="108"/>
      <c r="G59" s="58"/>
      <c r="H59" s="95"/>
      <c r="I59" s="95"/>
      <c r="J59" s="18"/>
      <c r="K59" s="18"/>
      <c r="L59" s="42"/>
      <c r="M59" s="42"/>
      <c r="N59" s="42"/>
      <c r="O59" s="18"/>
      <c r="P59" s="95"/>
      <c r="Q59" s="95"/>
      <c r="R59" s="95"/>
      <c r="S59" s="95"/>
      <c r="T59" s="95"/>
      <c r="U59" s="95"/>
      <c r="V59" s="95"/>
      <c r="W59" s="95"/>
      <c r="X59" s="95"/>
      <c r="Y59" s="95"/>
      <c r="Z59" s="95"/>
      <c r="AA59" s="17"/>
      <c r="AC59" s="126"/>
      <c r="AD59" s="126"/>
      <c r="AE59" s="126"/>
      <c r="AF59" s="126"/>
      <c r="AG59" s="95"/>
      <c r="AH59" s="95"/>
      <c r="AI59" s="636">
        <v>9000012</v>
      </c>
      <c r="AJ59" s="661" t="s">
        <v>147</v>
      </c>
      <c r="AK59" s="113">
        <f ca="1">SUMIF(BC[],"111*",bc_2017)</f>
        <v>15692848.699999999</v>
      </c>
      <c r="AL59" s="113">
        <f ca="1">SUMIF(BC[],"111*",bc_2016)</f>
        <v>11324165.710000001</v>
      </c>
      <c r="AM59" s="651" t="s">
        <v>146</v>
      </c>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623">
        <v>7100</v>
      </c>
      <c r="BW59" s="624" t="s">
        <v>271</v>
      </c>
      <c r="BX59" s="338">
        <f t="shared" ref="BX59:BX65" si="88">SUMIF(PE_COG,MID(BV59,1,2)&amp;"*",PE_A)</f>
        <v>0</v>
      </c>
      <c r="BY59" s="338">
        <f t="shared" ref="BY59:BY65" si="89">SUMIF(PE_COG,MID(BV59,1,2)&amp;"*",PE_M)</f>
        <v>0</v>
      </c>
      <c r="BZ59" s="338">
        <f t="shared" si="19"/>
        <v>0</v>
      </c>
      <c r="CA59" s="338">
        <f t="shared" ref="CA59:CA65" si="90">SUMIF(PE_COG,MID(BV59,1,2)&amp;"*",PE_D)</f>
        <v>0</v>
      </c>
      <c r="CB59" s="338">
        <f t="shared" ref="CB59:CB65" si="91">SUMIF(PE_COG,MID(BV59,1,2)&amp;"*",PE_P)</f>
        <v>0</v>
      </c>
      <c r="CC59" s="338">
        <f t="shared" si="22"/>
        <v>0</v>
      </c>
      <c r="CD59" s="95"/>
      <c r="CE59" s="95"/>
      <c r="CF59" s="95"/>
      <c r="CG59" s="95"/>
      <c r="CH59" s="95"/>
      <c r="CI59" s="95"/>
      <c r="CJ59" s="95"/>
      <c r="CK59" s="95"/>
      <c r="CL59" s="95"/>
      <c r="CM59" s="95"/>
      <c r="CN59" s="95"/>
      <c r="CO59" s="95"/>
      <c r="CP59" s="95"/>
      <c r="CQ59" s="95"/>
      <c r="CR59" s="95"/>
      <c r="CS59" s="95"/>
      <c r="CT59" s="95"/>
      <c r="CU59" s="95"/>
      <c r="CV59" s="95"/>
      <c r="CW59" s="95"/>
      <c r="CX59" s="95"/>
      <c r="CY59" s="95"/>
      <c r="CZ59" s="95"/>
      <c r="DA59" s="95"/>
      <c r="DB59" s="95"/>
      <c r="DC59" s="95"/>
      <c r="DD59" s="95"/>
      <c r="DE59" s="95"/>
      <c r="DF59" s="95"/>
    </row>
    <row r="60" spans="1:110">
      <c r="A60" s="95"/>
      <c r="B60" s="17"/>
      <c r="C60" s="17"/>
      <c r="D60" s="107"/>
      <c r="E60" s="107"/>
      <c r="F60" s="108"/>
      <c r="G60" s="58"/>
      <c r="H60" s="95"/>
      <c r="I60" s="95"/>
      <c r="J60" s="989" t="s">
        <v>361</v>
      </c>
      <c r="K60" s="989"/>
      <c r="L60" s="989"/>
      <c r="M60" s="989"/>
      <c r="N60" s="989"/>
      <c r="O60" s="989"/>
      <c r="P60" s="95"/>
      <c r="Q60" s="95"/>
      <c r="R60" s="95"/>
      <c r="S60" s="95"/>
      <c r="T60" s="95"/>
      <c r="U60" s="95"/>
      <c r="V60" s="95"/>
      <c r="W60" s="95"/>
      <c r="X60" s="95"/>
      <c r="Y60" s="95"/>
      <c r="Z60" s="95"/>
      <c r="AA60" s="17"/>
      <c r="AC60" s="126"/>
      <c r="AD60" s="126"/>
      <c r="AE60" s="126"/>
      <c r="AF60" s="126"/>
      <c r="AG60" s="95"/>
      <c r="AH60" s="95"/>
      <c r="AI60" s="18"/>
      <c r="AJ60" s="18"/>
      <c r="AK60" s="664">
        <f ca="1">+AK59-AK58-AK57</f>
        <v>0</v>
      </c>
      <c r="AL60" s="664">
        <f ca="1">+AL59-AL58-AL57</f>
        <v>4.6566128730773926E-10</v>
      </c>
      <c r="AM60" s="18"/>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623">
        <v>7200</v>
      </c>
      <c r="BW60" s="624" t="s">
        <v>272</v>
      </c>
      <c r="BX60" s="338">
        <f t="shared" si="88"/>
        <v>0</v>
      </c>
      <c r="BY60" s="338">
        <f t="shared" si="89"/>
        <v>0</v>
      </c>
      <c r="BZ60" s="338">
        <f t="shared" si="19"/>
        <v>0</v>
      </c>
      <c r="CA60" s="338">
        <f t="shared" si="90"/>
        <v>0</v>
      </c>
      <c r="CB60" s="338">
        <f t="shared" si="91"/>
        <v>0</v>
      </c>
      <c r="CC60" s="338">
        <f t="shared" si="22"/>
        <v>0</v>
      </c>
      <c r="CD60" s="95"/>
      <c r="CE60" s="95"/>
      <c r="CF60" s="95"/>
      <c r="CG60" s="95"/>
      <c r="CH60" s="95"/>
      <c r="CI60" s="95"/>
      <c r="CJ60" s="95"/>
      <c r="CK60" s="95"/>
      <c r="CL60" s="95"/>
      <c r="CM60" s="95"/>
      <c r="CN60" s="95"/>
      <c r="CO60" s="95"/>
      <c r="CP60" s="95"/>
      <c r="CQ60" s="95"/>
      <c r="CR60" s="95"/>
      <c r="CS60" s="95"/>
      <c r="CT60" s="95"/>
      <c r="CU60" s="95"/>
      <c r="CV60" s="95"/>
      <c r="CW60" s="95"/>
      <c r="CX60" s="95"/>
      <c r="CY60" s="95"/>
      <c r="CZ60" s="95"/>
      <c r="DA60" s="95"/>
      <c r="DB60" s="95"/>
      <c r="DC60" s="95"/>
      <c r="DD60" s="95"/>
      <c r="DE60" s="95"/>
      <c r="DF60" s="95"/>
    </row>
    <row r="61" spans="1:110">
      <c r="A61" s="95"/>
      <c r="B61" s="17"/>
      <c r="C61" s="17"/>
      <c r="D61" s="107"/>
      <c r="E61" s="107"/>
      <c r="F61" s="108"/>
      <c r="G61" s="58"/>
      <c r="H61" s="95"/>
      <c r="I61" s="95"/>
      <c r="J61" s="989"/>
      <c r="K61" s="989"/>
      <c r="L61" s="989"/>
      <c r="M61" s="989"/>
      <c r="N61" s="989"/>
      <c r="O61" s="989"/>
      <c r="P61" s="95"/>
      <c r="Q61" s="95"/>
      <c r="R61" s="95"/>
      <c r="S61" s="95"/>
      <c r="T61" s="95"/>
      <c r="U61" s="95"/>
      <c r="V61" s="95"/>
      <c r="W61" s="95"/>
      <c r="X61" s="95"/>
      <c r="Y61" s="95"/>
      <c r="Z61" s="95"/>
      <c r="AA61" s="17"/>
      <c r="AC61" s="126"/>
      <c r="AD61" s="126"/>
      <c r="AE61" s="126"/>
      <c r="AF61" s="126"/>
      <c r="AG61" s="95"/>
      <c r="AH61" s="95"/>
      <c r="AI61" s="18"/>
      <c r="AJ61" s="18"/>
      <c r="AK61" s="18"/>
      <c r="AL61" s="18"/>
      <c r="AM61" s="18"/>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623">
        <v>7300</v>
      </c>
      <c r="BW61" s="624" t="s">
        <v>273</v>
      </c>
      <c r="BX61" s="338">
        <f t="shared" si="88"/>
        <v>0</v>
      </c>
      <c r="BY61" s="338">
        <f t="shared" si="89"/>
        <v>0</v>
      </c>
      <c r="BZ61" s="338">
        <f t="shared" si="19"/>
        <v>0</v>
      </c>
      <c r="CA61" s="338">
        <f t="shared" si="90"/>
        <v>0</v>
      </c>
      <c r="CB61" s="338">
        <f t="shared" si="91"/>
        <v>0</v>
      </c>
      <c r="CC61" s="338">
        <f t="shared" si="22"/>
        <v>0</v>
      </c>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row>
    <row r="62" spans="1:110">
      <c r="A62" s="95"/>
      <c r="B62" s="17"/>
      <c r="C62" s="17"/>
      <c r="D62" s="107"/>
      <c r="E62" s="107"/>
      <c r="F62" s="108"/>
      <c r="G62" s="58"/>
      <c r="H62" s="95"/>
      <c r="I62" s="95"/>
      <c r="J62" s="17"/>
      <c r="K62" s="17"/>
      <c r="L62" s="17"/>
      <c r="M62" s="17"/>
      <c r="N62" s="17"/>
      <c r="O62" s="17"/>
      <c r="P62" s="95"/>
      <c r="Q62" s="95"/>
      <c r="R62" s="95"/>
      <c r="S62" s="95"/>
      <c r="T62" s="95"/>
      <c r="U62" s="95"/>
      <c r="V62" s="95"/>
      <c r="W62" s="95"/>
      <c r="X62" s="95"/>
      <c r="Y62" s="95"/>
      <c r="Z62" s="95"/>
      <c r="AA62" s="17"/>
      <c r="AC62" s="49"/>
      <c r="AD62" s="49"/>
      <c r="AE62" s="49"/>
      <c r="AF62" s="49"/>
      <c r="AG62" s="95"/>
      <c r="AH62" s="95"/>
      <c r="AI62" s="997" t="s">
        <v>362</v>
      </c>
      <c r="AJ62" s="997"/>
      <c r="AK62" s="997"/>
      <c r="AL62" s="997"/>
      <c r="AM62" s="997"/>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623">
        <v>7400</v>
      </c>
      <c r="BW62" s="624" t="s">
        <v>274</v>
      </c>
      <c r="BX62" s="338">
        <f t="shared" si="88"/>
        <v>0</v>
      </c>
      <c r="BY62" s="338">
        <f t="shared" si="89"/>
        <v>0</v>
      </c>
      <c r="BZ62" s="338">
        <f t="shared" si="19"/>
        <v>0</v>
      </c>
      <c r="CA62" s="338">
        <f t="shared" si="90"/>
        <v>0</v>
      </c>
      <c r="CB62" s="338">
        <f t="shared" si="91"/>
        <v>0</v>
      </c>
      <c r="CC62" s="338">
        <f t="shared" si="22"/>
        <v>0</v>
      </c>
      <c r="CD62" s="95"/>
      <c r="CE62" s="95"/>
      <c r="CF62" s="95"/>
      <c r="CG62" s="95"/>
      <c r="CH62" s="95"/>
      <c r="CI62" s="95"/>
      <c r="CJ62" s="95"/>
      <c r="CK62" s="95"/>
      <c r="CL62" s="95"/>
      <c r="CM62" s="95"/>
      <c r="CN62" s="95"/>
      <c r="CO62" s="95"/>
      <c r="CP62" s="95"/>
      <c r="CQ62" s="95"/>
      <c r="CR62" s="95"/>
      <c r="CS62" s="95"/>
      <c r="CT62" s="95"/>
      <c r="CU62" s="95"/>
      <c r="CV62" s="95"/>
      <c r="CW62" s="95"/>
      <c r="CX62" s="95"/>
      <c r="CY62" s="95"/>
      <c r="CZ62" s="95"/>
      <c r="DA62" s="95"/>
      <c r="DB62" s="95"/>
      <c r="DC62" s="95"/>
      <c r="DD62" s="95"/>
      <c r="DE62" s="95"/>
      <c r="DF62" s="95"/>
    </row>
    <row r="63" spans="1:110">
      <c r="A63" s="95"/>
      <c r="B63" s="17"/>
      <c r="C63" s="17"/>
      <c r="D63" s="107"/>
      <c r="E63" s="107"/>
      <c r="F63" s="108"/>
      <c r="G63" s="58"/>
      <c r="H63" s="95"/>
      <c r="I63" s="95"/>
      <c r="J63" s="17"/>
      <c r="K63" s="17"/>
      <c r="L63" s="17"/>
      <c r="M63" s="17"/>
      <c r="N63" s="17"/>
      <c r="O63" s="17"/>
      <c r="P63" s="95"/>
      <c r="Q63" s="95"/>
      <c r="R63" s="95"/>
      <c r="S63" s="95"/>
      <c r="T63" s="95"/>
      <c r="U63" s="95"/>
      <c r="V63" s="95"/>
      <c r="W63" s="95"/>
      <c r="X63" s="95"/>
      <c r="Y63" s="95"/>
      <c r="Z63" s="95"/>
      <c r="AA63" s="17"/>
      <c r="AC63" s="49"/>
      <c r="AD63" s="49"/>
      <c r="AE63" s="49"/>
      <c r="AF63" s="49"/>
      <c r="AG63" s="95"/>
      <c r="AH63" s="95"/>
      <c r="AI63" s="17"/>
      <c r="AJ63" s="17"/>
      <c r="AK63" s="17"/>
      <c r="AL63" s="17"/>
      <c r="AM63" s="17"/>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623">
        <v>7500</v>
      </c>
      <c r="BW63" s="624" t="s">
        <v>275</v>
      </c>
      <c r="BX63" s="338">
        <f t="shared" si="88"/>
        <v>0</v>
      </c>
      <c r="BY63" s="338">
        <f t="shared" si="89"/>
        <v>0</v>
      </c>
      <c r="BZ63" s="338">
        <f t="shared" si="19"/>
        <v>0</v>
      </c>
      <c r="CA63" s="338">
        <f t="shared" si="90"/>
        <v>0</v>
      </c>
      <c r="CB63" s="338">
        <f t="shared" si="91"/>
        <v>0</v>
      </c>
      <c r="CC63" s="338">
        <f t="shared" si="22"/>
        <v>0</v>
      </c>
      <c r="CD63" s="95"/>
      <c r="CE63" s="95"/>
      <c r="CF63" s="95"/>
      <c r="CG63" s="95"/>
      <c r="CH63" s="95"/>
      <c r="CI63" s="95"/>
      <c r="CJ63" s="95"/>
      <c r="CK63" s="95"/>
      <c r="CL63" s="95"/>
      <c r="CM63" s="95"/>
      <c r="CN63" s="95"/>
      <c r="CO63" s="95"/>
      <c r="CP63" s="95"/>
      <c r="CQ63" s="95"/>
      <c r="CR63" s="95"/>
      <c r="CS63" s="95"/>
      <c r="CT63" s="95"/>
      <c r="CU63" s="95"/>
      <c r="CV63" s="95"/>
      <c r="CW63" s="95"/>
      <c r="CX63" s="95"/>
      <c r="CY63" s="95"/>
      <c r="CZ63" s="95"/>
      <c r="DA63" s="95"/>
      <c r="DB63" s="95"/>
      <c r="DC63" s="95"/>
      <c r="DD63" s="95"/>
      <c r="DE63" s="95"/>
      <c r="DF63" s="95"/>
    </row>
    <row r="64" spans="1:110">
      <c r="A64" s="95"/>
      <c r="B64" s="17"/>
      <c r="C64" s="17"/>
      <c r="D64" s="107"/>
      <c r="E64" s="107"/>
      <c r="F64" s="108"/>
      <c r="G64" s="58"/>
      <c r="H64" s="95"/>
      <c r="I64" s="95"/>
      <c r="J64" s="17"/>
      <c r="K64" s="17"/>
      <c r="L64" s="17"/>
      <c r="M64" s="17"/>
      <c r="N64" s="17"/>
      <c r="O64" s="17"/>
      <c r="P64" s="95"/>
      <c r="Q64" s="95"/>
      <c r="R64" s="95"/>
      <c r="S64" s="95"/>
      <c r="T64" s="95"/>
      <c r="U64" s="95"/>
      <c r="V64" s="95"/>
      <c r="W64" s="95"/>
      <c r="X64" s="95"/>
      <c r="Y64" s="95"/>
      <c r="Z64" s="95"/>
      <c r="AA64" s="17"/>
      <c r="AC64" s="126"/>
      <c r="AD64" s="126"/>
      <c r="AE64" s="126"/>
      <c r="AF64" s="126"/>
      <c r="AG64" s="95"/>
      <c r="AH64" s="95"/>
      <c r="AI64" s="17"/>
      <c r="AJ64" s="17"/>
      <c r="AK64" s="17"/>
      <c r="AL64" s="17"/>
      <c r="AM64" s="17"/>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623">
        <v>7600</v>
      </c>
      <c r="BW64" s="624" t="s">
        <v>276</v>
      </c>
      <c r="BX64" s="338">
        <f t="shared" si="88"/>
        <v>0</v>
      </c>
      <c r="BY64" s="338">
        <f t="shared" si="89"/>
        <v>0</v>
      </c>
      <c r="BZ64" s="338">
        <f t="shared" si="19"/>
        <v>0</v>
      </c>
      <c r="CA64" s="338">
        <f t="shared" si="90"/>
        <v>0</v>
      </c>
      <c r="CB64" s="338">
        <f t="shared" si="91"/>
        <v>0</v>
      </c>
      <c r="CC64" s="338">
        <f t="shared" si="22"/>
        <v>0</v>
      </c>
      <c r="CD64" s="95"/>
      <c r="CE64" s="95"/>
      <c r="CF64" s="95"/>
      <c r="CG64" s="95"/>
      <c r="CH64" s="95"/>
      <c r="CI64" s="95"/>
      <c r="CJ64" s="95"/>
      <c r="CK64" s="95"/>
      <c r="CL64" s="95"/>
      <c r="CM64" s="95"/>
      <c r="CN64" s="95"/>
      <c r="CO64" s="95"/>
      <c r="CP64" s="95"/>
      <c r="CQ64" s="95"/>
      <c r="CR64" s="95"/>
      <c r="CS64" s="95"/>
      <c r="CT64" s="95"/>
      <c r="CU64" s="95"/>
      <c r="CV64" s="95"/>
      <c r="CW64" s="95"/>
      <c r="CX64" s="95"/>
      <c r="CY64" s="95"/>
      <c r="CZ64" s="95"/>
      <c r="DA64" s="95"/>
      <c r="DB64" s="95"/>
      <c r="DC64" s="95"/>
      <c r="DD64" s="95"/>
      <c r="DE64" s="95"/>
      <c r="DF64" s="95"/>
    </row>
    <row r="65" spans="1:110">
      <c r="A65" s="95"/>
      <c r="B65" s="17"/>
      <c r="C65" s="17"/>
      <c r="D65" s="107"/>
      <c r="E65" s="107"/>
      <c r="F65" s="108"/>
      <c r="G65" s="58"/>
      <c r="H65" s="95"/>
      <c r="I65" s="95"/>
      <c r="J65" s="17"/>
      <c r="K65" s="17"/>
      <c r="L65" s="17"/>
      <c r="M65" s="17"/>
      <c r="N65" s="17"/>
      <c r="O65" s="17"/>
      <c r="P65" s="95"/>
      <c r="Q65" s="95"/>
      <c r="R65" s="95"/>
      <c r="S65" s="95"/>
      <c r="T65" s="95"/>
      <c r="U65" s="95"/>
      <c r="V65" s="95"/>
      <c r="W65" s="95"/>
      <c r="X65" s="95"/>
      <c r="Y65" s="95"/>
      <c r="Z65" s="95"/>
      <c r="AA65" s="17"/>
      <c r="AB65" s="17"/>
      <c r="AC65" s="17"/>
      <c r="AD65" s="49"/>
      <c r="AE65" s="17"/>
      <c r="AF65" s="49"/>
      <c r="AG65" s="95"/>
      <c r="AH65" s="95"/>
      <c r="AI65" s="17"/>
      <c r="AJ65" s="17"/>
      <c r="AK65" s="17"/>
      <c r="AL65" s="17"/>
      <c r="AM65" s="17"/>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623">
        <v>7900</v>
      </c>
      <c r="BW65" s="624" t="s">
        <v>277</v>
      </c>
      <c r="BX65" s="338">
        <f t="shared" si="88"/>
        <v>1937510.53</v>
      </c>
      <c r="BY65" s="338">
        <f t="shared" si="89"/>
        <v>733023.78</v>
      </c>
      <c r="BZ65" s="338">
        <f t="shared" si="19"/>
        <v>2670534.31</v>
      </c>
      <c r="CA65" s="338">
        <f t="shared" si="90"/>
        <v>0</v>
      </c>
      <c r="CB65" s="338">
        <f t="shared" si="91"/>
        <v>0</v>
      </c>
      <c r="CC65" s="338">
        <f t="shared" si="22"/>
        <v>2670534.31</v>
      </c>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row>
    <row r="66" spans="1:110">
      <c r="A66" s="95"/>
      <c r="B66" s="17"/>
      <c r="C66" s="17"/>
      <c r="D66" s="107"/>
      <c r="E66" s="107"/>
      <c r="F66" s="108"/>
      <c r="G66" s="58"/>
      <c r="H66" s="95"/>
      <c r="I66" s="95"/>
      <c r="J66" s="17"/>
      <c r="K66" s="17"/>
      <c r="L66" s="17"/>
      <c r="M66" s="17"/>
      <c r="N66" s="17"/>
      <c r="O66" s="17"/>
      <c r="P66" s="95"/>
      <c r="Q66" s="95"/>
      <c r="R66" s="95"/>
      <c r="S66" s="95"/>
      <c r="T66" s="95"/>
      <c r="U66" s="95"/>
      <c r="V66" s="95"/>
      <c r="W66" s="95"/>
      <c r="X66" s="95"/>
      <c r="Y66" s="95"/>
      <c r="Z66" s="95"/>
      <c r="AA66" s="17"/>
      <c r="AB66" s="17"/>
      <c r="AC66" s="126"/>
      <c r="AD66" s="49"/>
      <c r="AE66" s="126"/>
      <c r="AF66" s="49"/>
      <c r="AG66" s="95"/>
      <c r="AH66" s="95"/>
      <c r="AI66" s="17"/>
      <c r="AJ66" s="17"/>
      <c r="AK66" s="17"/>
      <c r="AL66" s="17"/>
      <c r="AM66" s="17"/>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619">
        <v>8000</v>
      </c>
      <c r="BW66" s="620" t="s">
        <v>208</v>
      </c>
      <c r="BX66" s="337">
        <f t="shared" ref="BX66:CC66" si="92">SUM(BX67:BX69)</f>
        <v>0</v>
      </c>
      <c r="BY66" s="337">
        <f t="shared" si="92"/>
        <v>0</v>
      </c>
      <c r="BZ66" s="337">
        <f t="shared" si="92"/>
        <v>0</v>
      </c>
      <c r="CA66" s="337">
        <f t="shared" si="92"/>
        <v>0</v>
      </c>
      <c r="CB66" s="337">
        <f t="shared" si="92"/>
        <v>0</v>
      </c>
      <c r="CC66" s="337">
        <f t="shared" si="92"/>
        <v>0</v>
      </c>
      <c r="CD66" s="95"/>
      <c r="CE66" s="95"/>
      <c r="CF66" s="95"/>
      <c r="CG66" s="95"/>
      <c r="CH66" s="95"/>
      <c r="CI66" s="95"/>
      <c r="CJ66" s="95"/>
      <c r="CK66" s="95"/>
      <c r="CL66" s="95"/>
      <c r="CM66" s="95"/>
      <c r="CN66" s="95"/>
      <c r="CO66" s="95"/>
      <c r="CP66" s="95"/>
      <c r="CQ66" s="95"/>
      <c r="CR66" s="95"/>
      <c r="CS66" s="95"/>
      <c r="CT66" s="95"/>
      <c r="CU66" s="95"/>
      <c r="CV66" s="95"/>
      <c r="CW66" s="95"/>
      <c r="CX66" s="95"/>
      <c r="CY66" s="95"/>
      <c r="CZ66" s="95"/>
      <c r="DA66" s="95"/>
      <c r="DB66" s="95"/>
      <c r="DC66" s="95"/>
      <c r="DD66" s="95"/>
      <c r="DE66" s="95"/>
      <c r="DF66" s="95"/>
    </row>
    <row r="67" spans="1:110">
      <c r="A67" s="95"/>
      <c r="B67" s="18"/>
      <c r="C67" s="18"/>
      <c r="D67" s="109"/>
      <c r="E67" s="109"/>
      <c r="F67" s="109"/>
      <c r="G67" s="58"/>
      <c r="H67" s="95"/>
      <c r="I67" s="95"/>
      <c r="J67" s="17"/>
      <c r="K67" s="17"/>
      <c r="L67" s="17"/>
      <c r="M67" s="17"/>
      <c r="N67" s="17"/>
      <c r="O67" s="17"/>
      <c r="P67" s="95"/>
      <c r="Q67" s="95"/>
      <c r="R67" s="95"/>
      <c r="S67" s="95"/>
      <c r="T67" s="95"/>
      <c r="U67" s="95"/>
      <c r="V67" s="95"/>
      <c r="W67" s="95"/>
      <c r="X67" s="95"/>
      <c r="Y67" s="95"/>
      <c r="Z67" s="95"/>
      <c r="AA67" s="95"/>
      <c r="AB67" s="95"/>
      <c r="AC67" s="126"/>
      <c r="AD67" s="95"/>
      <c r="AE67" s="126"/>
      <c r="AF67" s="95"/>
      <c r="AG67" s="95"/>
      <c r="AH67" s="95"/>
      <c r="AI67" s="17"/>
      <c r="AJ67" s="17"/>
      <c r="AK67" s="17"/>
      <c r="AL67" s="17"/>
      <c r="AM67" s="17"/>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623">
        <v>8100</v>
      </c>
      <c r="BW67" s="624" t="s">
        <v>126</v>
      </c>
      <c r="BX67" s="338">
        <f>SUMIF(PE_COG,MID(BV67,1,2)&amp;"*",PE_A)</f>
        <v>0</v>
      </c>
      <c r="BY67" s="338">
        <f>SUMIF(PE_COG,MID(BV67,1,2)&amp;"*",PE_M)</f>
        <v>0</v>
      </c>
      <c r="BZ67" s="338">
        <f t="shared" si="19"/>
        <v>0</v>
      </c>
      <c r="CA67" s="338">
        <f>SUMIF(PE_COG,MID(BV67,1,2)&amp;"*",PE_D)</f>
        <v>0</v>
      </c>
      <c r="CB67" s="338">
        <f>SUMIF(PE_COG,MID(BV67,1,2)&amp;"*",PE_P)</f>
        <v>0</v>
      </c>
      <c r="CC67" s="338">
        <f t="shared" si="22"/>
        <v>0</v>
      </c>
      <c r="CD67" s="95"/>
      <c r="CE67" s="95"/>
      <c r="CF67" s="95"/>
      <c r="CG67" s="95"/>
      <c r="CH67" s="95"/>
      <c r="CI67" s="95"/>
      <c r="CJ67" s="95"/>
      <c r="CK67" s="95"/>
      <c r="CL67" s="95"/>
      <c r="CM67" s="95"/>
      <c r="CN67" s="95"/>
      <c r="CO67" s="95"/>
      <c r="CP67" s="95"/>
      <c r="CQ67" s="95"/>
      <c r="CR67" s="95"/>
      <c r="CS67" s="95"/>
      <c r="CT67" s="95"/>
      <c r="CU67" s="95"/>
      <c r="CV67" s="95"/>
      <c r="CW67" s="95"/>
      <c r="CX67" s="95"/>
      <c r="CY67" s="95"/>
      <c r="CZ67" s="95"/>
      <c r="DA67" s="95"/>
      <c r="DB67" s="95"/>
      <c r="DC67" s="95"/>
      <c r="DD67" s="95"/>
      <c r="DE67" s="95"/>
      <c r="DF67" s="95"/>
    </row>
    <row r="68" spans="1:110">
      <c r="A68" s="95"/>
      <c r="B68" s="18"/>
      <c r="C68" s="18"/>
      <c r="D68" s="109"/>
      <c r="E68" s="109"/>
      <c r="F68" s="109"/>
      <c r="G68" s="58"/>
      <c r="H68" s="95"/>
      <c r="I68" s="95"/>
      <c r="J68" s="17"/>
      <c r="K68" s="17"/>
      <c r="L68" s="17"/>
      <c r="M68" s="17"/>
      <c r="N68" s="17"/>
      <c r="O68" s="17"/>
      <c r="P68" s="95"/>
      <c r="Q68" s="95"/>
      <c r="R68" s="95"/>
      <c r="S68" s="95"/>
      <c r="T68" s="95"/>
      <c r="U68" s="95"/>
      <c r="V68" s="95"/>
      <c r="W68" s="95"/>
      <c r="X68" s="95"/>
      <c r="Y68" s="95"/>
      <c r="Z68" s="95"/>
      <c r="AA68" s="95"/>
      <c r="AB68" s="95"/>
      <c r="AC68" s="126"/>
      <c r="AD68" s="95"/>
      <c r="AE68" s="126"/>
      <c r="AF68" s="95"/>
      <c r="AG68" s="95"/>
      <c r="AH68" s="95"/>
      <c r="AI68" s="17"/>
      <c r="AJ68" s="17"/>
      <c r="AK68" s="17"/>
      <c r="AL68" s="17"/>
      <c r="AM68" s="17"/>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623">
        <v>8300</v>
      </c>
      <c r="BW68" s="624" t="s">
        <v>59</v>
      </c>
      <c r="BX68" s="338">
        <f>SUMIF(PE_COG,MID(BV68,1,2)&amp;"*",PE_A)</f>
        <v>0</v>
      </c>
      <c r="BY68" s="338">
        <f>SUMIF(PE_COG,MID(BV68,1,2)&amp;"*",PE_M)</f>
        <v>0</v>
      </c>
      <c r="BZ68" s="338">
        <f t="shared" si="19"/>
        <v>0</v>
      </c>
      <c r="CA68" s="338">
        <f>SUMIF(PE_COG,MID(BV68,1,2)&amp;"*",PE_D)</f>
        <v>0</v>
      </c>
      <c r="CB68" s="338">
        <f>SUMIF(PE_COG,MID(BV68,1,2)&amp;"*",PE_P)</f>
        <v>0</v>
      </c>
      <c r="CC68" s="338">
        <f t="shared" si="22"/>
        <v>0</v>
      </c>
      <c r="CD68" s="95"/>
      <c r="CE68" s="95"/>
      <c r="CF68" s="95"/>
      <c r="CG68" s="95"/>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row>
    <row r="69" spans="1:110">
      <c r="A69" s="95"/>
      <c r="B69" s="95"/>
      <c r="C69" s="95"/>
      <c r="D69" s="665"/>
      <c r="E69" s="665"/>
      <c r="F69" s="665"/>
      <c r="G69" s="95"/>
      <c r="H69" s="95"/>
      <c r="I69" s="95"/>
      <c r="J69" s="17"/>
      <c r="K69" s="17"/>
      <c r="L69" s="17"/>
      <c r="M69" s="17"/>
      <c r="N69" s="17"/>
      <c r="O69" s="17"/>
      <c r="P69" s="95"/>
      <c r="Q69" s="95"/>
      <c r="R69" s="95"/>
      <c r="S69" s="95"/>
      <c r="T69" s="95"/>
      <c r="U69" s="95"/>
      <c r="V69" s="95"/>
      <c r="W69" s="95"/>
      <c r="X69" s="95"/>
      <c r="Y69" s="95"/>
      <c r="Z69" s="95"/>
      <c r="AA69" s="95"/>
      <c r="AB69" s="95"/>
      <c r="AC69" s="126"/>
      <c r="AD69" s="95"/>
      <c r="AE69" s="126"/>
      <c r="AF69" s="95"/>
      <c r="AG69" s="95"/>
      <c r="AH69" s="95"/>
      <c r="AI69" s="17"/>
      <c r="AJ69" s="17"/>
      <c r="AK69" s="17"/>
      <c r="AL69" s="17"/>
      <c r="AM69" s="17"/>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623">
        <v>8500</v>
      </c>
      <c r="BW69" s="624" t="s">
        <v>127</v>
      </c>
      <c r="BX69" s="338">
        <f>SUMIF(PE_COG,MID(BV69,1,2)&amp;"*",PE_A)</f>
        <v>0</v>
      </c>
      <c r="BY69" s="338">
        <f>SUMIF(PE_COG,MID(BV69,1,2)&amp;"*",PE_M)</f>
        <v>0</v>
      </c>
      <c r="BZ69" s="338">
        <f t="shared" si="19"/>
        <v>0</v>
      </c>
      <c r="CA69" s="338">
        <f>SUMIF(PE_COG,MID(BV69,1,2)&amp;"*",PE_D)</f>
        <v>0</v>
      </c>
      <c r="CB69" s="338">
        <f>SUMIF(PE_COG,MID(BV69,1,2)&amp;"*",PE_P)</f>
        <v>0</v>
      </c>
      <c r="CC69" s="338">
        <f t="shared" si="22"/>
        <v>0</v>
      </c>
      <c r="CD69" s="95"/>
      <c r="CE69" s="95"/>
      <c r="CF69" s="95"/>
      <c r="CG69" s="95"/>
      <c r="CH69" s="95"/>
      <c r="CI69" s="95"/>
      <c r="CJ69" s="95"/>
      <c r="CK69" s="95"/>
      <c r="CL69" s="95"/>
      <c r="CM69" s="95"/>
      <c r="CN69" s="95"/>
      <c r="CO69" s="95"/>
      <c r="CP69" s="95"/>
      <c r="CQ69" s="95"/>
      <c r="CR69" s="95"/>
      <c r="CS69" s="95"/>
      <c r="CT69" s="95"/>
      <c r="CU69" s="95"/>
      <c r="CV69" s="95"/>
      <c r="CW69" s="95"/>
      <c r="CX69" s="95"/>
      <c r="CY69" s="95"/>
      <c r="CZ69" s="95"/>
      <c r="DA69" s="95"/>
      <c r="DB69" s="95"/>
      <c r="DC69" s="95"/>
      <c r="DD69" s="95"/>
      <c r="DE69" s="95"/>
      <c r="DF69" s="95"/>
    </row>
    <row r="70" spans="1:110">
      <c r="A70" s="95"/>
      <c r="B70" s="95"/>
      <c r="C70" s="95"/>
      <c r="D70" s="665"/>
      <c r="E70" s="665"/>
      <c r="F70" s="665"/>
      <c r="G70" s="95"/>
      <c r="H70" s="95"/>
      <c r="I70" s="95"/>
      <c r="J70" s="17"/>
      <c r="K70" s="17"/>
      <c r="L70" s="17"/>
      <c r="M70" s="17"/>
      <c r="N70" s="17"/>
      <c r="O70" s="17"/>
      <c r="P70" s="95"/>
      <c r="Q70" s="95"/>
      <c r="R70" s="95"/>
      <c r="S70" s="95"/>
      <c r="T70" s="95"/>
      <c r="U70" s="95"/>
      <c r="V70" s="95"/>
      <c r="W70" s="95"/>
      <c r="X70" s="95"/>
      <c r="Y70" s="95"/>
      <c r="Z70" s="95"/>
      <c r="AA70" s="95"/>
      <c r="AB70" s="95"/>
      <c r="AC70" s="126"/>
      <c r="AD70" s="95"/>
      <c r="AE70" s="126"/>
      <c r="AF70" s="95"/>
      <c r="AG70" s="95"/>
      <c r="AH70" s="95"/>
      <c r="AI70" s="17"/>
      <c r="AJ70" s="17"/>
      <c r="AK70" s="17"/>
      <c r="AL70" s="17"/>
      <c r="AM70" s="17"/>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619">
        <v>9000</v>
      </c>
      <c r="BW70" s="620" t="s">
        <v>80</v>
      </c>
      <c r="BX70" s="337">
        <f t="shared" ref="BX70:CC70" si="93">SUM(BX71:BX77)</f>
        <v>0</v>
      </c>
      <c r="BY70" s="337">
        <f t="shared" si="93"/>
        <v>0</v>
      </c>
      <c r="BZ70" s="337">
        <f t="shared" si="93"/>
        <v>0</v>
      </c>
      <c r="CA70" s="337">
        <f t="shared" si="93"/>
        <v>0</v>
      </c>
      <c r="CB70" s="337">
        <f t="shared" si="93"/>
        <v>0</v>
      </c>
      <c r="CC70" s="337">
        <f t="shared" si="93"/>
        <v>0</v>
      </c>
      <c r="CD70" s="95"/>
      <c r="CE70" s="95"/>
      <c r="CF70" s="95"/>
      <c r="CG70" s="95"/>
      <c r="CH70" s="95"/>
      <c r="CI70" s="95"/>
      <c r="CJ70" s="95"/>
      <c r="CK70" s="95"/>
      <c r="CL70" s="95"/>
      <c r="CM70" s="95"/>
      <c r="CN70" s="95"/>
      <c r="CO70" s="95"/>
      <c r="CP70" s="95"/>
      <c r="CQ70" s="95"/>
      <c r="CR70" s="95"/>
      <c r="CS70" s="95"/>
      <c r="CT70" s="95"/>
      <c r="CU70" s="95"/>
      <c r="CV70" s="95"/>
      <c r="CW70" s="95"/>
      <c r="CX70" s="95"/>
      <c r="CY70" s="95"/>
      <c r="CZ70" s="95"/>
      <c r="DA70" s="95"/>
      <c r="DB70" s="95"/>
      <c r="DC70" s="95"/>
      <c r="DD70" s="95"/>
      <c r="DE70" s="95"/>
      <c r="DF70" s="95"/>
    </row>
    <row r="71" spans="1:110">
      <c r="A71" s="95"/>
      <c r="B71" s="95"/>
      <c r="C71" s="95"/>
      <c r="D71" s="665"/>
      <c r="E71" s="665"/>
      <c r="F71" s="665"/>
      <c r="G71" s="95"/>
      <c r="H71" s="95"/>
      <c r="I71" s="95"/>
      <c r="J71" s="95"/>
      <c r="K71" s="95"/>
      <c r="L71" s="95"/>
      <c r="M71" s="95"/>
      <c r="N71" s="95"/>
      <c r="O71" s="95"/>
      <c r="P71" s="95"/>
      <c r="Q71" s="95"/>
      <c r="R71" s="95"/>
      <c r="S71" s="95"/>
      <c r="T71" s="95"/>
      <c r="U71" s="95"/>
      <c r="V71" s="95"/>
      <c r="W71" s="95"/>
      <c r="X71" s="95"/>
      <c r="Y71" s="95"/>
      <c r="Z71" s="95"/>
      <c r="AA71" s="95"/>
      <c r="AB71" s="95"/>
      <c r="AC71" s="126"/>
      <c r="AD71" s="95"/>
      <c r="AE71" s="126"/>
      <c r="AF71" s="95"/>
      <c r="AG71" s="95"/>
      <c r="AH71" s="95"/>
      <c r="AI71" s="17"/>
      <c r="AJ71" s="17"/>
      <c r="AK71" s="17"/>
      <c r="AL71" s="17"/>
      <c r="AM71" s="17"/>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623">
        <v>9100</v>
      </c>
      <c r="BW71" s="624" t="s">
        <v>278</v>
      </c>
      <c r="BX71" s="338">
        <f t="shared" ref="BX71:BX77" si="94">SUMIF(PE_COG,MID(BV71,1,2)&amp;"*",PE_A)</f>
        <v>0</v>
      </c>
      <c r="BY71" s="338">
        <f t="shared" ref="BY71:BY77" si="95">SUMIF(PE_COG,MID(BV71,1,2)&amp;"*",PE_M)</f>
        <v>0</v>
      </c>
      <c r="BZ71" s="338">
        <f t="shared" ref="BZ71:BZ77" si="96">+BX71+BY71</f>
        <v>0</v>
      </c>
      <c r="CA71" s="338">
        <f t="shared" ref="CA71:CA77" si="97">SUMIF(PE_COG,MID(BV71,1,2)&amp;"*",PE_D)</f>
        <v>0</v>
      </c>
      <c r="CB71" s="338">
        <f t="shared" ref="CB71:CB77" si="98">SUMIF(PE_COG,MID(BV71,1,2)&amp;"*",PE_P)</f>
        <v>0</v>
      </c>
      <c r="CC71" s="338">
        <f t="shared" ref="CC71:CC77" si="99">+BZ71-CA71</f>
        <v>0</v>
      </c>
      <c r="CD71" s="95"/>
      <c r="CE71" s="95"/>
      <c r="CF71" s="95"/>
      <c r="CG71" s="95"/>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row>
    <row r="72" spans="1:110">
      <c r="A72" s="95"/>
      <c r="B72" s="95"/>
      <c r="C72" s="95"/>
      <c r="D72" s="665"/>
      <c r="E72" s="665"/>
      <c r="F72" s="665"/>
      <c r="G72" s="95"/>
      <c r="H72" s="95"/>
      <c r="I72" s="95"/>
      <c r="J72" s="95"/>
      <c r="K72" s="95"/>
      <c r="L72" s="95"/>
      <c r="M72" s="95"/>
      <c r="N72" s="95"/>
      <c r="O72" s="95"/>
      <c r="P72" s="95"/>
      <c r="Q72" s="95"/>
      <c r="R72" s="95"/>
      <c r="S72" s="95"/>
      <c r="T72" s="95"/>
      <c r="U72" s="95"/>
      <c r="V72" s="95"/>
      <c r="W72" s="95"/>
      <c r="X72" s="95"/>
      <c r="Y72" s="95"/>
      <c r="Z72" s="95"/>
      <c r="AA72" s="95"/>
      <c r="AB72" s="95"/>
      <c r="AC72" s="126"/>
      <c r="AD72" s="95"/>
      <c r="AE72" s="126"/>
      <c r="AF72" s="95"/>
      <c r="AG72" s="95"/>
      <c r="AH72" s="95"/>
      <c r="AI72" s="17"/>
      <c r="AJ72" s="17"/>
      <c r="AK72" s="17"/>
      <c r="AL72" s="17"/>
      <c r="AM72" s="17"/>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623">
        <v>9200</v>
      </c>
      <c r="BW72" s="624" t="s">
        <v>210</v>
      </c>
      <c r="BX72" s="338">
        <f t="shared" si="94"/>
        <v>0</v>
      </c>
      <c r="BY72" s="338">
        <f t="shared" si="95"/>
        <v>0</v>
      </c>
      <c r="BZ72" s="338">
        <f t="shared" si="96"/>
        <v>0</v>
      </c>
      <c r="CA72" s="338">
        <f t="shared" si="97"/>
        <v>0</v>
      </c>
      <c r="CB72" s="338">
        <f t="shared" si="98"/>
        <v>0</v>
      </c>
      <c r="CC72" s="338">
        <f t="shared" si="99"/>
        <v>0</v>
      </c>
      <c r="CD72" s="95"/>
      <c r="CE72" s="95"/>
      <c r="CF72" s="95"/>
      <c r="CG72" s="95"/>
      <c r="CH72" s="95"/>
      <c r="CI72" s="95"/>
      <c r="CJ72" s="95"/>
      <c r="CK72" s="95"/>
      <c r="CL72" s="95"/>
      <c r="CM72" s="95"/>
      <c r="CN72" s="95"/>
      <c r="CO72" s="95"/>
      <c r="CP72" s="95"/>
      <c r="CQ72" s="95"/>
      <c r="CR72" s="95"/>
      <c r="CS72" s="95"/>
      <c r="CT72" s="95"/>
      <c r="CU72" s="95"/>
      <c r="CV72" s="95"/>
      <c r="CW72" s="95"/>
      <c r="CX72" s="95"/>
      <c r="CY72" s="95"/>
      <c r="CZ72" s="95"/>
      <c r="DA72" s="95"/>
      <c r="DB72" s="95"/>
      <c r="DC72" s="95"/>
      <c r="DD72" s="95"/>
      <c r="DE72" s="95"/>
      <c r="DF72" s="95"/>
    </row>
    <row r="73" spans="1:110">
      <c r="A73" s="95"/>
      <c r="B73" s="95"/>
      <c r="C73" s="95"/>
      <c r="D73" s="665"/>
      <c r="E73" s="665"/>
      <c r="F73" s="665"/>
      <c r="G73" s="95"/>
      <c r="H73" s="95"/>
      <c r="I73" s="95"/>
      <c r="J73" s="95"/>
      <c r="K73" s="95"/>
      <c r="L73" s="95"/>
      <c r="M73" s="95"/>
      <c r="N73" s="95"/>
      <c r="O73" s="95"/>
      <c r="P73" s="95"/>
      <c r="Q73" s="95"/>
      <c r="R73" s="95"/>
      <c r="S73" s="95"/>
      <c r="T73" s="95"/>
      <c r="U73" s="95"/>
      <c r="V73" s="95"/>
      <c r="W73" s="95"/>
      <c r="X73" s="95"/>
      <c r="Y73" s="95"/>
      <c r="Z73" s="95"/>
      <c r="AA73" s="95"/>
      <c r="AB73" s="95"/>
      <c r="AC73" s="666"/>
      <c r="AD73" s="95"/>
      <c r="AE73" s="666"/>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623">
        <v>9300</v>
      </c>
      <c r="BW73" s="624" t="s">
        <v>211</v>
      </c>
      <c r="BX73" s="338">
        <f t="shared" si="94"/>
        <v>0</v>
      </c>
      <c r="BY73" s="338">
        <f t="shared" si="95"/>
        <v>0</v>
      </c>
      <c r="BZ73" s="338">
        <f t="shared" si="96"/>
        <v>0</v>
      </c>
      <c r="CA73" s="338">
        <f t="shared" si="97"/>
        <v>0</v>
      </c>
      <c r="CB73" s="338">
        <f t="shared" si="98"/>
        <v>0</v>
      </c>
      <c r="CC73" s="338">
        <f t="shared" si="99"/>
        <v>0</v>
      </c>
      <c r="CD73" s="95"/>
      <c r="CE73" s="95"/>
      <c r="CF73" s="95"/>
      <c r="CG73" s="95"/>
      <c r="CH73" s="95"/>
      <c r="CI73" s="95"/>
      <c r="CJ73" s="95"/>
      <c r="CK73" s="95"/>
      <c r="CL73" s="95"/>
      <c r="CM73" s="95"/>
      <c r="CN73" s="95"/>
      <c r="CO73" s="95"/>
      <c r="CP73" s="95"/>
      <c r="CQ73" s="95"/>
      <c r="CR73" s="95"/>
      <c r="CS73" s="95"/>
      <c r="CT73" s="95"/>
      <c r="CU73" s="95"/>
      <c r="CV73" s="95"/>
      <c r="CW73" s="95"/>
      <c r="CX73" s="95"/>
      <c r="CY73" s="95"/>
      <c r="CZ73" s="95"/>
      <c r="DA73" s="95"/>
      <c r="DB73" s="95"/>
      <c r="DC73" s="95"/>
      <c r="DD73" s="95"/>
      <c r="DE73" s="95"/>
      <c r="DF73" s="95"/>
    </row>
    <row r="74" spans="1:110">
      <c r="A74" s="95"/>
      <c r="B74" s="95"/>
      <c r="C74" s="95"/>
      <c r="D74" s="665"/>
      <c r="E74" s="665"/>
      <c r="F74" s="66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623">
        <v>9400</v>
      </c>
      <c r="BW74" s="624" t="s">
        <v>212</v>
      </c>
      <c r="BX74" s="338">
        <f t="shared" si="94"/>
        <v>0</v>
      </c>
      <c r="BY74" s="338">
        <f t="shared" si="95"/>
        <v>0</v>
      </c>
      <c r="BZ74" s="338">
        <f t="shared" si="96"/>
        <v>0</v>
      </c>
      <c r="CA74" s="338">
        <f t="shared" si="97"/>
        <v>0</v>
      </c>
      <c r="CB74" s="338">
        <f t="shared" si="98"/>
        <v>0</v>
      </c>
      <c r="CC74" s="338">
        <f t="shared" si="99"/>
        <v>0</v>
      </c>
      <c r="CD74" s="95"/>
      <c r="CE74" s="95"/>
      <c r="CF74" s="95"/>
      <c r="CG74" s="95"/>
      <c r="CH74" s="95"/>
      <c r="CI74" s="95"/>
      <c r="CJ74" s="95"/>
      <c r="CK74" s="95"/>
      <c r="CL74" s="95"/>
      <c r="CM74" s="95"/>
      <c r="CN74" s="95"/>
      <c r="CO74" s="95"/>
      <c r="CP74" s="95"/>
      <c r="CQ74" s="95"/>
      <c r="CR74" s="95"/>
      <c r="CS74" s="95"/>
      <c r="CT74" s="95"/>
      <c r="CU74" s="95"/>
      <c r="CV74" s="95"/>
      <c r="CW74" s="95"/>
      <c r="CX74" s="95"/>
      <c r="CY74" s="95"/>
      <c r="CZ74" s="95"/>
      <c r="DA74" s="95"/>
      <c r="DB74" s="95"/>
      <c r="DC74" s="95"/>
      <c r="DD74" s="95"/>
      <c r="DE74" s="95"/>
      <c r="DF74" s="95"/>
    </row>
    <row r="75" spans="1:110">
      <c r="A75" s="95"/>
      <c r="B75" s="95"/>
      <c r="C75" s="95"/>
      <c r="D75" s="665"/>
      <c r="E75" s="665"/>
      <c r="F75" s="66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623">
        <v>9500</v>
      </c>
      <c r="BW75" s="624" t="s">
        <v>213</v>
      </c>
      <c r="BX75" s="338">
        <f t="shared" si="94"/>
        <v>0</v>
      </c>
      <c r="BY75" s="338">
        <f t="shared" si="95"/>
        <v>0</v>
      </c>
      <c r="BZ75" s="338">
        <f t="shared" si="96"/>
        <v>0</v>
      </c>
      <c r="CA75" s="338">
        <f t="shared" si="97"/>
        <v>0</v>
      </c>
      <c r="CB75" s="338">
        <f t="shared" si="98"/>
        <v>0</v>
      </c>
      <c r="CC75" s="338">
        <f t="shared" si="99"/>
        <v>0</v>
      </c>
      <c r="CD75" s="95"/>
      <c r="CE75" s="95"/>
      <c r="CF75" s="95"/>
      <c r="CG75" s="95"/>
      <c r="CH75" s="95"/>
      <c r="CI75" s="95"/>
      <c r="CJ75" s="95"/>
      <c r="CK75" s="95"/>
      <c r="CL75" s="95"/>
      <c r="CM75" s="95"/>
      <c r="CN75" s="95"/>
      <c r="CO75" s="95"/>
      <c r="CP75" s="95"/>
      <c r="CQ75" s="95"/>
      <c r="CR75" s="95"/>
      <c r="CS75" s="95"/>
      <c r="CT75" s="95"/>
      <c r="CU75" s="95"/>
      <c r="CV75" s="95"/>
      <c r="CW75" s="95"/>
      <c r="CX75" s="95"/>
      <c r="CY75" s="95"/>
      <c r="CZ75" s="95"/>
      <c r="DA75" s="95"/>
      <c r="DB75" s="95"/>
      <c r="DC75" s="95"/>
      <c r="DD75" s="95"/>
      <c r="DE75" s="95"/>
      <c r="DF75" s="95"/>
    </row>
    <row r="76" spans="1:110">
      <c r="A76" s="95"/>
      <c r="B76" s="95"/>
      <c r="C76" s="95"/>
      <c r="D76" s="665"/>
      <c r="E76" s="665"/>
      <c r="F76" s="66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T76" s="95"/>
      <c r="BU76" s="95"/>
      <c r="BV76" s="623">
        <v>9600</v>
      </c>
      <c r="BW76" s="624" t="s">
        <v>214</v>
      </c>
      <c r="BX76" s="338">
        <f t="shared" si="94"/>
        <v>0</v>
      </c>
      <c r="BY76" s="338">
        <f t="shared" si="95"/>
        <v>0</v>
      </c>
      <c r="BZ76" s="338">
        <f t="shared" si="96"/>
        <v>0</v>
      </c>
      <c r="CA76" s="338">
        <f t="shared" si="97"/>
        <v>0</v>
      </c>
      <c r="CB76" s="338">
        <f t="shared" si="98"/>
        <v>0</v>
      </c>
      <c r="CC76" s="338">
        <f t="shared" si="99"/>
        <v>0</v>
      </c>
      <c r="CD76" s="95"/>
      <c r="CE76" s="95"/>
      <c r="CF76" s="95"/>
      <c r="CG76" s="95"/>
      <c r="CH76" s="95"/>
      <c r="CI76" s="95"/>
      <c r="CJ76" s="95"/>
      <c r="CK76" s="95"/>
      <c r="CL76" s="95"/>
      <c r="CM76" s="95"/>
      <c r="CN76" s="95"/>
      <c r="CO76" s="95"/>
      <c r="CP76" s="95"/>
      <c r="CQ76" s="95"/>
      <c r="CR76" s="95"/>
      <c r="CS76" s="95"/>
      <c r="CT76" s="95"/>
      <c r="CU76" s="95"/>
      <c r="CV76" s="95"/>
      <c r="CW76" s="95"/>
      <c r="CX76" s="95"/>
      <c r="CY76" s="95"/>
      <c r="CZ76" s="95"/>
      <c r="DA76" s="95"/>
      <c r="DB76" s="95"/>
      <c r="DC76" s="95"/>
      <c r="DD76" s="95"/>
      <c r="DE76" s="95"/>
      <c r="DF76" s="95"/>
    </row>
    <row r="77" spans="1:110">
      <c r="A77" s="95"/>
      <c r="B77" s="95"/>
      <c r="C77" s="95"/>
      <c r="D77" s="665"/>
      <c r="E77" s="665"/>
      <c r="F77" s="66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95"/>
      <c r="BU77" s="95"/>
      <c r="BV77" s="667">
        <v>9900</v>
      </c>
      <c r="BW77" s="643" t="s">
        <v>279</v>
      </c>
      <c r="BX77" s="339">
        <f t="shared" si="94"/>
        <v>0</v>
      </c>
      <c r="BY77" s="339">
        <f t="shared" si="95"/>
        <v>0</v>
      </c>
      <c r="BZ77" s="339">
        <f t="shared" si="96"/>
        <v>0</v>
      </c>
      <c r="CA77" s="339">
        <f t="shared" si="97"/>
        <v>0</v>
      </c>
      <c r="CB77" s="339">
        <f t="shared" si="98"/>
        <v>0</v>
      </c>
      <c r="CC77" s="339">
        <f t="shared" si="99"/>
        <v>0</v>
      </c>
      <c r="CD77" s="95"/>
      <c r="CE77" s="95"/>
      <c r="CF77" s="95"/>
      <c r="CG77" s="95"/>
      <c r="CH77" s="95"/>
      <c r="CI77" s="95"/>
      <c r="CJ77" s="95"/>
      <c r="CK77" s="95"/>
      <c r="CL77" s="95"/>
      <c r="CM77" s="95"/>
      <c r="CN77" s="95"/>
      <c r="CO77" s="95"/>
      <c r="CP77" s="95"/>
      <c r="CQ77" s="95"/>
      <c r="CR77" s="95"/>
      <c r="CS77" s="95"/>
      <c r="CT77" s="95"/>
      <c r="CU77" s="95"/>
      <c r="CV77" s="95"/>
      <c r="CW77" s="95"/>
      <c r="CX77" s="95"/>
      <c r="CY77" s="95"/>
      <c r="CZ77" s="95"/>
      <c r="DA77" s="95"/>
      <c r="DB77" s="95"/>
      <c r="DC77" s="95"/>
      <c r="DD77" s="95"/>
      <c r="DE77" s="95"/>
      <c r="DF77" s="95"/>
    </row>
    <row r="78" spans="1:110">
      <c r="A78" s="95"/>
      <c r="B78" s="95"/>
      <c r="C78" s="95"/>
      <c r="D78" s="665"/>
      <c r="E78" s="665"/>
      <c r="F78" s="66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668"/>
      <c r="BW78" s="621"/>
      <c r="BX78" s="101"/>
      <c r="BY78" s="101"/>
      <c r="BZ78" s="101"/>
      <c r="CA78" s="101"/>
      <c r="CB78" s="101"/>
      <c r="CC78" s="101"/>
      <c r="CD78" s="95"/>
      <c r="CE78" s="95"/>
      <c r="CF78" s="95"/>
      <c r="CG78" s="95"/>
      <c r="CH78" s="95"/>
      <c r="CI78" s="95"/>
      <c r="CJ78" s="95"/>
      <c r="CK78" s="95"/>
      <c r="CL78" s="95"/>
      <c r="CM78" s="95"/>
      <c r="CN78" s="95"/>
      <c r="CO78" s="95"/>
      <c r="CP78" s="95"/>
      <c r="CQ78" s="95"/>
      <c r="CR78" s="95"/>
      <c r="CS78" s="95"/>
      <c r="CT78" s="95"/>
      <c r="CU78" s="95"/>
      <c r="CV78" s="95"/>
      <c r="CW78" s="95"/>
      <c r="CX78" s="95"/>
      <c r="CY78" s="95"/>
      <c r="CZ78" s="95"/>
      <c r="DA78" s="95"/>
      <c r="DB78" s="95"/>
      <c r="DC78" s="95"/>
      <c r="DD78" s="95"/>
      <c r="DE78" s="95"/>
      <c r="DF78" s="95"/>
    </row>
    <row r="79" spans="1:110">
      <c r="A79" s="95"/>
      <c r="B79" s="95"/>
      <c r="C79" s="95"/>
      <c r="D79" s="665"/>
      <c r="E79" s="665"/>
      <c r="F79" s="66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95"/>
      <c r="BT79" s="95"/>
      <c r="BU79" s="95"/>
      <c r="BV79" s="668"/>
      <c r="BW79" s="621"/>
      <c r="BX79" s="101"/>
      <c r="BY79" s="101"/>
      <c r="BZ79" s="101"/>
      <c r="CA79" s="101"/>
      <c r="CB79" s="101"/>
      <c r="CC79" s="101"/>
      <c r="CD79" s="95"/>
      <c r="CE79" s="95"/>
      <c r="CF79" s="95"/>
      <c r="CG79" s="95"/>
      <c r="CH79" s="95"/>
      <c r="CI79" s="95"/>
      <c r="CJ79" s="95"/>
      <c r="CK79" s="95"/>
      <c r="CL79" s="95"/>
      <c r="CM79" s="95"/>
      <c r="CN79" s="95"/>
      <c r="CO79" s="95"/>
      <c r="CP79" s="95"/>
      <c r="CQ79" s="95"/>
      <c r="CR79" s="95"/>
      <c r="CS79" s="95"/>
      <c r="CT79" s="95"/>
      <c r="CU79" s="95"/>
      <c r="CV79" s="95"/>
      <c r="CW79" s="95"/>
      <c r="CX79" s="95"/>
      <c r="CY79" s="95"/>
      <c r="CZ79" s="95"/>
      <c r="DA79" s="95"/>
      <c r="DB79" s="95"/>
      <c r="DC79" s="95"/>
      <c r="DD79" s="95"/>
      <c r="DE79" s="95"/>
      <c r="DF79" s="95"/>
    </row>
    <row r="80" spans="1:110">
      <c r="A80" s="95"/>
      <c r="B80" s="95"/>
      <c r="C80" s="95"/>
      <c r="D80" s="665"/>
      <c r="E80" s="665"/>
      <c r="F80" s="66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97" t="s">
        <v>361</v>
      </c>
      <c r="BW80" s="997"/>
      <c r="BX80" s="997"/>
      <c r="BY80" s="997"/>
      <c r="BZ80" s="997"/>
      <c r="CA80" s="997"/>
      <c r="CB80" s="997"/>
      <c r="CC80" s="997"/>
      <c r="CD80" s="95"/>
      <c r="CE80" s="95"/>
      <c r="CF80" s="95"/>
      <c r="CG80" s="95"/>
      <c r="CH80" s="95"/>
      <c r="CI80" s="95"/>
      <c r="CJ80" s="95"/>
      <c r="CK80" s="95"/>
      <c r="CL80" s="95"/>
      <c r="CM80" s="95"/>
      <c r="CN80" s="95"/>
      <c r="CO80" s="95"/>
      <c r="CP80" s="95"/>
      <c r="CQ80" s="95"/>
      <c r="CR80" s="95"/>
      <c r="CS80" s="95"/>
      <c r="CT80" s="95"/>
      <c r="CU80" s="95"/>
      <c r="CV80" s="95"/>
      <c r="CW80" s="95"/>
      <c r="CX80" s="95"/>
      <c r="CY80" s="95"/>
      <c r="CZ80" s="95"/>
      <c r="DA80" s="95"/>
      <c r="DB80" s="95"/>
      <c r="DC80" s="95"/>
      <c r="DD80" s="95"/>
      <c r="DE80" s="95"/>
      <c r="DF80" s="95"/>
    </row>
    <row r="81" spans="1:110">
      <c r="A81" s="95"/>
      <c r="B81" s="95"/>
      <c r="C81" s="95"/>
      <c r="D81" s="665"/>
      <c r="E81" s="665"/>
      <c r="F81" s="66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17"/>
      <c r="BW81" s="17"/>
      <c r="BX81" s="17"/>
      <c r="BY81" s="49"/>
      <c r="BZ81" s="17"/>
      <c r="CA81" s="101"/>
      <c r="CB81" s="101"/>
      <c r="CC81" s="101"/>
      <c r="CD81" s="95"/>
      <c r="CE81" s="95"/>
      <c r="CF81" s="95"/>
      <c r="CG81" s="95"/>
      <c r="CH81" s="95"/>
      <c r="CI81" s="95"/>
      <c r="CJ81" s="95"/>
      <c r="CK81" s="95"/>
      <c r="CL81" s="95"/>
      <c r="CM81" s="95"/>
      <c r="CN81" s="95"/>
      <c r="CO81" s="95"/>
      <c r="CP81" s="95"/>
      <c r="CQ81" s="95"/>
      <c r="CR81" s="95"/>
      <c r="CS81" s="95"/>
      <c r="CT81" s="95"/>
      <c r="CU81" s="95"/>
      <c r="CV81" s="95"/>
      <c r="CW81" s="95"/>
      <c r="CX81" s="95"/>
      <c r="CY81" s="95"/>
      <c r="CZ81" s="95"/>
      <c r="DA81" s="95"/>
      <c r="DB81" s="95"/>
      <c r="DC81" s="95"/>
      <c r="DD81" s="95"/>
      <c r="DE81" s="95"/>
      <c r="DF81" s="95"/>
    </row>
    <row r="82" spans="1:110">
      <c r="A82" s="95"/>
      <c r="B82" s="95"/>
      <c r="C82" s="95"/>
      <c r="D82" s="665"/>
      <c r="E82" s="665"/>
      <c r="F82" s="66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17"/>
      <c r="BW82" s="17"/>
      <c r="BX82" s="17"/>
      <c r="BY82" s="49"/>
      <c r="BZ82" s="17"/>
      <c r="CA82" s="101"/>
      <c r="CB82" s="101"/>
      <c r="CC82" s="101"/>
      <c r="CD82" s="95"/>
      <c r="CE82" s="95"/>
      <c r="CF82" s="95"/>
      <c r="CG82" s="95"/>
      <c r="CH82" s="95"/>
      <c r="CI82" s="95"/>
      <c r="CJ82" s="95"/>
      <c r="CK82" s="95"/>
      <c r="CL82" s="95"/>
      <c r="CM82" s="95"/>
      <c r="CN82" s="95"/>
      <c r="CO82" s="95"/>
      <c r="CP82" s="95"/>
      <c r="CQ82" s="95"/>
      <c r="CR82" s="95"/>
      <c r="CS82" s="95"/>
      <c r="CT82" s="95"/>
      <c r="CU82" s="95"/>
      <c r="CV82" s="95"/>
      <c r="CW82" s="95"/>
      <c r="CX82" s="95"/>
      <c r="CY82" s="95"/>
      <c r="CZ82" s="95"/>
      <c r="DA82" s="95"/>
      <c r="DB82" s="95"/>
      <c r="DC82" s="95"/>
      <c r="DD82" s="95"/>
      <c r="DE82" s="95"/>
      <c r="DF82" s="95"/>
    </row>
    <row r="83" spans="1:110">
      <c r="A83" s="95"/>
      <c r="B83" s="95"/>
      <c r="C83" s="95"/>
      <c r="D83" s="665"/>
      <c r="E83" s="665"/>
      <c r="F83" s="66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17"/>
      <c r="BW83" s="17"/>
      <c r="BX83" s="17"/>
      <c r="BY83" s="49"/>
      <c r="BZ83" s="17"/>
      <c r="CA83" s="101"/>
      <c r="CB83" s="101"/>
      <c r="CC83" s="101"/>
      <c r="CD83" s="95"/>
      <c r="CE83" s="95"/>
      <c r="CF83" s="95"/>
      <c r="CG83" s="95"/>
      <c r="CH83" s="95"/>
      <c r="CI83" s="95"/>
      <c r="CJ83" s="95"/>
      <c r="CK83" s="95"/>
      <c r="CL83" s="95"/>
      <c r="CM83" s="95"/>
      <c r="CN83" s="95"/>
      <c r="CO83" s="95"/>
      <c r="CP83" s="95"/>
      <c r="CQ83" s="95"/>
      <c r="CR83" s="95"/>
      <c r="CS83" s="95"/>
      <c r="CT83" s="95"/>
      <c r="CU83" s="95"/>
      <c r="CV83" s="95"/>
      <c r="CW83" s="95"/>
      <c r="CX83" s="95"/>
      <c r="CY83" s="95"/>
      <c r="CZ83" s="95"/>
      <c r="DA83" s="95"/>
      <c r="DB83" s="95"/>
      <c r="DC83" s="95"/>
      <c r="DD83" s="95"/>
      <c r="DE83" s="95"/>
      <c r="DF83" s="95"/>
    </row>
    <row r="84" spans="1:110">
      <c r="A84" s="95"/>
      <c r="B84" s="95"/>
      <c r="C84" s="95"/>
      <c r="D84" s="665"/>
      <c r="E84" s="665"/>
      <c r="F84" s="66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17"/>
      <c r="BW84" s="17"/>
      <c r="BX84" s="17"/>
      <c r="BY84" s="49"/>
      <c r="BZ84" s="17"/>
      <c r="CA84" s="101"/>
      <c r="CB84" s="101"/>
      <c r="CC84" s="101"/>
      <c r="CD84" s="95"/>
      <c r="CE84" s="95"/>
      <c r="CF84" s="95"/>
      <c r="CG84" s="95"/>
      <c r="CH84" s="95"/>
      <c r="CI84" s="95"/>
      <c r="CJ84" s="95"/>
      <c r="CK84" s="95"/>
      <c r="CL84" s="95"/>
      <c r="CM84" s="95"/>
      <c r="CN84" s="95"/>
      <c r="CO84" s="95"/>
      <c r="CP84" s="95"/>
      <c r="CQ84" s="95"/>
      <c r="CR84" s="95"/>
      <c r="CS84" s="95"/>
      <c r="CT84" s="95"/>
      <c r="CU84" s="95"/>
      <c r="CV84" s="95"/>
      <c r="CW84" s="95"/>
      <c r="CX84" s="95"/>
      <c r="CY84" s="95"/>
      <c r="CZ84" s="95"/>
      <c r="DA84" s="95"/>
      <c r="DB84" s="95"/>
      <c r="DC84" s="95"/>
      <c r="DD84" s="95"/>
      <c r="DE84" s="95"/>
      <c r="DF84" s="95"/>
    </row>
    <row r="85" spans="1:110">
      <c r="A85" s="95"/>
      <c r="B85" s="95"/>
      <c r="C85" s="95"/>
      <c r="D85" s="665"/>
      <c r="E85" s="665"/>
      <c r="F85" s="66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17"/>
      <c r="BW85" s="17"/>
      <c r="BX85" s="17"/>
      <c r="BY85" s="49"/>
      <c r="BZ85" s="17"/>
      <c r="CA85" s="101"/>
      <c r="CB85" s="101"/>
      <c r="CC85" s="101"/>
      <c r="CD85" s="95"/>
      <c r="CE85" s="95"/>
      <c r="CF85" s="95"/>
      <c r="CG85" s="95"/>
      <c r="CH85" s="95"/>
      <c r="CI85" s="95"/>
      <c r="CJ85" s="95"/>
      <c r="CK85" s="95"/>
      <c r="CL85" s="95"/>
      <c r="CM85" s="95"/>
      <c r="CN85" s="95"/>
      <c r="CO85" s="95"/>
      <c r="CP85" s="95"/>
      <c r="CQ85" s="95"/>
      <c r="CR85" s="95"/>
      <c r="CS85" s="95"/>
      <c r="CT85" s="95"/>
      <c r="CU85" s="95"/>
      <c r="CV85" s="95"/>
      <c r="CW85" s="95"/>
      <c r="CX85" s="95"/>
      <c r="CY85" s="95"/>
      <c r="CZ85" s="95"/>
      <c r="DA85" s="95"/>
      <c r="DB85" s="95"/>
      <c r="DC85" s="95"/>
      <c r="DD85" s="95"/>
      <c r="DE85" s="95"/>
      <c r="DF85" s="95"/>
    </row>
    <row r="86" spans="1:110">
      <c r="A86" s="95"/>
      <c r="B86" s="95"/>
      <c r="C86" s="95"/>
      <c r="D86" s="665"/>
      <c r="E86" s="665"/>
      <c r="F86" s="66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17"/>
      <c r="BW86" s="17"/>
      <c r="BX86" s="17"/>
      <c r="BY86" s="49"/>
      <c r="BZ86" s="17"/>
      <c r="CA86" s="101"/>
      <c r="CB86" s="101"/>
      <c r="CC86" s="101"/>
      <c r="CD86" s="95"/>
      <c r="CE86" s="95"/>
      <c r="CF86" s="95"/>
      <c r="CG86" s="95"/>
      <c r="CH86" s="95"/>
      <c r="CI86" s="95"/>
      <c r="CJ86" s="95"/>
      <c r="CK86" s="95"/>
      <c r="CL86" s="95"/>
      <c r="CM86" s="95"/>
      <c r="CN86" s="95"/>
      <c r="CO86" s="95"/>
      <c r="CP86" s="95"/>
      <c r="CQ86" s="95"/>
      <c r="CR86" s="95"/>
      <c r="CS86" s="95"/>
      <c r="CT86" s="95"/>
      <c r="CU86" s="95"/>
      <c r="CV86" s="95"/>
      <c r="CW86" s="95"/>
      <c r="CX86" s="95"/>
      <c r="CY86" s="95"/>
      <c r="CZ86" s="95"/>
      <c r="DA86" s="95"/>
      <c r="DB86" s="95"/>
      <c r="DC86" s="95"/>
      <c r="DD86" s="95"/>
      <c r="DE86" s="95"/>
      <c r="DF86" s="95"/>
    </row>
    <row r="87" spans="1:110">
      <c r="A87" s="95"/>
      <c r="B87" s="95"/>
      <c r="C87" s="95"/>
      <c r="D87" s="665"/>
      <c r="E87" s="665"/>
      <c r="F87" s="66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17"/>
      <c r="BW87" s="17"/>
      <c r="BX87" s="17"/>
      <c r="BY87" s="49"/>
      <c r="BZ87" s="17"/>
      <c r="CA87" s="101"/>
      <c r="CB87" s="101"/>
      <c r="CC87" s="101"/>
      <c r="CD87" s="95"/>
      <c r="CE87" s="95"/>
      <c r="CF87" s="95"/>
      <c r="CG87" s="95"/>
      <c r="CH87" s="95"/>
      <c r="CI87" s="95"/>
      <c r="CJ87" s="95"/>
      <c r="CK87" s="95"/>
      <c r="CL87" s="95"/>
      <c r="CM87" s="95"/>
      <c r="CN87" s="95"/>
      <c r="CO87" s="95"/>
      <c r="CP87" s="95"/>
      <c r="CQ87" s="95"/>
      <c r="CR87" s="95"/>
      <c r="CS87" s="95"/>
      <c r="CT87" s="95"/>
      <c r="CU87" s="95"/>
      <c r="CV87" s="95"/>
      <c r="CW87" s="95"/>
      <c r="CX87" s="95"/>
      <c r="CY87" s="95"/>
      <c r="CZ87" s="95"/>
      <c r="DA87" s="95"/>
      <c r="DB87" s="95"/>
      <c r="DC87" s="95"/>
      <c r="DD87" s="95"/>
      <c r="DE87" s="95"/>
      <c r="DF87" s="95"/>
    </row>
    <row r="88" spans="1:110">
      <c r="A88" s="95"/>
      <c r="B88" s="95"/>
      <c r="C88" s="95"/>
      <c r="D88" s="665"/>
      <c r="E88" s="665"/>
      <c r="F88" s="66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17"/>
      <c r="BW88" s="17"/>
      <c r="BX88" s="17"/>
      <c r="BY88" s="49"/>
      <c r="BZ88" s="17"/>
      <c r="CA88" s="101"/>
      <c r="CB88" s="101"/>
      <c r="CC88" s="101"/>
      <c r="CD88" s="95"/>
      <c r="CE88" s="95"/>
      <c r="CF88" s="95"/>
      <c r="CG88" s="95"/>
      <c r="CH88" s="95"/>
      <c r="CI88" s="95"/>
      <c r="CJ88" s="95"/>
      <c r="CK88" s="95"/>
      <c r="CL88" s="95"/>
      <c r="CM88" s="95"/>
      <c r="CN88" s="95"/>
      <c r="CO88" s="95"/>
      <c r="CP88" s="95"/>
      <c r="CQ88" s="95"/>
      <c r="CR88" s="95"/>
      <c r="CS88" s="95"/>
      <c r="CT88" s="95"/>
      <c r="CU88" s="95"/>
      <c r="CV88" s="95"/>
      <c r="CW88" s="95"/>
      <c r="CX88" s="95"/>
      <c r="CY88" s="95"/>
      <c r="CZ88" s="95"/>
      <c r="DA88" s="95"/>
      <c r="DB88" s="95"/>
      <c r="DC88" s="95"/>
      <c r="DD88" s="95"/>
      <c r="DE88" s="95"/>
      <c r="DF88" s="95"/>
    </row>
    <row r="89" spans="1:110">
      <c r="A89" s="95"/>
      <c r="B89" s="95"/>
      <c r="C89" s="95"/>
      <c r="D89" s="665"/>
      <c r="E89" s="665"/>
      <c r="F89" s="66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17"/>
      <c r="BW89" s="17"/>
      <c r="BX89" s="17"/>
      <c r="BY89" s="49"/>
      <c r="BZ89" s="17"/>
      <c r="CA89" s="101"/>
      <c r="CB89" s="101"/>
      <c r="CC89" s="101"/>
      <c r="CD89" s="95"/>
      <c r="CE89" s="95"/>
      <c r="CF89" s="95"/>
      <c r="CG89" s="95"/>
      <c r="CH89" s="95"/>
      <c r="CI89" s="95"/>
      <c r="CJ89" s="95"/>
      <c r="CK89" s="95"/>
      <c r="CL89" s="95"/>
      <c r="CM89" s="95"/>
      <c r="CN89" s="95"/>
      <c r="CO89" s="95"/>
      <c r="CP89" s="95"/>
      <c r="CQ89" s="95"/>
      <c r="CR89" s="95"/>
      <c r="CS89" s="95"/>
      <c r="CT89" s="95"/>
      <c r="CU89" s="95"/>
      <c r="CV89" s="95"/>
      <c r="CW89" s="95"/>
      <c r="CX89" s="95"/>
      <c r="CY89" s="95"/>
      <c r="CZ89" s="95"/>
      <c r="DA89" s="95"/>
      <c r="DB89" s="95"/>
      <c r="DC89" s="95"/>
      <c r="DD89" s="95"/>
      <c r="DE89" s="95"/>
      <c r="DF89" s="95"/>
    </row>
    <row r="90" spans="1:110">
      <c r="R90" s="95"/>
      <c r="S90" s="95"/>
      <c r="T90" s="95"/>
      <c r="U90" s="95"/>
      <c r="V90" s="95"/>
      <c r="W90" s="95"/>
      <c r="X90" s="95"/>
      <c r="AP90" s="95"/>
      <c r="AQ90" s="95"/>
      <c r="AR90" s="95"/>
      <c r="AS90" s="95"/>
      <c r="AT90" s="95"/>
      <c r="AU90" s="95"/>
      <c r="AV90" s="95"/>
      <c r="AY90" s="95"/>
      <c r="AZ90" s="95"/>
      <c r="BA90" s="95"/>
      <c r="BB90" s="95"/>
      <c r="BC90" s="95"/>
      <c r="BD90" s="95"/>
      <c r="BK90" s="95"/>
      <c r="BL90" s="95"/>
      <c r="BM90" s="95"/>
      <c r="BN90" s="95"/>
      <c r="BO90" s="95"/>
      <c r="BP90" s="95"/>
      <c r="BQ90" s="95"/>
      <c r="BR90" s="95"/>
      <c r="BS90" s="95"/>
      <c r="BV90" s="17"/>
      <c r="BW90" s="17"/>
      <c r="BX90" s="17"/>
      <c r="BY90" s="49"/>
      <c r="BZ90" s="17"/>
      <c r="CA90" s="101"/>
      <c r="CB90" s="101"/>
      <c r="CC90" s="101"/>
      <c r="CY90" s="95"/>
      <c r="CZ90" s="95"/>
      <c r="DA90" s="95"/>
      <c r="DB90" s="95"/>
      <c r="DC90" s="95"/>
      <c r="DD90" s="95"/>
      <c r="DE90" s="95"/>
      <c r="DF90" s="95"/>
    </row>
    <row r="91" spans="1:110">
      <c r="R91" s="95"/>
      <c r="S91" s="95"/>
      <c r="T91" s="95"/>
      <c r="U91" s="95"/>
      <c r="V91" s="95"/>
      <c r="W91" s="95"/>
      <c r="X91" s="95"/>
      <c r="AP91" s="95"/>
      <c r="AQ91" s="95"/>
      <c r="AR91" s="95"/>
      <c r="AS91" s="95"/>
      <c r="AT91" s="95"/>
      <c r="AU91" s="95"/>
      <c r="AV91" s="95"/>
      <c r="AY91" s="95"/>
      <c r="AZ91" s="95"/>
      <c r="BA91" s="95"/>
      <c r="BB91" s="95"/>
      <c r="BC91" s="95"/>
      <c r="BD91" s="95"/>
      <c r="BK91" s="95"/>
      <c r="BL91" s="95"/>
      <c r="BM91" s="95"/>
      <c r="BN91" s="95"/>
      <c r="BO91" s="95"/>
      <c r="BP91" s="95"/>
      <c r="BQ91" s="95"/>
      <c r="BR91" s="95"/>
      <c r="BS91" s="95"/>
    </row>
    <row r="92" spans="1:110">
      <c r="R92" s="95"/>
      <c r="S92" s="95"/>
      <c r="T92" s="95"/>
      <c r="U92" s="95"/>
      <c r="V92" s="95"/>
      <c r="W92" s="95"/>
      <c r="X92" s="95"/>
      <c r="BK92" s="95"/>
      <c r="BL92" s="95"/>
      <c r="BM92" s="95"/>
      <c r="BN92" s="95"/>
      <c r="BO92" s="95"/>
      <c r="BP92" s="95"/>
      <c r="BQ92" s="95"/>
      <c r="BR92" s="95"/>
      <c r="BS92" s="95"/>
    </row>
    <row r="93" spans="1:110">
      <c r="BK93" s="95"/>
      <c r="BL93" s="95"/>
      <c r="BM93" s="95"/>
      <c r="BN93" s="95"/>
      <c r="BO93" s="95"/>
      <c r="BP93" s="95"/>
      <c r="BQ93" s="95"/>
      <c r="BR93" s="95"/>
      <c r="BS93" s="95"/>
    </row>
    <row r="94" spans="1:110">
      <c r="BK94" s="95"/>
      <c r="BL94" s="95"/>
      <c r="BM94" s="95"/>
      <c r="BN94" s="95"/>
      <c r="BO94" s="95"/>
      <c r="BP94" s="95"/>
      <c r="BQ94" s="95"/>
      <c r="BR94" s="95"/>
      <c r="BS94" s="95"/>
    </row>
  </sheetData>
  <protectedRanges>
    <protectedRange sqref="BV78:CC90" name="Rango1"/>
    <protectedRange sqref="BX5:CC5" name="Rango1_2"/>
    <protectedRange sqref="CZ31:DF31 CZ7:DF7 CZ10:DF10 CY20:CZ22 CZ19:DF19 CY24:CZ25 CZ23:DF23 CY27:CZ30 CZ26:DF26 CY36:DF49 CY8:CZ9 CY11:CZ18 CY32:CZ35" name="Rango1_1"/>
    <protectedRange sqref="DA5:DF6" name="Rango1_2_1"/>
  </protectedRanges>
  <mergeCells count="85">
    <mergeCell ref="DI2:DJ2"/>
    <mergeCell ref="DI42:DJ43"/>
    <mergeCell ref="CZ38:DE38"/>
    <mergeCell ref="BV80:CC80"/>
    <mergeCell ref="R30:X30"/>
    <mergeCell ref="AA56:AD57"/>
    <mergeCell ref="AI62:AM62"/>
    <mergeCell ref="BK49:BR49"/>
    <mergeCell ref="BG36:BH37"/>
    <mergeCell ref="CA3:CA4"/>
    <mergeCell ref="CB3:CB4"/>
    <mergeCell ref="CC3:CC4"/>
    <mergeCell ref="CS18:CV19"/>
    <mergeCell ref="CG29:CJ30"/>
    <mergeCell ref="CN29:CP30"/>
    <mergeCell ref="BV3:BV4"/>
    <mergeCell ref="BW3:BW4"/>
    <mergeCell ref="BX3:BX4"/>
    <mergeCell ref="BY3:BY4"/>
    <mergeCell ref="BZ3:BZ4"/>
    <mergeCell ref="BP3:BP4"/>
    <mergeCell ref="BQ3:BQ4"/>
    <mergeCell ref="BR3:BR4"/>
    <mergeCell ref="BS3:BS4"/>
    <mergeCell ref="BP26:BP27"/>
    <mergeCell ref="BQ26:BQ27"/>
    <mergeCell ref="BR26:BR27"/>
    <mergeCell ref="BS26:BS27"/>
    <mergeCell ref="BK3:BK4"/>
    <mergeCell ref="BL3:BL4"/>
    <mergeCell ref="BM3:BM4"/>
    <mergeCell ref="BN3:BN4"/>
    <mergeCell ref="BO3:BO4"/>
    <mergeCell ref="BK26:BK27"/>
    <mergeCell ref="BL26:BL27"/>
    <mergeCell ref="BM26:BM27"/>
    <mergeCell ref="BN26:BN27"/>
    <mergeCell ref="BO26:BO27"/>
    <mergeCell ref="B56:G57"/>
    <mergeCell ref="J60:O61"/>
    <mergeCell ref="BK2:BS2"/>
    <mergeCell ref="AP3:AP5"/>
    <mergeCell ref="AQ3:AQ5"/>
    <mergeCell ref="AR3:AR5"/>
    <mergeCell ref="AS3:AS5"/>
    <mergeCell ref="AT3:AT5"/>
    <mergeCell ref="AU3:AU5"/>
    <mergeCell ref="BC3:BC5"/>
    <mergeCell ref="BD3:BD5"/>
    <mergeCell ref="R3:R6"/>
    <mergeCell ref="S3:S6"/>
    <mergeCell ref="T3:T6"/>
    <mergeCell ref="BK23:BS25"/>
    <mergeCell ref="U3:U6"/>
    <mergeCell ref="CY2:DF2"/>
    <mergeCell ref="CF2:CJ2"/>
    <mergeCell ref="CM2:CP2"/>
    <mergeCell ref="CS2:CV2"/>
    <mergeCell ref="CY3:CY4"/>
    <mergeCell ref="CZ3:CZ4"/>
    <mergeCell ref="DA3:DA4"/>
    <mergeCell ref="DB3:DB4"/>
    <mergeCell ref="DC3:DC4"/>
    <mergeCell ref="DD3:DD4"/>
    <mergeCell ref="DE3:DE4"/>
    <mergeCell ref="DF3:DF4"/>
    <mergeCell ref="BV2:CC2"/>
    <mergeCell ref="AP2:AV2"/>
    <mergeCell ref="B2:G2"/>
    <mergeCell ref="J2:O2"/>
    <mergeCell ref="R2:X2"/>
    <mergeCell ref="AA2:AD2"/>
    <mergeCell ref="AI2:AM2"/>
    <mergeCell ref="AY2:BD2"/>
    <mergeCell ref="BG2:BH2"/>
    <mergeCell ref="V3:V6"/>
    <mergeCell ref="W3:W6"/>
    <mergeCell ref="X3:X6"/>
    <mergeCell ref="AV3:AV5"/>
    <mergeCell ref="AP27:AV27"/>
    <mergeCell ref="AY33:BD34"/>
    <mergeCell ref="AY3:AY5"/>
    <mergeCell ref="AZ3:AZ5"/>
    <mergeCell ref="BA3:BA5"/>
    <mergeCell ref="BB3:BB5"/>
  </mergeCells>
  <dataValidations count="48">
    <dataValidation allowBlank="1" showInputMessage="1" showErrorMessage="1" prompt="Corresponde al número de cuenta al 4° nivel del Plan de Cuentas emitido por el CONAC (DOF 23/12/2015)." sqref="B3 J3 AA3 AI3 AP3"/>
    <dataValidation allowBlank="1" showInputMessage="1" showErrorMessage="1" prompt="Dato alfanumérico con el que se vincula este estado financiero con el documento denominado &quot;Notas a los Estados Financieros&quot;." sqref="AM3 G3 O3"/>
    <dataValidation allowBlank="1" showInputMessage="1" showErrorMessage="1" prompt="Corresponde al nombre o descripción de la cuenta de acuerdo al Plan de Cuentas emitido por el CONAC." sqref="C3 K3 AJ3 S3 AQ3"/>
    <dataValidation allowBlank="1" showInputMessage="1" showErrorMessage="1" prompt="Referencia que puede coincidir con el número de cuenta al 4° nivel del Plan de Cuentas emitido por el CONAC (DOF 23/12/2015)." sqref="R3"/>
    <dataValidation allowBlank="1" showInputMessage="1" showErrorMessage="1" prompt="Corresponde al nombre o descripción de la cuenta de acuerdo al plan de cuentas emitido por el CONAC." sqref="AB3 AZ3"/>
    <dataValidation allowBlank="1" showInputMessage="1" showErrorMessage="1" prompt="Muestra el saldo de las cuentas acumulado al trimestre correspondiente al que se presento en el ejercicio 2015." sqref="AL3"/>
    <dataValidation allowBlank="1" showInputMessage="1" showErrorMessage="1" prompt="Muestra el saldo de las cuentas acumulado al trimestre correspondiente al que se presenta." sqref="AK3"/>
    <dataValidation allowBlank="1" showInputMessage="1" showErrorMessage="1" prompt="Corresponde a los cargos acumulados al periodo que corresponde la información financiera trimestral." sqref="AS3"/>
    <dataValidation allowBlank="1" showInputMessage="1" showErrorMessage="1" prompt="Corresponde a los abonos acumulados al periodo que corresponde la información financiera trimestral." sqref="AT3"/>
    <dataValidation allowBlank="1" showInputMessage="1" showErrorMessage="1" prompt="Saldo al 31 de diciembre del año anterior." sqref="AR3"/>
    <dataValidation allowBlank="1" showInputMessage="1" showErrorMessage="1" prompt="Diferencia del saldo final menos saldo inicial." sqref="AV3"/>
    <dataValidation allowBlank="1" showInputMessage="1" showErrorMessage="1" prompt="Corresponde al saldo final de las cuentas, atendiendo la siguiente operación aritmética: saldo inicial más cargos, menos los abonos." sqref="AU3"/>
    <dataValidation allowBlank="1" showInputMessage="1" showErrorMessage="1" prompt="Representa el saldo final del período. (correspondiente a la información financiera trimestral que se presenta)." sqref="BD3"/>
    <dataValidation allowBlank="1" showInputMessage="1" showErrorMessage="1" prompt="Corresponde al número de cuenta al 4° nivel del Plan de Cuentas emitido por el CONAC (DOF 22/12/2014)." sqref="AY3"/>
    <dataValidation allowBlank="1" showInputMessage="1" showErrorMessage="1" prompt="Representa el saldo final del período inmediato anterior. ( saldo del 31 de diciembre)." sqref="BC3"/>
    <dataValidation allowBlank="1" showInputMessage="1" showErrorMessage="1" prompt="Representa la divisa en la cual fue contratado el financiamiento." sqref="BA3"/>
    <dataValidation allowBlank="1" showInputMessage="1" showErrorMessage="1" prompt="Representa el nombre del país o institución con la cual se contrató el financiamiento." sqref="BB3"/>
    <dataValidation allowBlank="1" showInputMessage="1" showErrorMessage="1" prompt="El tipo de pasivo contingente." sqref="BG3"/>
    <dataValidation allowBlank="1" showInputMessage="1" showErrorMessage="1" prompt="Descripción del pasivo contingente." sqref="BH3"/>
    <dataValidation allowBlank="1" showInputMessage="1" showErrorMessage="1" prompt="Se refiere al código asignado por el CONAC de acuerdo a la estructura del Clasificador por Rubros de Ingreso. (DOF-2-ene-13). A dos dígitos." sqref="BK3 BK26"/>
    <dataValidation allowBlank="1" showInputMessage="1" showErrorMessage="1" prompt="Sólo aplica cuando el importe de la columna de diferencia sea mayor a cero" sqref="BS3 BS26"/>
    <dataValidation allowBlank="1" showInputMessage="1" showErrorMessage="1" prompt="Recaudado menos estimado" sqref="BR3 BR26"/>
    <dataValidation allowBlank="1" showInputMessage="1" showErrorMessage="1" prompt="Se refiere al nombre que se asigna a cada uno de los desagregados que se señalan." sqref="CS3 BL3 BL26 BW3 CZ3"/>
    <dataValidation allowBlank="1" showInputMessage="1" showErrorMessage="1" prompt="En esta columna debe registrarse los &quot;abonos&quot; del devengado. Es el momento contable que se realiza cuando existe jurídicamente el derecho de cobro de los impuestos, cuotas y aportaciones de seguridad social, contribuciones de mejoras, derechos..." sqref="BP3 BP26"/>
    <dataValidation allowBlank="1" showInputMessage="1" showErrorMessage="1" prompt="En esta columna debe registrarse los &quot;abonos&quot; del recaudado. Es el momento contable que refleja el cobro en efectivo o cualquier otro medio de pago de los impuestos, cuotas y aportaciones de seguridad social, contribuciones de mejoras, derechos..._x000a_" sqref="BQ3 BQ26"/>
    <dataValidation allowBlank="1" showInputMessage="1" showErrorMessage="1" prompt="Las modificaciones realizadas al Pronóstico de Ingresos " sqref="BN3 BN26"/>
    <dataValidation allowBlank="1" showInputMessage="1" showErrorMessage="1" prompt="Momento contable que refleja la asignación presupuestaria en lo relativo a la  Ley de Ingresos que resulte de incorporar en su caso, las modificaciones al ingreso estimado, previstas en la ley de ingresos." sqref="BO3 BO26"/>
    <dataValidation allowBlank="1" showInputMessage="1" showErrorMessage="1" prompt="Son los importes que se aprueban anualmente en la Ley de Ingresos, e incluyen los Impuestos, Cuotas y Aportaciones de Seguridad Social, Contribuciones de Mejoras, Derechos, Productos, Aprovechamientos..." sqref="BM3 BM26"/>
    <dataValidation allowBlank="1" showInputMessage="1" showErrorMessage="1" prompt="Para el llenado de este formato se debe utilizar a nivel de Capítulo y Concepto el Clasificador por Objeto del Gasto aprobado por el CONAC." sqref="BV3"/>
    <dataValidation allowBlank="1" showInputMessage="1" showErrorMessage="1" prompt="Refleja las modificaciones realizadas al Presupuesto Aprobado" sqref="BY3 DB3"/>
    <dataValidation allowBlank="1" showInputMessage="1" showErrorMessage="1" prompt="Modificado menos Devengado" sqref="CC3"/>
    <dataValidation allowBlank="1" showInputMessage="1" showErrorMessage="1" prompt="Es el momento que refleja la cancelación total o parcial de las obligaciones de pago, que se concreta mediante el desembolso de efectivo o cualquier otro medio de pago." sqref="CB3 DE3"/>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CA3 DD3"/>
    <dataValidation allowBlank="1" showInputMessage="1" showErrorMessage="1" prompt="Es el momento que refleja la asignación presupuestaria que resulta de incorporar; en su caso, las adecuaciones presupuestarias al presupuesto aprobado." sqref="BZ3 DC3"/>
    <dataValidation allowBlank="1" showInputMessage="1" showErrorMessage="1" prompt="Refleja las asignaciones presupuestarias anuales comprometidas en el Presupuesto de Egresos." sqref="BX3 DA3"/>
    <dataValidation allowBlank="1" showInputMessage="1" showErrorMessage="1" prompt="El uso del financiamiento, durante el período que se informa." sqref="CH3"/>
    <dataValidation allowBlank="1" showInputMessage="1" showErrorMessage="1" prompt="Pagos efectuadas de las obligaciones constitutivas de deuda pública, durante el período que se informa." sqref="CI3"/>
    <dataValidation allowBlank="1" showInputMessage="1" showErrorMessage="1" prompt="Diferencia entre el uso del financiamiento y las amortizaciones efectuadas de las obligaciones constitutivas de deuda pública, durante el período que se informa." sqref="CJ3"/>
    <dataValidation allowBlank="1" showInputMessage="1" showErrorMessage="1" prompt="Los cargos acumulados de enero al trimestre/anual correspondiente de la infomación financiera/cuenta pública. Corresponde con la cuenta 9200 Intereses de la deuda pública de la columna devengado del EAEPE de la hoja COG." sqref="CO3"/>
    <dataValidation allowBlank="1" showInputMessage="1" showErrorMessage="1" prompt="Los cargos acumulados de enero al trimentre/anual correspondiente de la infomación financiera/cuenta pública. Corresponde con la cuenta 9200 Intereses de la deuda pública de la columna pagados del EAEPE de la hoja COG." sqref="CP3"/>
    <dataValidation allowBlank="1" showInputMessage="1" showErrorMessage="1" prompt="Para los ingresos los &quot;abonos&quot; del devengado. Es el momento contable que se realiza cuando existe jurídicamente el derecho de cobro. Para los egresos los &quot;cargos&quot; del devengado. Este momento contable refleja el reconocimiento de una obligación de pago." sqref="CU3"/>
    <dataValidation allowBlank="1" showInputMessage="1" showErrorMessage="1" prompt="Son los importes que se aprueban anualmente en la Ley de Ingresos, o en el Presupuesto de Egresos." sqref="CT3"/>
    <dataValidation allowBlank="1" showInputMessage="1" showErrorMessage="1" prompt="Para Ingresos se reportan los ingresos recaudados; para egresos se reportan los egresos pagados." sqref="CV3"/>
    <dataValidation allowBlank="1" showInputMessage="1" showErrorMessage="1" prompt="Clasificación Programática de acuerdo al emitido por el CONAC (DOF 8-ago-13)." sqref="CY3"/>
    <dataValidation allowBlank="1" showInputMessage="1" showErrorMessage="1" prompt="Modificado menos devengado" sqref="DF3"/>
    <dataValidation allowBlank="1" showInputMessage="1" showErrorMessage="1" prompt="Muestra el saldo de las cuentas acumulado al periodo que se presenta." sqref="D3 L3"/>
    <dataValidation allowBlank="1" showInputMessage="1" showErrorMessage="1" prompt="Muestra el saldo de las cuentas acumulado al 31 de diciembre del ejercicio 2014." sqref="F3 N3"/>
    <dataValidation allowBlank="1" showInputMessage="1" showErrorMessage="1" prompt="Muestra el saldo de las cuentas acumulado al 31 de diciembre del ejercicio 2015." sqref="E3 M3"/>
  </dataValidations>
  <pageMargins left="0.7" right="0.7" top="0.75" bottom="0.75" header="0.3" footer="0.3"/>
  <pageSetup paperSize="119" orientation="portrait" horizontalDpi="1200" verticalDpi="1200" r:id="rId1"/>
  <ignoredErrors>
    <ignoredError sqref="L4:M57 D4:F45 T8:X27 AK4:AL37 AR6:AV24 BC6:BD30 BM16:BS20 BM28:BS46 BX5:CC77 CT4:CV4 CT12:CV12 CT15:CV15 DA5:DF35 U7:V7 AC4:AF39 AK39:AL49 AK56:AL59 BM5:BS14 BM15:BS15 CH13:CJ13 CH25:CJ26 CJ5:CJ12 CJ14:CJ24 CO14:CP14 CO25:CP26 AK51:AL54 AK50 AC41:AF53 AC40:AD40 D47:F53 D46:E46 CT10:CV10 CT7:CV7 CT5:CV6 CT8:CV9" unlocked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election activeCell="C3" sqref="C3:E14"/>
    </sheetView>
  </sheetViews>
  <sheetFormatPr baseColWidth="10" defaultColWidth="9.28515625" defaultRowHeight="11.25"/>
  <cols>
    <col min="1" max="1" width="1.28515625" style="243" customWidth="1"/>
    <col min="2" max="2" width="43.42578125" style="243" customWidth="1"/>
    <col min="3" max="5" width="16.28515625" style="243" customWidth="1"/>
    <col min="6" max="256" width="9.28515625" style="243"/>
    <col min="257" max="257" width="1.28515625" style="243" customWidth="1"/>
    <col min="258" max="258" width="43.42578125" style="243" customWidth="1"/>
    <col min="259" max="261" width="16.28515625" style="243" customWidth="1"/>
    <col min="262" max="512" width="9.28515625" style="243"/>
    <col min="513" max="513" width="1.28515625" style="243" customWidth="1"/>
    <col min="514" max="514" width="43.42578125" style="243" customWidth="1"/>
    <col min="515" max="517" width="16.28515625" style="243" customWidth="1"/>
    <col min="518" max="768" width="9.28515625" style="243"/>
    <col min="769" max="769" width="1.28515625" style="243" customWidth="1"/>
    <col min="770" max="770" width="43.42578125" style="243" customWidth="1"/>
    <col min="771" max="773" width="16.28515625" style="243" customWidth="1"/>
    <col min="774" max="1024" width="9.28515625" style="243"/>
    <col min="1025" max="1025" width="1.28515625" style="243" customWidth="1"/>
    <col min="1026" max="1026" width="43.42578125" style="243" customWidth="1"/>
    <col min="1027" max="1029" width="16.28515625" style="243" customWidth="1"/>
    <col min="1030" max="1280" width="9.28515625" style="243"/>
    <col min="1281" max="1281" width="1.28515625" style="243" customWidth="1"/>
    <col min="1282" max="1282" width="43.42578125" style="243" customWidth="1"/>
    <col min="1283" max="1285" width="16.28515625" style="243" customWidth="1"/>
    <col min="1286" max="1536" width="9.28515625" style="243"/>
    <col min="1537" max="1537" width="1.28515625" style="243" customWidth="1"/>
    <col min="1538" max="1538" width="43.42578125" style="243" customWidth="1"/>
    <col min="1539" max="1541" width="16.28515625" style="243" customWidth="1"/>
    <col min="1542" max="1792" width="9.28515625" style="243"/>
    <col min="1793" max="1793" width="1.28515625" style="243" customWidth="1"/>
    <col min="1794" max="1794" width="43.42578125" style="243" customWidth="1"/>
    <col min="1795" max="1797" width="16.28515625" style="243" customWidth="1"/>
    <col min="1798" max="2048" width="9.28515625" style="243"/>
    <col min="2049" max="2049" width="1.28515625" style="243" customWidth="1"/>
    <col min="2050" max="2050" width="43.42578125" style="243" customWidth="1"/>
    <col min="2051" max="2053" width="16.28515625" style="243" customWidth="1"/>
    <col min="2054" max="2304" width="9.28515625" style="243"/>
    <col min="2305" max="2305" width="1.28515625" style="243" customWidth="1"/>
    <col min="2306" max="2306" width="43.42578125" style="243" customWidth="1"/>
    <col min="2307" max="2309" width="16.28515625" style="243" customWidth="1"/>
    <col min="2310" max="2560" width="9.28515625" style="243"/>
    <col min="2561" max="2561" width="1.28515625" style="243" customWidth="1"/>
    <col min="2562" max="2562" width="43.42578125" style="243" customWidth="1"/>
    <col min="2563" max="2565" width="16.28515625" style="243" customWidth="1"/>
    <col min="2566" max="2816" width="9.28515625" style="243"/>
    <col min="2817" max="2817" width="1.28515625" style="243" customWidth="1"/>
    <col min="2818" max="2818" width="43.42578125" style="243" customWidth="1"/>
    <col min="2819" max="2821" width="16.28515625" style="243" customWidth="1"/>
    <col min="2822" max="3072" width="9.28515625" style="243"/>
    <col min="3073" max="3073" width="1.28515625" style="243" customWidth="1"/>
    <col min="3074" max="3074" width="43.42578125" style="243" customWidth="1"/>
    <col min="3075" max="3077" width="16.28515625" style="243" customWidth="1"/>
    <col min="3078" max="3328" width="9.28515625" style="243"/>
    <col min="3329" max="3329" width="1.28515625" style="243" customWidth="1"/>
    <col min="3330" max="3330" width="43.42578125" style="243" customWidth="1"/>
    <col min="3331" max="3333" width="16.28515625" style="243" customWidth="1"/>
    <col min="3334" max="3584" width="9.28515625" style="243"/>
    <col min="3585" max="3585" width="1.28515625" style="243" customWidth="1"/>
    <col min="3586" max="3586" width="43.42578125" style="243" customWidth="1"/>
    <col min="3587" max="3589" width="16.28515625" style="243" customWidth="1"/>
    <col min="3590" max="3840" width="9.28515625" style="243"/>
    <col min="3841" max="3841" width="1.28515625" style="243" customWidth="1"/>
    <col min="3842" max="3842" width="43.42578125" style="243" customWidth="1"/>
    <col min="3843" max="3845" width="16.28515625" style="243" customWidth="1"/>
    <col min="3846" max="4096" width="9.28515625" style="243"/>
    <col min="4097" max="4097" width="1.28515625" style="243" customWidth="1"/>
    <col min="4098" max="4098" width="43.42578125" style="243" customWidth="1"/>
    <col min="4099" max="4101" width="16.28515625" style="243" customWidth="1"/>
    <col min="4102" max="4352" width="9.28515625" style="243"/>
    <col min="4353" max="4353" width="1.28515625" style="243" customWidth="1"/>
    <col min="4354" max="4354" width="43.42578125" style="243" customWidth="1"/>
    <col min="4355" max="4357" width="16.28515625" style="243" customWidth="1"/>
    <col min="4358" max="4608" width="9.28515625" style="243"/>
    <col min="4609" max="4609" width="1.28515625" style="243" customWidth="1"/>
    <col min="4610" max="4610" width="43.42578125" style="243" customWidth="1"/>
    <col min="4611" max="4613" width="16.28515625" style="243" customWidth="1"/>
    <col min="4614" max="4864" width="9.28515625" style="243"/>
    <col min="4865" max="4865" width="1.28515625" style="243" customWidth="1"/>
    <col min="4866" max="4866" width="43.42578125" style="243" customWidth="1"/>
    <col min="4867" max="4869" width="16.28515625" style="243" customWidth="1"/>
    <col min="4870" max="5120" width="9.28515625" style="243"/>
    <col min="5121" max="5121" width="1.28515625" style="243" customWidth="1"/>
    <col min="5122" max="5122" width="43.42578125" style="243" customWidth="1"/>
    <col min="5123" max="5125" width="16.28515625" style="243" customWidth="1"/>
    <col min="5126" max="5376" width="9.28515625" style="243"/>
    <col min="5377" max="5377" width="1.28515625" style="243" customWidth="1"/>
    <col min="5378" max="5378" width="43.42578125" style="243" customWidth="1"/>
    <col min="5379" max="5381" width="16.28515625" style="243" customWidth="1"/>
    <col min="5382" max="5632" width="9.28515625" style="243"/>
    <col min="5633" max="5633" width="1.28515625" style="243" customWidth="1"/>
    <col min="5634" max="5634" width="43.42578125" style="243" customWidth="1"/>
    <col min="5635" max="5637" width="16.28515625" style="243" customWidth="1"/>
    <col min="5638" max="5888" width="9.28515625" style="243"/>
    <col min="5889" max="5889" width="1.28515625" style="243" customWidth="1"/>
    <col min="5890" max="5890" width="43.42578125" style="243" customWidth="1"/>
    <col min="5891" max="5893" width="16.28515625" style="243" customWidth="1"/>
    <col min="5894" max="6144" width="9.28515625" style="243"/>
    <col min="6145" max="6145" width="1.28515625" style="243" customWidth="1"/>
    <col min="6146" max="6146" width="43.42578125" style="243" customWidth="1"/>
    <col min="6147" max="6149" width="16.28515625" style="243" customWidth="1"/>
    <col min="6150" max="6400" width="9.28515625" style="243"/>
    <col min="6401" max="6401" width="1.28515625" style="243" customWidth="1"/>
    <col min="6402" max="6402" width="43.42578125" style="243" customWidth="1"/>
    <col min="6403" max="6405" width="16.28515625" style="243" customWidth="1"/>
    <col min="6406" max="6656" width="9.28515625" style="243"/>
    <col min="6657" max="6657" width="1.28515625" style="243" customWidth="1"/>
    <col min="6658" max="6658" width="43.42578125" style="243" customWidth="1"/>
    <col min="6659" max="6661" width="16.28515625" style="243" customWidth="1"/>
    <col min="6662" max="6912" width="9.28515625" style="243"/>
    <col min="6913" max="6913" width="1.28515625" style="243" customWidth="1"/>
    <col min="6914" max="6914" width="43.42578125" style="243" customWidth="1"/>
    <col min="6915" max="6917" width="16.28515625" style="243" customWidth="1"/>
    <col min="6918" max="7168" width="9.28515625" style="243"/>
    <col min="7169" max="7169" width="1.28515625" style="243" customWidth="1"/>
    <col min="7170" max="7170" width="43.42578125" style="243" customWidth="1"/>
    <col min="7171" max="7173" width="16.28515625" style="243" customWidth="1"/>
    <col min="7174" max="7424" width="9.28515625" style="243"/>
    <col min="7425" max="7425" width="1.28515625" style="243" customWidth="1"/>
    <col min="7426" max="7426" width="43.42578125" style="243" customWidth="1"/>
    <col min="7427" max="7429" width="16.28515625" style="243" customWidth="1"/>
    <col min="7430" max="7680" width="9.28515625" style="243"/>
    <col min="7681" max="7681" width="1.28515625" style="243" customWidth="1"/>
    <col min="7682" max="7682" width="43.42578125" style="243" customWidth="1"/>
    <col min="7683" max="7685" width="16.28515625" style="243" customWidth="1"/>
    <col min="7686" max="7936" width="9.28515625" style="243"/>
    <col min="7937" max="7937" width="1.28515625" style="243" customWidth="1"/>
    <col min="7938" max="7938" width="43.42578125" style="243" customWidth="1"/>
    <col min="7939" max="7941" width="16.28515625" style="243" customWidth="1"/>
    <col min="7942" max="8192" width="9.28515625" style="243"/>
    <col min="8193" max="8193" width="1.28515625" style="243" customWidth="1"/>
    <col min="8194" max="8194" width="43.42578125" style="243" customWidth="1"/>
    <col min="8195" max="8197" width="16.28515625" style="243" customWidth="1"/>
    <col min="8198" max="8448" width="9.28515625" style="243"/>
    <col min="8449" max="8449" width="1.28515625" style="243" customWidth="1"/>
    <col min="8450" max="8450" width="43.42578125" style="243" customWidth="1"/>
    <col min="8451" max="8453" width="16.28515625" style="243" customWidth="1"/>
    <col min="8454" max="8704" width="9.28515625" style="243"/>
    <col min="8705" max="8705" width="1.28515625" style="243" customWidth="1"/>
    <col min="8706" max="8706" width="43.42578125" style="243" customWidth="1"/>
    <col min="8707" max="8709" width="16.28515625" style="243" customWidth="1"/>
    <col min="8710" max="8960" width="9.28515625" style="243"/>
    <col min="8961" max="8961" width="1.28515625" style="243" customWidth="1"/>
    <col min="8962" max="8962" width="43.42578125" style="243" customWidth="1"/>
    <col min="8963" max="8965" width="16.28515625" style="243" customWidth="1"/>
    <col min="8966" max="9216" width="9.28515625" style="243"/>
    <col min="9217" max="9217" width="1.28515625" style="243" customWidth="1"/>
    <col min="9218" max="9218" width="43.42578125" style="243" customWidth="1"/>
    <col min="9219" max="9221" width="16.28515625" style="243" customWidth="1"/>
    <col min="9222" max="9472" width="9.28515625" style="243"/>
    <col min="9473" max="9473" width="1.28515625" style="243" customWidth="1"/>
    <col min="9474" max="9474" width="43.42578125" style="243" customWidth="1"/>
    <col min="9475" max="9477" width="16.28515625" style="243" customWidth="1"/>
    <col min="9478" max="9728" width="9.28515625" style="243"/>
    <col min="9729" max="9729" width="1.28515625" style="243" customWidth="1"/>
    <col min="9730" max="9730" width="43.42578125" style="243" customWidth="1"/>
    <col min="9731" max="9733" width="16.28515625" style="243" customWidth="1"/>
    <col min="9734" max="9984" width="9.28515625" style="243"/>
    <col min="9985" max="9985" width="1.28515625" style="243" customWidth="1"/>
    <col min="9986" max="9986" width="43.42578125" style="243" customWidth="1"/>
    <col min="9987" max="9989" width="16.28515625" style="243" customWidth="1"/>
    <col min="9990" max="10240" width="9.28515625" style="243"/>
    <col min="10241" max="10241" width="1.28515625" style="243" customWidth="1"/>
    <col min="10242" max="10242" width="43.42578125" style="243" customWidth="1"/>
    <col min="10243" max="10245" width="16.28515625" style="243" customWidth="1"/>
    <col min="10246" max="10496" width="9.28515625" style="243"/>
    <col min="10497" max="10497" width="1.28515625" style="243" customWidth="1"/>
    <col min="10498" max="10498" width="43.42578125" style="243" customWidth="1"/>
    <col min="10499" max="10501" width="16.28515625" style="243" customWidth="1"/>
    <col min="10502" max="10752" width="9.28515625" style="243"/>
    <col min="10753" max="10753" width="1.28515625" style="243" customWidth="1"/>
    <col min="10754" max="10754" width="43.42578125" style="243" customWidth="1"/>
    <col min="10755" max="10757" width="16.28515625" style="243" customWidth="1"/>
    <col min="10758" max="11008" width="9.28515625" style="243"/>
    <col min="11009" max="11009" width="1.28515625" style="243" customWidth="1"/>
    <col min="11010" max="11010" width="43.42578125" style="243" customWidth="1"/>
    <col min="11011" max="11013" width="16.28515625" style="243" customWidth="1"/>
    <col min="11014" max="11264" width="9.28515625" style="243"/>
    <col min="11265" max="11265" width="1.28515625" style="243" customWidth="1"/>
    <col min="11266" max="11266" width="43.42578125" style="243" customWidth="1"/>
    <col min="11267" max="11269" width="16.28515625" style="243" customWidth="1"/>
    <col min="11270" max="11520" width="9.28515625" style="243"/>
    <col min="11521" max="11521" width="1.28515625" style="243" customWidth="1"/>
    <col min="11522" max="11522" width="43.42578125" style="243" customWidth="1"/>
    <col min="11523" max="11525" width="16.28515625" style="243" customWidth="1"/>
    <col min="11526" max="11776" width="9.28515625" style="243"/>
    <col min="11777" max="11777" width="1.28515625" style="243" customWidth="1"/>
    <col min="11778" max="11778" width="43.42578125" style="243" customWidth="1"/>
    <col min="11779" max="11781" width="16.28515625" style="243" customWidth="1"/>
    <col min="11782" max="12032" width="9.28515625" style="243"/>
    <col min="12033" max="12033" width="1.28515625" style="243" customWidth="1"/>
    <col min="12034" max="12034" width="43.42578125" style="243" customWidth="1"/>
    <col min="12035" max="12037" width="16.28515625" style="243" customWidth="1"/>
    <col min="12038" max="12288" width="9.28515625" style="243"/>
    <col min="12289" max="12289" width="1.28515625" style="243" customWidth="1"/>
    <col min="12290" max="12290" width="43.42578125" style="243" customWidth="1"/>
    <col min="12291" max="12293" width="16.28515625" style="243" customWidth="1"/>
    <col min="12294" max="12544" width="9.28515625" style="243"/>
    <col min="12545" max="12545" width="1.28515625" style="243" customWidth="1"/>
    <col min="12546" max="12546" width="43.42578125" style="243" customWidth="1"/>
    <col min="12547" max="12549" width="16.28515625" style="243" customWidth="1"/>
    <col min="12550" max="12800" width="9.28515625" style="243"/>
    <col min="12801" max="12801" width="1.28515625" style="243" customWidth="1"/>
    <col min="12802" max="12802" width="43.42578125" style="243" customWidth="1"/>
    <col min="12803" max="12805" width="16.28515625" style="243" customWidth="1"/>
    <col min="12806" max="13056" width="9.28515625" style="243"/>
    <col min="13057" max="13057" width="1.28515625" style="243" customWidth="1"/>
    <col min="13058" max="13058" width="43.42578125" style="243" customWidth="1"/>
    <col min="13059" max="13061" width="16.28515625" style="243" customWidth="1"/>
    <col min="13062" max="13312" width="9.28515625" style="243"/>
    <col min="13313" max="13313" width="1.28515625" style="243" customWidth="1"/>
    <col min="13314" max="13314" width="43.42578125" style="243" customWidth="1"/>
    <col min="13315" max="13317" width="16.28515625" style="243" customWidth="1"/>
    <col min="13318" max="13568" width="9.28515625" style="243"/>
    <col min="13569" max="13569" width="1.28515625" style="243" customWidth="1"/>
    <col min="13570" max="13570" width="43.42578125" style="243" customWidth="1"/>
    <col min="13571" max="13573" width="16.28515625" style="243" customWidth="1"/>
    <col min="13574" max="13824" width="9.28515625" style="243"/>
    <col min="13825" max="13825" width="1.28515625" style="243" customWidth="1"/>
    <col min="13826" max="13826" width="43.42578125" style="243" customWidth="1"/>
    <col min="13827" max="13829" width="16.28515625" style="243" customWidth="1"/>
    <col min="13830" max="14080" width="9.28515625" style="243"/>
    <col min="14081" max="14081" width="1.28515625" style="243" customWidth="1"/>
    <col min="14082" max="14082" width="43.42578125" style="243" customWidth="1"/>
    <col min="14083" max="14085" width="16.28515625" style="243" customWidth="1"/>
    <col min="14086" max="14336" width="9.28515625" style="243"/>
    <col min="14337" max="14337" width="1.28515625" style="243" customWidth="1"/>
    <col min="14338" max="14338" width="43.42578125" style="243" customWidth="1"/>
    <col min="14339" max="14341" width="16.28515625" style="243" customWidth="1"/>
    <col min="14342" max="14592" width="9.28515625" style="243"/>
    <col min="14593" max="14593" width="1.28515625" style="243" customWidth="1"/>
    <col min="14594" max="14594" width="43.42578125" style="243" customWidth="1"/>
    <col min="14595" max="14597" width="16.28515625" style="243" customWidth="1"/>
    <col min="14598" max="14848" width="9.28515625" style="243"/>
    <col min="14849" max="14849" width="1.28515625" style="243" customWidth="1"/>
    <col min="14850" max="14850" width="43.42578125" style="243" customWidth="1"/>
    <col min="14851" max="14853" width="16.28515625" style="243" customWidth="1"/>
    <col min="14854" max="15104" width="9.28515625" style="243"/>
    <col min="15105" max="15105" width="1.28515625" style="243" customWidth="1"/>
    <col min="15106" max="15106" width="43.42578125" style="243" customWidth="1"/>
    <col min="15107" max="15109" width="16.28515625" style="243" customWidth="1"/>
    <col min="15110" max="15360" width="9.28515625" style="243"/>
    <col min="15361" max="15361" width="1.28515625" style="243" customWidth="1"/>
    <col min="15362" max="15362" width="43.42578125" style="243" customWidth="1"/>
    <col min="15363" max="15365" width="16.28515625" style="243" customWidth="1"/>
    <col min="15366" max="15616" width="9.28515625" style="243"/>
    <col min="15617" max="15617" width="1.28515625" style="243" customWidth="1"/>
    <col min="15618" max="15618" width="43.42578125" style="243" customWidth="1"/>
    <col min="15619" max="15621" width="16.28515625" style="243" customWidth="1"/>
    <col min="15622" max="15872" width="9.28515625" style="243"/>
    <col min="15873" max="15873" width="1.28515625" style="243" customWidth="1"/>
    <col min="15874" max="15874" width="43.42578125" style="243" customWidth="1"/>
    <col min="15875" max="15877" width="16.28515625" style="243" customWidth="1"/>
    <col min="15878" max="16128" width="9.28515625" style="243"/>
    <col min="16129" max="16129" width="1.28515625" style="243" customWidth="1"/>
    <col min="16130" max="16130" width="43.42578125" style="243" customWidth="1"/>
    <col min="16131" max="16133" width="16.28515625" style="243" customWidth="1"/>
    <col min="16134" max="16384" width="9.28515625" style="243"/>
  </cols>
  <sheetData>
    <row r="1" spans="1:5" ht="35.1" customHeight="1">
      <c r="A1" s="1056" t="str">
        <f>+Títulos!$B$2&amp;"
FLUJO DE FONDOS (INDICADORES DE LA POSTURA FISCAL)
DEL 01 DE ENERO AL "&amp;Títulos!$B$3</f>
        <v>TRIBUNAL DE JUSTICIA ADMINISTRATIVA
FLUJO DE FONDOS (INDICADORES DE LA POSTURA FISCAL)
DEL 01 DE ENERO AL 31 DE DICIEMBRE DE 2017</v>
      </c>
      <c r="B1" s="1056"/>
      <c r="C1" s="1056"/>
      <c r="D1" s="1056"/>
      <c r="E1" s="1057"/>
    </row>
    <row r="2" spans="1:5" ht="24.95" customHeight="1">
      <c r="A2" s="1058" t="s">
        <v>71</v>
      </c>
      <c r="B2" s="1059"/>
      <c r="C2" s="2" t="s">
        <v>291</v>
      </c>
      <c r="D2" s="2" t="s">
        <v>231</v>
      </c>
      <c r="E2" s="2" t="s">
        <v>292</v>
      </c>
    </row>
    <row r="3" spans="1:5">
      <c r="A3" s="255">
        <v>900001</v>
      </c>
      <c r="B3" s="256" t="s">
        <v>293</v>
      </c>
      <c r="C3" s="408">
        <f>C4+C5</f>
        <v>80405840.510000005</v>
      </c>
      <c r="D3" s="408">
        <f>D4+D5</f>
        <v>88863739.419999987</v>
      </c>
      <c r="E3" s="408">
        <f>E4+E5</f>
        <v>88863739.419999987</v>
      </c>
    </row>
    <row r="4" spans="1:5" ht="22.5">
      <c r="A4" s="257"/>
      <c r="B4" s="258" t="s">
        <v>294</v>
      </c>
      <c r="C4" s="409">
        <f>+Impresos!CT5</f>
        <v>80405840.510000005</v>
      </c>
      <c r="D4" s="409">
        <f>+Impresos!CU5</f>
        <v>88863739.419999987</v>
      </c>
      <c r="E4" s="409">
        <f>+Impresos!CV5</f>
        <v>88863739.419999987</v>
      </c>
    </row>
    <row r="5" spans="1:5">
      <c r="A5" s="257"/>
      <c r="B5" s="258" t="s">
        <v>295</v>
      </c>
      <c r="C5" s="409">
        <f>+Impresos!CT6</f>
        <v>0</v>
      </c>
      <c r="D5" s="409">
        <f>+Impresos!CU6</f>
        <v>0</v>
      </c>
      <c r="E5" s="409">
        <f>+Impresos!CV6</f>
        <v>0</v>
      </c>
    </row>
    <row r="6" spans="1:5">
      <c r="A6" s="257">
        <v>900002</v>
      </c>
      <c r="B6" s="260" t="s">
        <v>296</v>
      </c>
      <c r="C6" s="410">
        <f>C7+C8</f>
        <v>80405840.510000005</v>
      </c>
      <c r="D6" s="410">
        <f>D7+D8</f>
        <v>86193205.109999985</v>
      </c>
      <c r="E6" s="410">
        <f>E7+E8</f>
        <v>84872096.260000005</v>
      </c>
    </row>
    <row r="7" spans="1:5" ht="22.5">
      <c r="A7" s="257"/>
      <c r="B7" s="258" t="s">
        <v>297</v>
      </c>
      <c r="C7" s="409">
        <f>+Impresos!CT8</f>
        <v>80405840.510000005</v>
      </c>
      <c r="D7" s="409">
        <f>+Impresos!CU8</f>
        <v>86193205.109999985</v>
      </c>
      <c r="E7" s="409">
        <f>+Impresos!CV8</f>
        <v>84872096.260000005</v>
      </c>
    </row>
    <row r="8" spans="1:5">
      <c r="A8" s="257"/>
      <c r="B8" s="258" t="s">
        <v>298</v>
      </c>
      <c r="C8" s="409">
        <f>+Impresos!CT9</f>
        <v>0</v>
      </c>
      <c r="D8" s="409">
        <f>+Impresos!CU9</f>
        <v>0</v>
      </c>
      <c r="E8" s="409">
        <f>+Impresos!CV9</f>
        <v>0</v>
      </c>
    </row>
    <row r="9" spans="1:5" ht="22.5">
      <c r="A9" s="257">
        <v>900003</v>
      </c>
      <c r="B9" s="260" t="s">
        <v>299</v>
      </c>
      <c r="C9" s="410">
        <f>C3-C6</f>
        <v>0</v>
      </c>
      <c r="D9" s="410">
        <f>D3-D6</f>
        <v>2670534.3100000024</v>
      </c>
      <c r="E9" s="410">
        <f>E3-E6</f>
        <v>3991643.1599999815</v>
      </c>
    </row>
    <row r="10" spans="1:5">
      <c r="A10" s="257">
        <v>900004</v>
      </c>
      <c r="B10" s="260" t="s">
        <v>300</v>
      </c>
      <c r="C10" s="409">
        <f>+Impresos!CT11</f>
        <v>0</v>
      </c>
      <c r="D10" s="409">
        <f>+Impresos!CU11</f>
        <v>0</v>
      </c>
      <c r="E10" s="409">
        <f>+Impresos!CV11</f>
        <v>0</v>
      </c>
    </row>
    <row r="11" spans="1:5">
      <c r="A11" s="257">
        <v>900005</v>
      </c>
      <c r="B11" s="260" t="s">
        <v>301</v>
      </c>
      <c r="C11" s="410">
        <f>C9-C10</f>
        <v>0</v>
      </c>
      <c r="D11" s="410">
        <f>D9-D10</f>
        <v>2670534.3100000024</v>
      </c>
      <c r="E11" s="410">
        <f>E9-E10</f>
        <v>3991643.1599999815</v>
      </c>
    </row>
    <row r="12" spans="1:5">
      <c r="A12" s="257">
        <v>900006</v>
      </c>
      <c r="B12" s="260" t="s">
        <v>302</v>
      </c>
      <c r="C12" s="409">
        <f>+Impresos!CT13</f>
        <v>0</v>
      </c>
      <c r="D12" s="409">
        <f>+Impresos!CU13</f>
        <v>0</v>
      </c>
      <c r="E12" s="409">
        <f>+Impresos!CV13</f>
        <v>0</v>
      </c>
    </row>
    <row r="13" spans="1:5">
      <c r="A13" s="257">
        <v>900007</v>
      </c>
      <c r="B13" s="260" t="s">
        <v>303</v>
      </c>
      <c r="C13" s="409">
        <f>+Impresos!CT14</f>
        <v>0</v>
      </c>
      <c r="D13" s="409">
        <f>+Impresos!CU14</f>
        <v>0</v>
      </c>
      <c r="E13" s="409">
        <f>+Impresos!CV14</f>
        <v>0</v>
      </c>
    </row>
    <row r="14" spans="1:5">
      <c r="A14" s="261">
        <v>900008</v>
      </c>
      <c r="B14" s="262" t="s">
        <v>304</v>
      </c>
      <c r="C14" s="411">
        <f>C12-C13</f>
        <v>0</v>
      </c>
      <c r="D14" s="411">
        <f>D12-D13</f>
        <v>0</v>
      </c>
      <c r="E14" s="411">
        <f>E12-E13</f>
        <v>0</v>
      </c>
    </row>
  </sheetData>
  <sheetProtection autoFilter="0"/>
  <mergeCells count="2">
    <mergeCell ref="A1:E1"/>
    <mergeCell ref="A2:B2"/>
  </mergeCells>
  <dataValidations count="4">
    <dataValidation allowBlank="1" showInputMessage="1" showErrorMessage="1" prompt="Se refiere al nombre que se asigna a cada uno de los desagregados que se señalan."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allowBlank="1" showInputMessage="1" showErrorMessage="1" prompt="Para los ingresos los &quot;abonos&quot; del devengado. Es el momento contable que se realiza cuando existe jurídicamente el derecho de cobro. Para los egresos los &quot;cargos&quot; del devengado. Este momento contable refleja el reconocimiento de una obligación de pago."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 allowBlank="1" showInputMessage="1" showErrorMessage="1" prompt="Son los importes que se aprueban anualmente en la Ley de Ingresos, o en el Presupuesto de Egreso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Para Ingresos se reportan los ingresos recaudados; para egresos se reportan los egresos pagados."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s>
  <pageMargins left="0.7" right="0.7" top="0.75" bottom="0.75" header="0.3" footer="0.3"/>
  <pageSetup orientation="portrait" r:id="rId1"/>
  <ignoredErrors>
    <ignoredError sqref="C3:E14"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showGridLines="0" topLeftCell="D1" zoomScaleNormal="100" zoomScaleSheetLayoutView="90" workbookViewId="0">
      <selection activeCell="C3" sqref="C3:H33"/>
    </sheetView>
  </sheetViews>
  <sheetFormatPr baseColWidth="10" defaultColWidth="11.42578125" defaultRowHeight="11.25"/>
  <cols>
    <col min="1" max="1" width="6.28515625" style="271" customWidth="1"/>
    <col min="2" max="2" width="62.42578125" style="271" customWidth="1"/>
    <col min="3" max="5" width="15.7109375" style="271" customWidth="1"/>
    <col min="6" max="8" width="15.7109375" style="272" customWidth="1"/>
    <col min="9" max="256" width="11.42578125" style="263"/>
    <col min="257" max="257" width="6.28515625" style="263" customWidth="1"/>
    <col min="258" max="258" width="62.42578125" style="263" customWidth="1"/>
    <col min="259" max="264" width="15.7109375" style="263" customWidth="1"/>
    <col min="265" max="512" width="11.42578125" style="263"/>
    <col min="513" max="513" width="6.28515625" style="263" customWidth="1"/>
    <col min="514" max="514" width="62.42578125" style="263" customWidth="1"/>
    <col min="515" max="520" width="15.7109375" style="263" customWidth="1"/>
    <col min="521" max="768" width="11.42578125" style="263"/>
    <col min="769" max="769" width="6.28515625" style="263" customWidth="1"/>
    <col min="770" max="770" width="62.42578125" style="263" customWidth="1"/>
    <col min="771" max="776" width="15.7109375" style="263" customWidth="1"/>
    <col min="777" max="1024" width="11.42578125" style="263"/>
    <col min="1025" max="1025" width="6.28515625" style="263" customWidth="1"/>
    <col min="1026" max="1026" width="62.42578125" style="263" customWidth="1"/>
    <col min="1027" max="1032" width="15.7109375" style="263" customWidth="1"/>
    <col min="1033" max="1280" width="11.42578125" style="263"/>
    <col min="1281" max="1281" width="6.28515625" style="263" customWidth="1"/>
    <col min="1282" max="1282" width="62.42578125" style="263" customWidth="1"/>
    <col min="1283" max="1288" width="15.7109375" style="263" customWidth="1"/>
    <col min="1289" max="1536" width="11.42578125" style="263"/>
    <col min="1537" max="1537" width="6.28515625" style="263" customWidth="1"/>
    <col min="1538" max="1538" width="62.42578125" style="263" customWidth="1"/>
    <col min="1539" max="1544" width="15.7109375" style="263" customWidth="1"/>
    <col min="1545" max="1792" width="11.42578125" style="263"/>
    <col min="1793" max="1793" width="6.28515625" style="263" customWidth="1"/>
    <col min="1794" max="1794" width="62.42578125" style="263" customWidth="1"/>
    <col min="1795" max="1800" width="15.7109375" style="263" customWidth="1"/>
    <col min="1801" max="2048" width="11.42578125" style="263"/>
    <col min="2049" max="2049" width="6.28515625" style="263" customWidth="1"/>
    <col min="2050" max="2050" width="62.42578125" style="263" customWidth="1"/>
    <col min="2051" max="2056" width="15.7109375" style="263" customWidth="1"/>
    <col min="2057" max="2304" width="11.42578125" style="263"/>
    <col min="2305" max="2305" width="6.28515625" style="263" customWidth="1"/>
    <col min="2306" max="2306" width="62.42578125" style="263" customWidth="1"/>
    <col min="2307" max="2312" width="15.7109375" style="263" customWidth="1"/>
    <col min="2313" max="2560" width="11.42578125" style="263"/>
    <col min="2561" max="2561" width="6.28515625" style="263" customWidth="1"/>
    <col min="2562" max="2562" width="62.42578125" style="263" customWidth="1"/>
    <col min="2563" max="2568" width="15.7109375" style="263" customWidth="1"/>
    <col min="2569" max="2816" width="11.42578125" style="263"/>
    <col min="2817" max="2817" width="6.28515625" style="263" customWidth="1"/>
    <col min="2818" max="2818" width="62.42578125" style="263" customWidth="1"/>
    <col min="2819" max="2824" width="15.7109375" style="263" customWidth="1"/>
    <col min="2825" max="3072" width="11.42578125" style="263"/>
    <col min="3073" max="3073" width="6.28515625" style="263" customWidth="1"/>
    <col min="3074" max="3074" width="62.42578125" style="263" customWidth="1"/>
    <col min="3075" max="3080" width="15.7109375" style="263" customWidth="1"/>
    <col min="3081" max="3328" width="11.42578125" style="263"/>
    <col min="3329" max="3329" width="6.28515625" style="263" customWidth="1"/>
    <col min="3330" max="3330" width="62.42578125" style="263" customWidth="1"/>
    <col min="3331" max="3336" width="15.7109375" style="263" customWidth="1"/>
    <col min="3337" max="3584" width="11.42578125" style="263"/>
    <col min="3585" max="3585" width="6.28515625" style="263" customWidth="1"/>
    <col min="3586" max="3586" width="62.42578125" style="263" customWidth="1"/>
    <col min="3587" max="3592" width="15.7109375" style="263" customWidth="1"/>
    <col min="3593" max="3840" width="11.42578125" style="263"/>
    <col min="3841" max="3841" width="6.28515625" style="263" customWidth="1"/>
    <col min="3842" max="3842" width="62.42578125" style="263" customWidth="1"/>
    <col min="3843" max="3848" width="15.7109375" style="263" customWidth="1"/>
    <col min="3849" max="4096" width="11.42578125" style="263"/>
    <col min="4097" max="4097" width="6.28515625" style="263" customWidth="1"/>
    <col min="4098" max="4098" width="62.42578125" style="263" customWidth="1"/>
    <col min="4099" max="4104" width="15.7109375" style="263" customWidth="1"/>
    <col min="4105" max="4352" width="11.42578125" style="263"/>
    <col min="4353" max="4353" width="6.28515625" style="263" customWidth="1"/>
    <col min="4354" max="4354" width="62.42578125" style="263" customWidth="1"/>
    <col min="4355" max="4360" width="15.7109375" style="263" customWidth="1"/>
    <col min="4361" max="4608" width="11.42578125" style="263"/>
    <col min="4609" max="4609" width="6.28515625" style="263" customWidth="1"/>
    <col min="4610" max="4610" width="62.42578125" style="263" customWidth="1"/>
    <col min="4611" max="4616" width="15.7109375" style="263" customWidth="1"/>
    <col min="4617" max="4864" width="11.42578125" style="263"/>
    <col min="4865" max="4865" width="6.28515625" style="263" customWidth="1"/>
    <col min="4866" max="4866" width="62.42578125" style="263" customWidth="1"/>
    <col min="4867" max="4872" width="15.7109375" style="263" customWidth="1"/>
    <col min="4873" max="5120" width="11.42578125" style="263"/>
    <col min="5121" max="5121" width="6.28515625" style="263" customWidth="1"/>
    <col min="5122" max="5122" width="62.42578125" style="263" customWidth="1"/>
    <col min="5123" max="5128" width="15.7109375" style="263" customWidth="1"/>
    <col min="5129" max="5376" width="11.42578125" style="263"/>
    <col min="5377" max="5377" width="6.28515625" style="263" customWidth="1"/>
    <col min="5378" max="5378" width="62.42578125" style="263" customWidth="1"/>
    <col min="5379" max="5384" width="15.7109375" style="263" customWidth="1"/>
    <col min="5385" max="5632" width="11.42578125" style="263"/>
    <col min="5633" max="5633" width="6.28515625" style="263" customWidth="1"/>
    <col min="5634" max="5634" width="62.42578125" style="263" customWidth="1"/>
    <col min="5635" max="5640" width="15.7109375" style="263" customWidth="1"/>
    <col min="5641" max="5888" width="11.42578125" style="263"/>
    <col min="5889" max="5889" width="6.28515625" style="263" customWidth="1"/>
    <col min="5890" max="5890" width="62.42578125" style="263" customWidth="1"/>
    <col min="5891" max="5896" width="15.7109375" style="263" customWidth="1"/>
    <col min="5897" max="6144" width="11.42578125" style="263"/>
    <col min="6145" max="6145" width="6.28515625" style="263" customWidth="1"/>
    <col min="6146" max="6146" width="62.42578125" style="263" customWidth="1"/>
    <col min="6147" max="6152" width="15.7109375" style="263" customWidth="1"/>
    <col min="6153" max="6400" width="11.42578125" style="263"/>
    <col min="6401" max="6401" width="6.28515625" style="263" customWidth="1"/>
    <col min="6402" max="6402" width="62.42578125" style="263" customWidth="1"/>
    <col min="6403" max="6408" width="15.7109375" style="263" customWidth="1"/>
    <col min="6409" max="6656" width="11.42578125" style="263"/>
    <col min="6657" max="6657" width="6.28515625" style="263" customWidth="1"/>
    <col min="6658" max="6658" width="62.42578125" style="263" customWidth="1"/>
    <col min="6659" max="6664" width="15.7109375" style="263" customWidth="1"/>
    <col min="6665" max="6912" width="11.42578125" style="263"/>
    <col min="6913" max="6913" width="6.28515625" style="263" customWidth="1"/>
    <col min="6914" max="6914" width="62.42578125" style="263" customWidth="1"/>
    <col min="6915" max="6920" width="15.7109375" style="263" customWidth="1"/>
    <col min="6921" max="7168" width="11.42578125" style="263"/>
    <col min="7169" max="7169" width="6.28515625" style="263" customWidth="1"/>
    <col min="7170" max="7170" width="62.42578125" style="263" customWidth="1"/>
    <col min="7171" max="7176" width="15.7109375" style="263" customWidth="1"/>
    <col min="7177" max="7424" width="11.42578125" style="263"/>
    <col min="7425" max="7425" width="6.28515625" style="263" customWidth="1"/>
    <col min="7426" max="7426" width="62.42578125" style="263" customWidth="1"/>
    <col min="7427" max="7432" width="15.7109375" style="263" customWidth="1"/>
    <col min="7433" max="7680" width="11.42578125" style="263"/>
    <col min="7681" max="7681" width="6.28515625" style="263" customWidth="1"/>
    <col min="7682" max="7682" width="62.42578125" style="263" customWidth="1"/>
    <col min="7683" max="7688" width="15.7109375" style="263" customWidth="1"/>
    <col min="7689" max="7936" width="11.42578125" style="263"/>
    <col min="7937" max="7937" width="6.28515625" style="263" customWidth="1"/>
    <col min="7938" max="7938" width="62.42578125" style="263" customWidth="1"/>
    <col min="7939" max="7944" width="15.7109375" style="263" customWidth="1"/>
    <col min="7945" max="8192" width="11.42578125" style="263"/>
    <col min="8193" max="8193" width="6.28515625" style="263" customWidth="1"/>
    <col min="8194" max="8194" width="62.42578125" style="263" customWidth="1"/>
    <col min="8195" max="8200" width="15.7109375" style="263" customWidth="1"/>
    <col min="8201" max="8448" width="11.42578125" style="263"/>
    <col min="8449" max="8449" width="6.28515625" style="263" customWidth="1"/>
    <col min="8450" max="8450" width="62.42578125" style="263" customWidth="1"/>
    <col min="8451" max="8456" width="15.7109375" style="263" customWidth="1"/>
    <col min="8457" max="8704" width="11.42578125" style="263"/>
    <col min="8705" max="8705" width="6.28515625" style="263" customWidth="1"/>
    <col min="8706" max="8706" width="62.42578125" style="263" customWidth="1"/>
    <col min="8707" max="8712" width="15.7109375" style="263" customWidth="1"/>
    <col min="8713" max="8960" width="11.42578125" style="263"/>
    <col min="8961" max="8961" width="6.28515625" style="263" customWidth="1"/>
    <col min="8962" max="8962" width="62.42578125" style="263" customWidth="1"/>
    <col min="8963" max="8968" width="15.7109375" style="263" customWidth="1"/>
    <col min="8969" max="9216" width="11.42578125" style="263"/>
    <col min="9217" max="9217" width="6.28515625" style="263" customWidth="1"/>
    <col min="9218" max="9218" width="62.42578125" style="263" customWidth="1"/>
    <col min="9219" max="9224" width="15.7109375" style="263" customWidth="1"/>
    <col min="9225" max="9472" width="11.42578125" style="263"/>
    <col min="9473" max="9473" width="6.28515625" style="263" customWidth="1"/>
    <col min="9474" max="9474" width="62.42578125" style="263" customWidth="1"/>
    <col min="9475" max="9480" width="15.7109375" style="263" customWidth="1"/>
    <col min="9481" max="9728" width="11.42578125" style="263"/>
    <col min="9729" max="9729" width="6.28515625" style="263" customWidth="1"/>
    <col min="9730" max="9730" width="62.42578125" style="263" customWidth="1"/>
    <col min="9731" max="9736" width="15.7109375" style="263" customWidth="1"/>
    <col min="9737" max="9984" width="11.42578125" style="263"/>
    <col min="9985" max="9985" width="6.28515625" style="263" customWidth="1"/>
    <col min="9986" max="9986" width="62.42578125" style="263" customWidth="1"/>
    <col min="9987" max="9992" width="15.7109375" style="263" customWidth="1"/>
    <col min="9993" max="10240" width="11.42578125" style="263"/>
    <col min="10241" max="10241" width="6.28515625" style="263" customWidth="1"/>
    <col min="10242" max="10242" width="62.42578125" style="263" customWidth="1"/>
    <col min="10243" max="10248" width="15.7109375" style="263" customWidth="1"/>
    <col min="10249" max="10496" width="11.42578125" style="263"/>
    <col min="10497" max="10497" width="6.28515625" style="263" customWidth="1"/>
    <col min="10498" max="10498" width="62.42578125" style="263" customWidth="1"/>
    <col min="10499" max="10504" width="15.7109375" style="263" customWidth="1"/>
    <col min="10505" max="10752" width="11.42578125" style="263"/>
    <col min="10753" max="10753" width="6.28515625" style="263" customWidth="1"/>
    <col min="10754" max="10754" width="62.42578125" style="263" customWidth="1"/>
    <col min="10755" max="10760" width="15.7109375" style="263" customWidth="1"/>
    <col min="10761" max="11008" width="11.42578125" style="263"/>
    <col min="11009" max="11009" width="6.28515625" style="263" customWidth="1"/>
    <col min="11010" max="11010" width="62.42578125" style="263" customWidth="1"/>
    <col min="11011" max="11016" width="15.7109375" style="263" customWidth="1"/>
    <col min="11017" max="11264" width="11.42578125" style="263"/>
    <col min="11265" max="11265" width="6.28515625" style="263" customWidth="1"/>
    <col min="11266" max="11266" width="62.42578125" style="263" customWidth="1"/>
    <col min="11267" max="11272" width="15.7109375" style="263" customWidth="1"/>
    <col min="11273" max="11520" width="11.42578125" style="263"/>
    <col min="11521" max="11521" width="6.28515625" style="263" customWidth="1"/>
    <col min="11522" max="11522" width="62.42578125" style="263" customWidth="1"/>
    <col min="11523" max="11528" width="15.7109375" style="263" customWidth="1"/>
    <col min="11529" max="11776" width="11.42578125" style="263"/>
    <col min="11777" max="11777" width="6.28515625" style="263" customWidth="1"/>
    <col min="11778" max="11778" width="62.42578125" style="263" customWidth="1"/>
    <col min="11779" max="11784" width="15.7109375" style="263" customWidth="1"/>
    <col min="11785" max="12032" width="11.42578125" style="263"/>
    <col min="12033" max="12033" width="6.28515625" style="263" customWidth="1"/>
    <col min="12034" max="12034" width="62.42578125" style="263" customWidth="1"/>
    <col min="12035" max="12040" width="15.7109375" style="263" customWidth="1"/>
    <col min="12041" max="12288" width="11.42578125" style="263"/>
    <col min="12289" max="12289" width="6.28515625" style="263" customWidth="1"/>
    <col min="12290" max="12290" width="62.42578125" style="263" customWidth="1"/>
    <col min="12291" max="12296" width="15.7109375" style="263" customWidth="1"/>
    <col min="12297" max="12544" width="11.42578125" style="263"/>
    <col min="12545" max="12545" width="6.28515625" style="263" customWidth="1"/>
    <col min="12546" max="12546" width="62.42578125" style="263" customWidth="1"/>
    <col min="12547" max="12552" width="15.7109375" style="263" customWidth="1"/>
    <col min="12553" max="12800" width="11.42578125" style="263"/>
    <col min="12801" max="12801" width="6.28515625" style="263" customWidth="1"/>
    <col min="12802" max="12802" width="62.42578125" style="263" customWidth="1"/>
    <col min="12803" max="12808" width="15.7109375" style="263" customWidth="1"/>
    <col min="12809" max="13056" width="11.42578125" style="263"/>
    <col min="13057" max="13057" width="6.28515625" style="263" customWidth="1"/>
    <col min="13058" max="13058" width="62.42578125" style="263" customWidth="1"/>
    <col min="13059" max="13064" width="15.7109375" style="263" customWidth="1"/>
    <col min="13065" max="13312" width="11.42578125" style="263"/>
    <col min="13313" max="13313" width="6.28515625" style="263" customWidth="1"/>
    <col min="13314" max="13314" width="62.42578125" style="263" customWidth="1"/>
    <col min="13315" max="13320" width="15.7109375" style="263" customWidth="1"/>
    <col min="13321" max="13568" width="11.42578125" style="263"/>
    <col min="13569" max="13569" width="6.28515625" style="263" customWidth="1"/>
    <col min="13570" max="13570" width="62.42578125" style="263" customWidth="1"/>
    <col min="13571" max="13576" width="15.7109375" style="263" customWidth="1"/>
    <col min="13577" max="13824" width="11.42578125" style="263"/>
    <col min="13825" max="13825" width="6.28515625" style="263" customWidth="1"/>
    <col min="13826" max="13826" width="62.42578125" style="263" customWidth="1"/>
    <col min="13827" max="13832" width="15.7109375" style="263" customWidth="1"/>
    <col min="13833" max="14080" width="11.42578125" style="263"/>
    <col min="14081" max="14081" width="6.28515625" style="263" customWidth="1"/>
    <col min="14082" max="14082" width="62.42578125" style="263" customWidth="1"/>
    <col min="14083" max="14088" width="15.7109375" style="263" customWidth="1"/>
    <col min="14089" max="14336" width="11.42578125" style="263"/>
    <col min="14337" max="14337" width="6.28515625" style="263" customWidth="1"/>
    <col min="14338" max="14338" width="62.42578125" style="263" customWidth="1"/>
    <col min="14339" max="14344" width="15.7109375" style="263" customWidth="1"/>
    <col min="14345" max="14592" width="11.42578125" style="263"/>
    <col min="14593" max="14593" width="6.28515625" style="263" customWidth="1"/>
    <col min="14594" max="14594" width="62.42578125" style="263" customWidth="1"/>
    <col min="14595" max="14600" width="15.7109375" style="263" customWidth="1"/>
    <col min="14601" max="14848" width="11.42578125" style="263"/>
    <col min="14849" max="14849" width="6.28515625" style="263" customWidth="1"/>
    <col min="14850" max="14850" width="62.42578125" style="263" customWidth="1"/>
    <col min="14851" max="14856" width="15.7109375" style="263" customWidth="1"/>
    <col min="14857" max="15104" width="11.42578125" style="263"/>
    <col min="15105" max="15105" width="6.28515625" style="263" customWidth="1"/>
    <col min="15106" max="15106" width="62.42578125" style="263" customWidth="1"/>
    <col min="15107" max="15112" width="15.7109375" style="263" customWidth="1"/>
    <col min="15113" max="15360" width="11.42578125" style="263"/>
    <col min="15361" max="15361" width="6.28515625" style="263" customWidth="1"/>
    <col min="15362" max="15362" width="62.42578125" style="263" customWidth="1"/>
    <col min="15363" max="15368" width="15.7109375" style="263" customWidth="1"/>
    <col min="15369" max="15616" width="11.42578125" style="263"/>
    <col min="15617" max="15617" width="6.28515625" style="263" customWidth="1"/>
    <col min="15618" max="15618" width="62.42578125" style="263" customWidth="1"/>
    <col min="15619" max="15624" width="15.7109375" style="263" customWidth="1"/>
    <col min="15625" max="15872" width="11.42578125" style="263"/>
    <col min="15873" max="15873" width="6.28515625" style="263" customWidth="1"/>
    <col min="15874" max="15874" width="62.42578125" style="263" customWidth="1"/>
    <col min="15875" max="15880" width="15.7109375" style="263" customWidth="1"/>
    <col min="15881" max="16128" width="11.42578125" style="263"/>
    <col min="16129" max="16129" width="6.28515625" style="263" customWidth="1"/>
    <col min="16130" max="16130" width="62.42578125" style="263" customWidth="1"/>
    <col min="16131" max="16136" width="15.7109375" style="263" customWidth="1"/>
    <col min="16137" max="16384" width="11.42578125" style="263"/>
  </cols>
  <sheetData>
    <row r="1" spans="1:8" ht="35.1" customHeight="1">
      <c r="A1" s="998" t="str">
        <f>+Títulos!$B$2&amp;"
GASTO POR CATEGORIA PROGRAMATICA
DEL 01 DE ENERO AL "&amp;Títulos!$B$3</f>
        <v>TRIBUNAL DE JUSTICIA ADMINISTRATIVA
GASTO POR CATEGORIA PROGRAMATICA
DEL 01 DE ENERO AL 31 DE DICIEMBRE DE 2017</v>
      </c>
      <c r="B1" s="999"/>
      <c r="C1" s="999"/>
      <c r="D1" s="999"/>
      <c r="E1" s="999"/>
      <c r="F1" s="999"/>
      <c r="G1" s="999"/>
      <c r="H1" s="1000"/>
    </row>
    <row r="2" spans="1:8" ht="24.95" customHeight="1">
      <c r="A2" s="6" t="s">
        <v>250</v>
      </c>
      <c r="B2" s="5" t="s">
        <v>71</v>
      </c>
      <c r="C2" s="7" t="s">
        <v>253</v>
      </c>
      <c r="D2" s="7" t="s">
        <v>254</v>
      </c>
      <c r="E2" s="7" t="s">
        <v>230</v>
      </c>
      <c r="F2" s="7" t="s">
        <v>231</v>
      </c>
      <c r="G2" s="7" t="s">
        <v>255</v>
      </c>
      <c r="H2" s="7" t="s">
        <v>256</v>
      </c>
    </row>
    <row r="3" spans="1:8">
      <c r="A3" s="233">
        <v>900001</v>
      </c>
      <c r="B3" s="234" t="s">
        <v>257</v>
      </c>
      <c r="C3" s="412">
        <f t="shared" ref="C3:H3" si="0">SUM(C4,C31,C32,C33)</f>
        <v>80405840.509999976</v>
      </c>
      <c r="D3" s="412">
        <f t="shared" si="0"/>
        <v>8457903.8100000042</v>
      </c>
      <c r="E3" s="412">
        <f t="shared" si="0"/>
        <v>88863744.319999978</v>
      </c>
      <c r="F3" s="412">
        <f t="shared" si="0"/>
        <v>86193205.110000029</v>
      </c>
      <c r="G3" s="412">
        <f t="shared" si="0"/>
        <v>84872096.260000035</v>
      </c>
      <c r="H3" s="412">
        <f t="shared" si="0"/>
        <v>2670539.2099999487</v>
      </c>
    </row>
    <row r="4" spans="1:8">
      <c r="A4" s="181">
        <v>900002</v>
      </c>
      <c r="B4" s="264" t="s">
        <v>305</v>
      </c>
      <c r="C4" s="413">
        <f t="shared" ref="C4:H4" si="1">SUM(C5,C8,C17,C21,C24,C29)</f>
        <v>80405840.509999976</v>
      </c>
      <c r="D4" s="413">
        <f t="shared" si="1"/>
        <v>8457903.8100000042</v>
      </c>
      <c r="E4" s="413">
        <f t="shared" si="1"/>
        <v>88863744.319999978</v>
      </c>
      <c r="F4" s="413">
        <f t="shared" si="1"/>
        <v>86193205.110000029</v>
      </c>
      <c r="G4" s="413">
        <f t="shared" si="1"/>
        <v>84872096.260000035</v>
      </c>
      <c r="H4" s="413">
        <f t="shared" si="1"/>
        <v>2670539.2099999487</v>
      </c>
    </row>
    <row r="5" spans="1:8">
      <c r="A5" s="181">
        <v>900003</v>
      </c>
      <c r="B5" s="265" t="s">
        <v>306</v>
      </c>
      <c r="C5" s="414">
        <f t="shared" ref="C5:H5" si="2">SUM(C6:C7)</f>
        <v>0</v>
      </c>
      <c r="D5" s="414">
        <f t="shared" si="2"/>
        <v>0</v>
      </c>
      <c r="E5" s="414">
        <f t="shared" si="2"/>
        <v>0</v>
      </c>
      <c r="F5" s="414">
        <f t="shared" si="2"/>
        <v>0</v>
      </c>
      <c r="G5" s="414">
        <f t="shared" si="2"/>
        <v>0</v>
      </c>
      <c r="H5" s="414">
        <f t="shared" si="2"/>
        <v>0</v>
      </c>
    </row>
    <row r="6" spans="1:8">
      <c r="A6" s="266" t="s">
        <v>307</v>
      </c>
      <c r="B6" s="267" t="s">
        <v>308</v>
      </c>
      <c r="C6" s="338">
        <f>SUMIF(PE_CP,MID(A6,1,2)&amp;"*",PE_A)</f>
        <v>0</v>
      </c>
      <c r="D6" s="338">
        <f>SUMIF(PE_CP,MID(A6,1,2)&amp;"*",PE_M)</f>
        <v>0</v>
      </c>
      <c r="E6" s="338">
        <f>+C6+D6</f>
        <v>0</v>
      </c>
      <c r="F6" s="338">
        <f>SUMIF(PE_CP,MID(A6,1,2)&amp;"*",PE_D)</f>
        <v>0</v>
      </c>
      <c r="G6" s="338">
        <f>SUMIF(PE_CP,MID(A6,1,2)&amp;"*",PE_P)</f>
        <v>0</v>
      </c>
      <c r="H6" s="338">
        <f>+E6-F6</f>
        <v>0</v>
      </c>
    </row>
    <row r="7" spans="1:8">
      <c r="A7" s="266" t="s">
        <v>309</v>
      </c>
      <c r="B7" s="267" t="s">
        <v>310</v>
      </c>
      <c r="C7" s="338">
        <f>SUMIF(PE_CP,MID(A7,1,2)&amp;"*",PE_A)</f>
        <v>0</v>
      </c>
      <c r="D7" s="338">
        <f>SUMIF(PE_CP,MID(A7,1,2)&amp;"*",PE_M)</f>
        <v>0</v>
      </c>
      <c r="E7" s="338">
        <f>+C7+D7</f>
        <v>0</v>
      </c>
      <c r="F7" s="338">
        <f>SUMIF(PE_CP,MID(A7,1,2)&amp;"*",PE_D)</f>
        <v>0</v>
      </c>
      <c r="G7" s="338">
        <f>SUMIF(PE_CP,MID(A7,1,2)&amp;"*",PE_P)</f>
        <v>0</v>
      </c>
      <c r="H7" s="338">
        <f>+E7-F7</f>
        <v>0</v>
      </c>
    </row>
    <row r="8" spans="1:8">
      <c r="A8" s="181">
        <v>900004</v>
      </c>
      <c r="B8" s="265" t="s">
        <v>311</v>
      </c>
      <c r="C8" s="414">
        <f t="shared" ref="C8:H8" si="3">SUM(C9:C16)</f>
        <v>80405840.509999976</v>
      </c>
      <c r="D8" s="414">
        <f t="shared" si="3"/>
        <v>8457903.8100000042</v>
      </c>
      <c r="E8" s="414">
        <f t="shared" si="3"/>
        <v>88863744.319999978</v>
      </c>
      <c r="F8" s="414">
        <f t="shared" si="3"/>
        <v>86193205.110000029</v>
      </c>
      <c r="G8" s="414">
        <f t="shared" si="3"/>
        <v>84872096.260000035</v>
      </c>
      <c r="H8" s="414">
        <f t="shared" si="3"/>
        <v>2670539.2099999487</v>
      </c>
    </row>
    <row r="9" spans="1:8">
      <c r="A9" s="266" t="s">
        <v>312</v>
      </c>
      <c r="B9" s="267" t="s">
        <v>313</v>
      </c>
      <c r="C9" s="338">
        <f t="shared" ref="C9:C16" si="4">SUMIF(PE_CP,MID(A9,1,2)&amp;"*",PE_A)</f>
        <v>80405840.509999976</v>
      </c>
      <c r="D9" s="338">
        <f t="shared" ref="D9:D16" si="5">SUMIF(PE_CP,MID(A9,1,2)&amp;"*",PE_M)</f>
        <v>8457903.8100000042</v>
      </c>
      <c r="E9" s="338">
        <f>+C9+D9</f>
        <v>88863744.319999978</v>
      </c>
      <c r="F9" s="338">
        <f t="shared" ref="F9:F16" si="6">SUMIF(PE_CP,MID(A9,1,2)&amp;"*",PE_D)</f>
        <v>86193205.110000029</v>
      </c>
      <c r="G9" s="338">
        <f t="shared" ref="G9:G16" si="7">SUMIF(PE_CP,MID(A9,1,2)&amp;"*",PE_P)</f>
        <v>84872096.260000035</v>
      </c>
      <c r="H9" s="338">
        <f>+E9-F9</f>
        <v>2670539.2099999487</v>
      </c>
    </row>
    <row r="10" spans="1:8">
      <c r="A10" s="266" t="s">
        <v>314</v>
      </c>
      <c r="B10" s="267" t="s">
        <v>315</v>
      </c>
      <c r="C10" s="338">
        <f t="shared" si="4"/>
        <v>0</v>
      </c>
      <c r="D10" s="338">
        <f t="shared" si="5"/>
        <v>0</v>
      </c>
      <c r="E10" s="338">
        <f t="shared" ref="E10:E16" si="8">+C10+D10</f>
        <v>0</v>
      </c>
      <c r="F10" s="338">
        <f t="shared" si="6"/>
        <v>0</v>
      </c>
      <c r="G10" s="338">
        <f t="shared" si="7"/>
        <v>0</v>
      </c>
      <c r="H10" s="338">
        <f t="shared" ref="H10:H16" si="9">+E10-F10</f>
        <v>0</v>
      </c>
    </row>
    <row r="11" spans="1:8">
      <c r="A11" s="266" t="s">
        <v>316</v>
      </c>
      <c r="B11" s="267" t="s">
        <v>317</v>
      </c>
      <c r="C11" s="338">
        <f t="shared" si="4"/>
        <v>0</v>
      </c>
      <c r="D11" s="338">
        <f t="shared" si="5"/>
        <v>0</v>
      </c>
      <c r="E11" s="338">
        <f t="shared" si="8"/>
        <v>0</v>
      </c>
      <c r="F11" s="338">
        <f t="shared" si="6"/>
        <v>0</v>
      </c>
      <c r="G11" s="338">
        <f t="shared" si="7"/>
        <v>0</v>
      </c>
      <c r="H11" s="338">
        <f t="shared" si="9"/>
        <v>0</v>
      </c>
    </row>
    <row r="12" spans="1:8">
      <c r="A12" s="266" t="s">
        <v>318</v>
      </c>
      <c r="B12" s="267" t="s">
        <v>319</v>
      </c>
      <c r="C12" s="338">
        <f t="shared" si="4"/>
        <v>0</v>
      </c>
      <c r="D12" s="338">
        <f t="shared" si="5"/>
        <v>0</v>
      </c>
      <c r="E12" s="338">
        <f t="shared" si="8"/>
        <v>0</v>
      </c>
      <c r="F12" s="338">
        <f t="shared" si="6"/>
        <v>0</v>
      </c>
      <c r="G12" s="338">
        <f t="shared" si="7"/>
        <v>0</v>
      </c>
      <c r="H12" s="338">
        <f t="shared" si="9"/>
        <v>0</v>
      </c>
    </row>
    <row r="13" spans="1:8">
      <c r="A13" s="266" t="s">
        <v>320</v>
      </c>
      <c r="B13" s="267" t="s">
        <v>321</v>
      </c>
      <c r="C13" s="338">
        <f t="shared" si="4"/>
        <v>0</v>
      </c>
      <c r="D13" s="338">
        <f t="shared" si="5"/>
        <v>0</v>
      </c>
      <c r="E13" s="338">
        <f t="shared" si="8"/>
        <v>0</v>
      </c>
      <c r="F13" s="338">
        <f t="shared" si="6"/>
        <v>0</v>
      </c>
      <c r="G13" s="338">
        <f t="shared" si="7"/>
        <v>0</v>
      </c>
      <c r="H13" s="338">
        <f t="shared" si="9"/>
        <v>0</v>
      </c>
    </row>
    <row r="14" spans="1:8">
      <c r="A14" s="266" t="s">
        <v>322</v>
      </c>
      <c r="B14" s="267" t="s">
        <v>323</v>
      </c>
      <c r="C14" s="338">
        <f t="shared" si="4"/>
        <v>0</v>
      </c>
      <c r="D14" s="338">
        <f t="shared" si="5"/>
        <v>0</v>
      </c>
      <c r="E14" s="338">
        <f t="shared" si="8"/>
        <v>0</v>
      </c>
      <c r="F14" s="338">
        <f t="shared" si="6"/>
        <v>0</v>
      </c>
      <c r="G14" s="338">
        <f t="shared" si="7"/>
        <v>0</v>
      </c>
      <c r="H14" s="338">
        <f t="shared" si="9"/>
        <v>0</v>
      </c>
    </row>
    <row r="15" spans="1:8">
      <c r="A15" s="266" t="s">
        <v>324</v>
      </c>
      <c r="B15" s="267" t="s">
        <v>325</v>
      </c>
      <c r="C15" s="338">
        <f t="shared" si="4"/>
        <v>0</v>
      </c>
      <c r="D15" s="338">
        <f t="shared" si="5"/>
        <v>0</v>
      </c>
      <c r="E15" s="338">
        <f t="shared" si="8"/>
        <v>0</v>
      </c>
      <c r="F15" s="338">
        <f t="shared" si="6"/>
        <v>0</v>
      </c>
      <c r="G15" s="338">
        <f t="shared" si="7"/>
        <v>0</v>
      </c>
      <c r="H15" s="338">
        <f t="shared" si="9"/>
        <v>0</v>
      </c>
    </row>
    <row r="16" spans="1:8">
      <c r="A16" s="266" t="s">
        <v>326</v>
      </c>
      <c r="B16" s="267" t="s">
        <v>327</v>
      </c>
      <c r="C16" s="338">
        <f t="shared" si="4"/>
        <v>0</v>
      </c>
      <c r="D16" s="338">
        <f t="shared" si="5"/>
        <v>0</v>
      </c>
      <c r="E16" s="338">
        <f t="shared" si="8"/>
        <v>0</v>
      </c>
      <c r="F16" s="338">
        <f t="shared" si="6"/>
        <v>0</v>
      </c>
      <c r="G16" s="338">
        <f t="shared" si="7"/>
        <v>0</v>
      </c>
      <c r="H16" s="338">
        <f t="shared" si="9"/>
        <v>0</v>
      </c>
    </row>
    <row r="17" spans="1:8">
      <c r="A17" s="181">
        <v>900005</v>
      </c>
      <c r="B17" s="265" t="s">
        <v>328</v>
      </c>
      <c r="C17" s="414">
        <f t="shared" ref="C17:H17" si="10">SUM(C18:C20)</f>
        <v>0</v>
      </c>
      <c r="D17" s="414">
        <f t="shared" si="10"/>
        <v>0</v>
      </c>
      <c r="E17" s="414">
        <f t="shared" si="10"/>
        <v>0</v>
      </c>
      <c r="F17" s="414">
        <f t="shared" si="10"/>
        <v>0</v>
      </c>
      <c r="G17" s="414">
        <f t="shared" si="10"/>
        <v>0</v>
      </c>
      <c r="H17" s="414">
        <f t="shared" si="10"/>
        <v>0</v>
      </c>
    </row>
    <row r="18" spans="1:8">
      <c r="A18" s="266" t="s">
        <v>329</v>
      </c>
      <c r="B18" s="267" t="s">
        <v>330</v>
      </c>
      <c r="C18" s="338">
        <f>SUMIF(PE_CP,MID(A18,1,2)&amp;"*",PE_A)</f>
        <v>0</v>
      </c>
      <c r="D18" s="338">
        <f>SUMIF(PE_CP,MID(A18,1,2)&amp;"*",PE_M)</f>
        <v>0</v>
      </c>
      <c r="E18" s="338">
        <f>+C18+D18</f>
        <v>0</v>
      </c>
      <c r="F18" s="338">
        <f>SUMIF(PE_CP,MID(A18,1,2)&amp;"*",PE_D)</f>
        <v>0</v>
      </c>
      <c r="G18" s="338">
        <f>SUMIF(PE_CP,MID(A18,1,2)&amp;"*",PE_P)</f>
        <v>0</v>
      </c>
      <c r="H18" s="338">
        <f>+E18-F18</f>
        <v>0</v>
      </c>
    </row>
    <row r="19" spans="1:8">
      <c r="A19" s="266" t="s">
        <v>331</v>
      </c>
      <c r="B19" s="267" t="s">
        <v>332</v>
      </c>
      <c r="C19" s="338">
        <f>SUMIF(PE_CP,MID(A19,1,2)&amp;"*",PE_A)</f>
        <v>0</v>
      </c>
      <c r="D19" s="338">
        <f>SUMIF(PE_CP,MID(A19,1,2)&amp;"*",PE_M)</f>
        <v>0</v>
      </c>
      <c r="E19" s="338">
        <f>+C19+D19</f>
        <v>0</v>
      </c>
      <c r="F19" s="338">
        <f>SUMIF(PE_CP,MID(A19,1,2)&amp;"*",PE_D)</f>
        <v>0</v>
      </c>
      <c r="G19" s="338">
        <f>SUMIF(PE_CP,MID(A19,1,2)&amp;"*",PE_P)</f>
        <v>0</v>
      </c>
      <c r="H19" s="338">
        <f>+E19-F19</f>
        <v>0</v>
      </c>
    </row>
    <row r="20" spans="1:8">
      <c r="A20" s="266" t="s">
        <v>333</v>
      </c>
      <c r="B20" s="267" t="s">
        <v>334</v>
      </c>
      <c r="C20" s="338">
        <f>SUMIF(PE_CP,MID(A20,1,2)&amp;"*",PE_A)</f>
        <v>0</v>
      </c>
      <c r="D20" s="338">
        <f>SUMIF(PE_CP,MID(A20,1,2)&amp;"*",PE_M)</f>
        <v>0</v>
      </c>
      <c r="E20" s="338">
        <f>+C20+D20</f>
        <v>0</v>
      </c>
      <c r="F20" s="338">
        <f>SUMIF(PE_CP,MID(A20,1,2)&amp;"*",PE_D)</f>
        <v>0</v>
      </c>
      <c r="G20" s="338">
        <f>SUMIF(PE_CP,MID(A20,1,2)&amp;"*",PE_P)</f>
        <v>0</v>
      </c>
      <c r="H20" s="338">
        <f>+E20-F20</f>
        <v>0</v>
      </c>
    </row>
    <row r="21" spans="1:8">
      <c r="A21" s="181">
        <v>900006</v>
      </c>
      <c r="B21" s="265" t="s">
        <v>335</v>
      </c>
      <c r="C21" s="414">
        <f t="shared" ref="C21:H21" si="11">SUM(C22:C23)</f>
        <v>0</v>
      </c>
      <c r="D21" s="414">
        <f t="shared" si="11"/>
        <v>0</v>
      </c>
      <c r="E21" s="414">
        <f t="shared" si="11"/>
        <v>0</v>
      </c>
      <c r="F21" s="414">
        <f t="shared" si="11"/>
        <v>0</v>
      </c>
      <c r="G21" s="414">
        <f t="shared" si="11"/>
        <v>0</v>
      </c>
      <c r="H21" s="414">
        <f t="shared" si="11"/>
        <v>0</v>
      </c>
    </row>
    <row r="22" spans="1:8">
      <c r="A22" s="266" t="s">
        <v>336</v>
      </c>
      <c r="B22" s="267" t="s">
        <v>337</v>
      </c>
      <c r="C22" s="338">
        <f>SUMIF(PE_CP,MID(A22,1,2)&amp;"*",PE_A)</f>
        <v>0</v>
      </c>
      <c r="D22" s="338">
        <f>SUMIF(PE_CP,MID(A22,1,2)&amp;"*",PE_M)</f>
        <v>0</v>
      </c>
      <c r="E22" s="338">
        <f>+C22+D22</f>
        <v>0</v>
      </c>
      <c r="F22" s="338">
        <f>SUMIF(PE_CP,MID(A22,1,2)&amp;"*",PE_D)</f>
        <v>0</v>
      </c>
      <c r="G22" s="338">
        <f>SUMIF(PE_CP,MID(A22,1,2)&amp;"*",PE_P)</f>
        <v>0</v>
      </c>
      <c r="H22" s="338">
        <f>+E22-F22</f>
        <v>0</v>
      </c>
    </row>
    <row r="23" spans="1:8">
      <c r="A23" s="266" t="s">
        <v>338</v>
      </c>
      <c r="B23" s="267" t="s">
        <v>339</v>
      </c>
      <c r="C23" s="338">
        <f>SUMIF(PE_CP,MID(A23,1,2)&amp;"*",PE_A)</f>
        <v>0</v>
      </c>
      <c r="D23" s="338">
        <f>SUMIF(PE_CP,MID(A23,1,2)&amp;"*",PE_M)</f>
        <v>0</v>
      </c>
      <c r="E23" s="338">
        <f>+C23+D23</f>
        <v>0</v>
      </c>
      <c r="F23" s="338">
        <f>SUMIF(PE_CP,MID(A23,1,2)&amp;"*",PE_D)</f>
        <v>0</v>
      </c>
      <c r="G23" s="338">
        <f>SUMIF(PE_CP,MID(A23,1,2)&amp;"*",PE_P)</f>
        <v>0</v>
      </c>
      <c r="H23" s="338">
        <f>+E23-F23</f>
        <v>0</v>
      </c>
    </row>
    <row r="24" spans="1:8">
      <c r="A24" s="181">
        <v>900007</v>
      </c>
      <c r="B24" s="265" t="s">
        <v>340</v>
      </c>
      <c r="C24" s="414">
        <f t="shared" ref="C24:H24" si="12">SUM(C25:C28)</f>
        <v>0</v>
      </c>
      <c r="D24" s="414">
        <f t="shared" si="12"/>
        <v>0</v>
      </c>
      <c r="E24" s="414">
        <f t="shared" si="12"/>
        <v>0</v>
      </c>
      <c r="F24" s="414">
        <f t="shared" si="12"/>
        <v>0</v>
      </c>
      <c r="G24" s="414">
        <f t="shared" si="12"/>
        <v>0</v>
      </c>
      <c r="H24" s="414">
        <f t="shared" si="12"/>
        <v>0</v>
      </c>
    </row>
    <row r="25" spans="1:8">
      <c r="A25" s="266" t="s">
        <v>341</v>
      </c>
      <c r="B25" s="267" t="s">
        <v>121</v>
      </c>
      <c r="C25" s="338">
        <f>SUMIF(PE_CP,MID(A25,1,2)&amp;"*",PE_A)</f>
        <v>0</v>
      </c>
      <c r="D25" s="338">
        <f>SUMIF(PE_CP,MID(A25,1,2)&amp;"*",PE_M)</f>
        <v>0</v>
      </c>
      <c r="E25" s="338">
        <f>+C25+D25</f>
        <v>0</v>
      </c>
      <c r="F25" s="338">
        <f>SUMIF(PE_CP,MID(A25,1,2)&amp;"*",PE_D)</f>
        <v>0</v>
      </c>
      <c r="G25" s="338">
        <f>SUMIF(PE_CP,MID(A25,1,2)&amp;"*",PE_P)</f>
        <v>0</v>
      </c>
      <c r="H25" s="338">
        <f>+E25-F25</f>
        <v>0</v>
      </c>
    </row>
    <row r="26" spans="1:8">
      <c r="A26" s="266" t="s">
        <v>342</v>
      </c>
      <c r="B26" s="267" t="s">
        <v>343</v>
      </c>
      <c r="C26" s="338">
        <f>SUMIF(PE_CP,MID(A26,1,2)&amp;"*",PE_A)</f>
        <v>0</v>
      </c>
      <c r="D26" s="338">
        <f>SUMIF(PE_CP,MID(A26,1,2)&amp;"*",PE_M)</f>
        <v>0</v>
      </c>
      <c r="E26" s="338">
        <f>+C26+D26</f>
        <v>0</v>
      </c>
      <c r="F26" s="338">
        <f>SUMIF(PE_CP,MID(A26,1,2)&amp;"*",PE_D)</f>
        <v>0</v>
      </c>
      <c r="G26" s="338">
        <f>SUMIF(PE_CP,MID(A26,1,2)&amp;"*",PE_P)</f>
        <v>0</v>
      </c>
      <c r="H26" s="338">
        <f>+E26-F26</f>
        <v>0</v>
      </c>
    </row>
    <row r="27" spans="1:8">
      <c r="A27" s="266" t="s">
        <v>344</v>
      </c>
      <c r="B27" s="267" t="s">
        <v>345</v>
      </c>
      <c r="C27" s="338">
        <f>SUMIF(PE_CP,MID(A27,1,2)&amp;"*",PE_A)</f>
        <v>0</v>
      </c>
      <c r="D27" s="338">
        <f>SUMIF(PE_CP,MID(A27,1,2)&amp;"*",PE_M)</f>
        <v>0</v>
      </c>
      <c r="E27" s="338">
        <f>+C27+D27</f>
        <v>0</v>
      </c>
      <c r="F27" s="338">
        <f>SUMIF(PE_CP,MID(A27,1,2)&amp;"*",PE_D)</f>
        <v>0</v>
      </c>
      <c r="G27" s="338">
        <f>SUMIF(PE_CP,MID(A27,1,2)&amp;"*",PE_P)</f>
        <v>0</v>
      </c>
      <c r="H27" s="338">
        <f>+E27-F27</f>
        <v>0</v>
      </c>
    </row>
    <row r="28" spans="1:8">
      <c r="A28" s="266" t="s">
        <v>346</v>
      </c>
      <c r="B28" s="267" t="s">
        <v>347</v>
      </c>
      <c r="C28" s="338">
        <f>SUMIF(PE_CP,MID(A28,1,2)&amp;"*",PE_A)</f>
        <v>0</v>
      </c>
      <c r="D28" s="338">
        <f>SUMIF(PE_CP,MID(A28,1,2)&amp;"*",PE_M)</f>
        <v>0</v>
      </c>
      <c r="E28" s="338">
        <f>+C28+D28</f>
        <v>0</v>
      </c>
      <c r="F28" s="338">
        <f>SUMIF(PE_CP,MID(A28,1,2)&amp;"*",PE_D)</f>
        <v>0</v>
      </c>
      <c r="G28" s="338">
        <f>SUMIF(PE_CP,MID(A28,1,2)&amp;"*",PE_P)</f>
        <v>0</v>
      </c>
      <c r="H28" s="338">
        <f>+E28-F28</f>
        <v>0</v>
      </c>
    </row>
    <row r="29" spans="1:8">
      <c r="A29" s="181">
        <v>900008</v>
      </c>
      <c r="B29" s="265" t="s">
        <v>348</v>
      </c>
      <c r="C29" s="414">
        <f t="shared" ref="C29:H29" si="13">SUM(C30)</f>
        <v>0</v>
      </c>
      <c r="D29" s="414">
        <f t="shared" si="13"/>
        <v>0</v>
      </c>
      <c r="E29" s="414">
        <f t="shared" si="13"/>
        <v>0</v>
      </c>
      <c r="F29" s="414">
        <f t="shared" si="13"/>
        <v>0</v>
      </c>
      <c r="G29" s="414">
        <f t="shared" si="13"/>
        <v>0</v>
      </c>
      <c r="H29" s="414">
        <f t="shared" si="13"/>
        <v>0</v>
      </c>
    </row>
    <row r="30" spans="1:8">
      <c r="A30" s="266" t="s">
        <v>349</v>
      </c>
      <c r="B30" s="267" t="s">
        <v>350</v>
      </c>
      <c r="C30" s="338">
        <f>SUMIF(PE_CP,MID(A30,1,2)&amp;"*",PE_A)</f>
        <v>0</v>
      </c>
      <c r="D30" s="338">
        <f>SUMIF(PE_CP,MID(A30,1,2)&amp;"*",PE_M)</f>
        <v>0</v>
      </c>
      <c r="E30" s="338">
        <f>+C30+D30</f>
        <v>0</v>
      </c>
      <c r="F30" s="338">
        <f>SUMIF(PE_CP,MID(A30,1,2)&amp;"*",PE_D)</f>
        <v>0</v>
      </c>
      <c r="G30" s="338">
        <f>SUMIF(PE_CP,MID(A30,1,2)&amp;"*",PE_P)</f>
        <v>0</v>
      </c>
      <c r="H30" s="338">
        <f>+E30-F30</f>
        <v>0</v>
      </c>
    </row>
    <row r="31" spans="1:8">
      <c r="A31" s="266" t="s">
        <v>351</v>
      </c>
      <c r="B31" s="268" t="s">
        <v>352</v>
      </c>
      <c r="C31" s="338">
        <f>SUMIF(PE_CP,MID(A31,1,2)&amp;"*",PE_A)</f>
        <v>0</v>
      </c>
      <c r="D31" s="338">
        <f>SUMIF(PE_CP,MID(A31,1,2)&amp;"*",PE_M)</f>
        <v>0</v>
      </c>
      <c r="E31" s="338">
        <f>+C31+D31</f>
        <v>0</v>
      </c>
      <c r="F31" s="338">
        <f>SUMIF(PE_CP,MID(A31,1,2)&amp;"*",PE_D)</f>
        <v>0</v>
      </c>
      <c r="G31" s="338">
        <f>SUMIF(PE_CP,MID(A31,1,2)&amp;"*",PE_P)</f>
        <v>0</v>
      </c>
      <c r="H31" s="338">
        <f>+E31-F31</f>
        <v>0</v>
      </c>
    </row>
    <row r="32" spans="1:8">
      <c r="A32" s="266" t="s">
        <v>353</v>
      </c>
      <c r="B32" s="268" t="s">
        <v>354</v>
      </c>
      <c r="C32" s="338">
        <f>SUMIF(PE_CP,MID(A32,1,2)&amp;"*",PE_A)</f>
        <v>0</v>
      </c>
      <c r="D32" s="338">
        <f>SUMIF(PE_CP,MID(A32,1,2)&amp;"*",PE_M)</f>
        <v>0</v>
      </c>
      <c r="E32" s="338">
        <f>+C32+D32</f>
        <v>0</v>
      </c>
      <c r="F32" s="338">
        <f>SUMIF(PE_CP,MID(A32,1,2)&amp;"*",PE_D)</f>
        <v>0</v>
      </c>
      <c r="G32" s="338">
        <f>SUMIF(PE_CP,MID(A32,1,2)&amp;"*",PE_P)</f>
        <v>0</v>
      </c>
      <c r="H32" s="338">
        <f>+E32-F32</f>
        <v>0</v>
      </c>
    </row>
    <row r="33" spans="1:8">
      <c r="A33" s="269" t="s">
        <v>355</v>
      </c>
      <c r="B33" s="270" t="s">
        <v>356</v>
      </c>
      <c r="C33" s="339">
        <f>SUMIF(PE_CP,MID(A33,1,2)&amp;"*",PE_A)</f>
        <v>0</v>
      </c>
      <c r="D33" s="339">
        <f>SUMIF(PE_CP,MID(A33,1,2)&amp;"*",PE_M)</f>
        <v>0</v>
      </c>
      <c r="E33" s="339">
        <f>+C33+D33</f>
        <v>0</v>
      </c>
      <c r="F33" s="339">
        <f>SUMIF(PE_CP,MID(A33,1,2)&amp;"*",PE_D)</f>
        <v>0</v>
      </c>
      <c r="G33" s="339">
        <f>SUMIF(PE_CP,MID(A33,1,2)&amp;"*",PE_P)</f>
        <v>0</v>
      </c>
      <c r="H33" s="339">
        <f>+E33-F33</f>
        <v>0</v>
      </c>
    </row>
  </sheetData>
  <sheetProtection autoFilter="0"/>
  <protectedRanges>
    <protectedRange sqref="B29:H29 B5:H5 B8:H8 A18:B20 B17:H17 A22:B23 B21:H21 A25:B28 B24:H24 A34:H65526 A6:B7 A9:B16 A30:B33" name="Rango1"/>
    <protectedRange sqref="C3:H4" name="Rango1_2"/>
  </protectedRanges>
  <mergeCells count="1">
    <mergeCell ref="A1:H1"/>
  </mergeCells>
  <dataValidations count="8">
    <dataValidation allowBlank="1" showInputMessage="1" showErrorMessage="1" prompt="Clasificación Programática de acuerdo al emitido por el CONAC (DOF 8-ago-13)."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allowBlank="1" showInputMessage="1" showErrorMessage="1" prompt="Es el momento que refleja la cancelación total o parcial de las obligaciones de pago, que se concreta mediante el desembolso de efectivo o cualquier otro medio de pago."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dataValidation allowBlank="1" showInputMessage="1" showErrorMessage="1" prompt="Es el momento que refleja la asignación presupuestaria que resulta de incorporar; en su caso, las adecuaciones presupuestarias al presupuesto aprobado."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prompt="Refleja las asignaciones presupuestarias anuales comprometidas en el Presupuesto de Egreso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Se refiere al nombre que se asigna a cada uno de los desagregados que se señala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 allowBlank="1" showInputMessage="1" showErrorMessage="1" prompt="Refleja las modificaciones realizadas al Presupuesto Aprobado"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 allowBlank="1" showInputMessage="1" showErrorMessage="1" prompt="Modificado menos devengado"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dataValidations>
  <pageMargins left="0.70866141732283472" right="0.70866141732283472" top="0.74803149606299213" bottom="0.74803149606299213" header="0.31496062992125984" footer="0.31496062992125984"/>
  <pageSetup scale="74" orientation="landscape" r:id="rId1"/>
  <ignoredErrors>
    <ignoredError sqref="C3:H33"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showGridLines="0" topLeftCell="C1" zoomScaleNormal="100" workbookViewId="0">
      <selection activeCell="A4" sqref="A4:N9"/>
    </sheetView>
  </sheetViews>
  <sheetFormatPr baseColWidth="10" defaultColWidth="9.28515625" defaultRowHeight="11.25"/>
  <cols>
    <col min="1" max="1" width="15.42578125" style="4" customWidth="1"/>
    <col min="2" max="2" width="20.42578125" style="4" bestFit="1" customWidth="1"/>
    <col min="3" max="3" width="27.42578125" style="4" bestFit="1" customWidth="1"/>
    <col min="4" max="4" width="12" style="4" bestFit="1" customWidth="1"/>
    <col min="5" max="5" width="9.85546875" style="225" bestFit="1" customWidth="1"/>
    <col min="6" max="6" width="10.140625" style="225" bestFit="1" customWidth="1"/>
    <col min="7" max="7" width="10.28515625" style="225" customWidth="1"/>
    <col min="8" max="10" width="10.28515625" style="4" customWidth="1"/>
    <col min="11" max="14" width="9.28515625" style="285" customWidth="1"/>
    <col min="15" max="256" width="9.28515625" style="4"/>
    <col min="257" max="257" width="15.42578125" style="4" customWidth="1"/>
    <col min="258" max="258" width="20.42578125" style="4" bestFit="1" customWidth="1"/>
    <col min="259" max="259" width="27.42578125" style="4" bestFit="1" customWidth="1"/>
    <col min="260" max="260" width="12" style="4" bestFit="1" customWidth="1"/>
    <col min="261" max="261" width="9.28515625" style="4"/>
    <col min="262" max="262" width="10.140625" style="4" bestFit="1" customWidth="1"/>
    <col min="263" max="266" width="10.28515625" style="4" customWidth="1"/>
    <col min="267" max="270" width="9.28515625" style="4" customWidth="1"/>
    <col min="271" max="512" width="9.28515625" style="4"/>
    <col min="513" max="513" width="15.42578125" style="4" customWidth="1"/>
    <col min="514" max="514" width="20.42578125" style="4" bestFit="1" customWidth="1"/>
    <col min="515" max="515" width="27.42578125" style="4" bestFit="1" customWidth="1"/>
    <col min="516" max="516" width="12" style="4" bestFit="1" customWidth="1"/>
    <col min="517" max="517" width="9.28515625" style="4"/>
    <col min="518" max="518" width="10.140625" style="4" bestFit="1" customWidth="1"/>
    <col min="519" max="522" width="10.28515625" style="4" customWidth="1"/>
    <col min="523" max="526" width="9.28515625" style="4" customWidth="1"/>
    <col min="527" max="768" width="9.28515625" style="4"/>
    <col min="769" max="769" width="15.42578125" style="4" customWidth="1"/>
    <col min="770" max="770" width="20.42578125" style="4" bestFit="1" customWidth="1"/>
    <col min="771" max="771" width="27.42578125" style="4" bestFit="1" customWidth="1"/>
    <col min="772" max="772" width="12" style="4" bestFit="1" customWidth="1"/>
    <col min="773" max="773" width="9.28515625" style="4"/>
    <col min="774" max="774" width="10.140625" style="4" bestFit="1" customWidth="1"/>
    <col min="775" max="778" width="10.28515625" style="4" customWidth="1"/>
    <col min="779" max="782" width="9.28515625" style="4" customWidth="1"/>
    <col min="783" max="1024" width="9.28515625" style="4"/>
    <col min="1025" max="1025" width="15.42578125" style="4" customWidth="1"/>
    <col min="1026" max="1026" width="20.42578125" style="4" bestFit="1" customWidth="1"/>
    <col min="1027" max="1027" width="27.42578125" style="4" bestFit="1" customWidth="1"/>
    <col min="1028" max="1028" width="12" style="4" bestFit="1" customWidth="1"/>
    <col min="1029" max="1029" width="9.28515625" style="4"/>
    <col min="1030" max="1030" width="10.140625" style="4" bestFit="1" customWidth="1"/>
    <col min="1031" max="1034" width="10.28515625" style="4" customWidth="1"/>
    <col min="1035" max="1038" width="9.28515625" style="4" customWidth="1"/>
    <col min="1039" max="1280" width="9.28515625" style="4"/>
    <col min="1281" max="1281" width="15.42578125" style="4" customWidth="1"/>
    <col min="1282" max="1282" width="20.42578125" style="4" bestFit="1" customWidth="1"/>
    <col min="1283" max="1283" width="27.42578125" style="4" bestFit="1" customWidth="1"/>
    <col min="1284" max="1284" width="12" style="4" bestFit="1" customWidth="1"/>
    <col min="1285" max="1285" width="9.28515625" style="4"/>
    <col min="1286" max="1286" width="10.140625" style="4" bestFit="1" customWidth="1"/>
    <col min="1287" max="1290" width="10.28515625" style="4" customWidth="1"/>
    <col min="1291" max="1294" width="9.28515625" style="4" customWidth="1"/>
    <col min="1295" max="1536" width="9.28515625" style="4"/>
    <col min="1537" max="1537" width="15.42578125" style="4" customWidth="1"/>
    <col min="1538" max="1538" width="20.42578125" style="4" bestFit="1" customWidth="1"/>
    <col min="1539" max="1539" width="27.42578125" style="4" bestFit="1" customWidth="1"/>
    <col min="1540" max="1540" width="12" style="4" bestFit="1" customWidth="1"/>
    <col min="1541" max="1541" width="9.28515625" style="4"/>
    <col min="1542" max="1542" width="10.140625" style="4" bestFit="1" customWidth="1"/>
    <col min="1543" max="1546" width="10.28515625" style="4" customWidth="1"/>
    <col min="1547" max="1550" width="9.28515625" style="4" customWidth="1"/>
    <col min="1551" max="1792" width="9.28515625" style="4"/>
    <col min="1793" max="1793" width="15.42578125" style="4" customWidth="1"/>
    <col min="1794" max="1794" width="20.42578125" style="4" bestFit="1" customWidth="1"/>
    <col min="1795" max="1795" width="27.42578125" style="4" bestFit="1" customWidth="1"/>
    <col min="1796" max="1796" width="12" style="4" bestFit="1" customWidth="1"/>
    <col min="1797" max="1797" width="9.28515625" style="4"/>
    <col min="1798" max="1798" width="10.140625" style="4" bestFit="1" customWidth="1"/>
    <col min="1799" max="1802" width="10.28515625" style="4" customWidth="1"/>
    <col min="1803" max="1806" width="9.28515625" style="4" customWidth="1"/>
    <col min="1807" max="2048" width="9.28515625" style="4"/>
    <col min="2049" max="2049" width="15.42578125" style="4" customWidth="1"/>
    <col min="2050" max="2050" width="20.42578125" style="4" bestFit="1" customWidth="1"/>
    <col min="2051" max="2051" width="27.42578125" style="4" bestFit="1" customWidth="1"/>
    <col min="2052" max="2052" width="12" style="4" bestFit="1" customWidth="1"/>
    <col min="2053" max="2053" width="9.28515625" style="4"/>
    <col min="2054" max="2054" width="10.140625" style="4" bestFit="1" customWidth="1"/>
    <col min="2055" max="2058" width="10.28515625" style="4" customWidth="1"/>
    <col min="2059" max="2062" width="9.28515625" style="4" customWidth="1"/>
    <col min="2063" max="2304" width="9.28515625" style="4"/>
    <col min="2305" max="2305" width="15.42578125" style="4" customWidth="1"/>
    <col min="2306" max="2306" width="20.42578125" style="4" bestFit="1" customWidth="1"/>
    <col min="2307" max="2307" width="27.42578125" style="4" bestFit="1" customWidth="1"/>
    <col min="2308" max="2308" width="12" style="4" bestFit="1" customWidth="1"/>
    <col min="2309" max="2309" width="9.28515625" style="4"/>
    <col min="2310" max="2310" width="10.140625" style="4" bestFit="1" customWidth="1"/>
    <col min="2311" max="2314" width="10.28515625" style="4" customWidth="1"/>
    <col min="2315" max="2318" width="9.28515625" style="4" customWidth="1"/>
    <col min="2319" max="2560" width="9.28515625" style="4"/>
    <col min="2561" max="2561" width="15.42578125" style="4" customWidth="1"/>
    <col min="2562" max="2562" width="20.42578125" style="4" bestFit="1" customWidth="1"/>
    <col min="2563" max="2563" width="27.42578125" style="4" bestFit="1" customWidth="1"/>
    <col min="2564" max="2564" width="12" style="4" bestFit="1" customWidth="1"/>
    <col min="2565" max="2565" width="9.28515625" style="4"/>
    <col min="2566" max="2566" width="10.140625" style="4" bestFit="1" customWidth="1"/>
    <col min="2567" max="2570" width="10.28515625" style="4" customWidth="1"/>
    <col min="2571" max="2574" width="9.28515625" style="4" customWidth="1"/>
    <col min="2575" max="2816" width="9.28515625" style="4"/>
    <col min="2817" max="2817" width="15.42578125" style="4" customWidth="1"/>
    <col min="2818" max="2818" width="20.42578125" style="4" bestFit="1" customWidth="1"/>
    <col min="2819" max="2819" width="27.42578125" style="4" bestFit="1" customWidth="1"/>
    <col min="2820" max="2820" width="12" style="4" bestFit="1" customWidth="1"/>
    <col min="2821" max="2821" width="9.28515625" style="4"/>
    <col min="2822" max="2822" width="10.140625" style="4" bestFit="1" customWidth="1"/>
    <col min="2823" max="2826" width="10.28515625" style="4" customWidth="1"/>
    <col min="2827" max="2830" width="9.28515625" style="4" customWidth="1"/>
    <col min="2831" max="3072" width="9.28515625" style="4"/>
    <col min="3073" max="3073" width="15.42578125" style="4" customWidth="1"/>
    <col min="3074" max="3074" width="20.42578125" style="4" bestFit="1" customWidth="1"/>
    <col min="3075" max="3075" width="27.42578125" style="4" bestFit="1" customWidth="1"/>
    <col min="3076" max="3076" width="12" style="4" bestFit="1" customWidth="1"/>
    <col min="3077" max="3077" width="9.28515625" style="4"/>
    <col min="3078" max="3078" width="10.140625" style="4" bestFit="1" customWidth="1"/>
    <col min="3079" max="3082" width="10.28515625" style="4" customWidth="1"/>
    <col min="3083" max="3086" width="9.28515625" style="4" customWidth="1"/>
    <col min="3087" max="3328" width="9.28515625" style="4"/>
    <col min="3329" max="3329" width="15.42578125" style="4" customWidth="1"/>
    <col min="3330" max="3330" width="20.42578125" style="4" bestFit="1" customWidth="1"/>
    <col min="3331" max="3331" width="27.42578125" style="4" bestFit="1" customWidth="1"/>
    <col min="3332" max="3332" width="12" style="4" bestFit="1" customWidth="1"/>
    <col min="3333" max="3333" width="9.28515625" style="4"/>
    <col min="3334" max="3334" width="10.140625" style="4" bestFit="1" customWidth="1"/>
    <col min="3335" max="3338" width="10.28515625" style="4" customWidth="1"/>
    <col min="3339" max="3342" width="9.28515625" style="4" customWidth="1"/>
    <col min="3343" max="3584" width="9.28515625" style="4"/>
    <col min="3585" max="3585" width="15.42578125" style="4" customWidth="1"/>
    <col min="3586" max="3586" width="20.42578125" style="4" bestFit="1" customWidth="1"/>
    <col min="3587" max="3587" width="27.42578125" style="4" bestFit="1" customWidth="1"/>
    <col min="3588" max="3588" width="12" style="4" bestFit="1" customWidth="1"/>
    <col min="3589" max="3589" width="9.28515625" style="4"/>
    <col min="3590" max="3590" width="10.140625" style="4" bestFit="1" customWidth="1"/>
    <col min="3591" max="3594" width="10.28515625" style="4" customWidth="1"/>
    <col min="3595" max="3598" width="9.28515625" style="4" customWidth="1"/>
    <col min="3599" max="3840" width="9.28515625" style="4"/>
    <col min="3841" max="3841" width="15.42578125" style="4" customWidth="1"/>
    <col min="3842" max="3842" width="20.42578125" style="4" bestFit="1" customWidth="1"/>
    <col min="3843" max="3843" width="27.42578125" style="4" bestFit="1" customWidth="1"/>
    <col min="3844" max="3844" width="12" style="4" bestFit="1" customWidth="1"/>
    <col min="3845" max="3845" width="9.28515625" style="4"/>
    <col min="3846" max="3846" width="10.140625" style="4" bestFit="1" customWidth="1"/>
    <col min="3847" max="3850" width="10.28515625" style="4" customWidth="1"/>
    <col min="3851" max="3854" width="9.28515625" style="4" customWidth="1"/>
    <col min="3855" max="4096" width="9.28515625" style="4"/>
    <col min="4097" max="4097" width="15.42578125" style="4" customWidth="1"/>
    <col min="4098" max="4098" width="20.42578125" style="4" bestFit="1" customWidth="1"/>
    <col min="4099" max="4099" width="27.42578125" style="4" bestFit="1" customWidth="1"/>
    <col min="4100" max="4100" width="12" style="4" bestFit="1" customWidth="1"/>
    <col min="4101" max="4101" width="9.28515625" style="4"/>
    <col min="4102" max="4102" width="10.140625" style="4" bestFit="1" customWidth="1"/>
    <col min="4103" max="4106" width="10.28515625" style="4" customWidth="1"/>
    <col min="4107" max="4110" width="9.28515625" style="4" customWidth="1"/>
    <col min="4111" max="4352" width="9.28515625" style="4"/>
    <col min="4353" max="4353" width="15.42578125" style="4" customWidth="1"/>
    <col min="4354" max="4354" width="20.42578125" style="4" bestFit="1" customWidth="1"/>
    <col min="4355" max="4355" width="27.42578125" style="4" bestFit="1" customWidth="1"/>
    <col min="4356" max="4356" width="12" style="4" bestFit="1" customWidth="1"/>
    <col min="4357" max="4357" width="9.28515625" style="4"/>
    <col min="4358" max="4358" width="10.140625" style="4" bestFit="1" customWidth="1"/>
    <col min="4359" max="4362" width="10.28515625" style="4" customWidth="1"/>
    <col min="4363" max="4366" width="9.28515625" style="4" customWidth="1"/>
    <col min="4367" max="4608" width="9.28515625" style="4"/>
    <col min="4609" max="4609" width="15.42578125" style="4" customWidth="1"/>
    <col min="4610" max="4610" width="20.42578125" style="4" bestFit="1" customWidth="1"/>
    <col min="4611" max="4611" width="27.42578125" style="4" bestFit="1" customWidth="1"/>
    <col min="4612" max="4612" width="12" style="4" bestFit="1" customWidth="1"/>
    <col min="4613" max="4613" width="9.28515625" style="4"/>
    <col min="4614" max="4614" width="10.140625" style="4" bestFit="1" customWidth="1"/>
    <col min="4615" max="4618" width="10.28515625" style="4" customWidth="1"/>
    <col min="4619" max="4622" width="9.28515625" style="4" customWidth="1"/>
    <col min="4623" max="4864" width="9.28515625" style="4"/>
    <col min="4865" max="4865" width="15.42578125" style="4" customWidth="1"/>
    <col min="4866" max="4866" width="20.42578125" style="4" bestFit="1" customWidth="1"/>
    <col min="4867" max="4867" width="27.42578125" style="4" bestFit="1" customWidth="1"/>
    <col min="4868" max="4868" width="12" style="4" bestFit="1" customWidth="1"/>
    <col min="4869" max="4869" width="9.28515625" style="4"/>
    <col min="4870" max="4870" width="10.140625" style="4" bestFit="1" customWidth="1"/>
    <col min="4871" max="4874" width="10.28515625" style="4" customWidth="1"/>
    <col min="4875" max="4878" width="9.28515625" style="4" customWidth="1"/>
    <col min="4879" max="5120" width="9.28515625" style="4"/>
    <col min="5121" max="5121" width="15.42578125" style="4" customWidth="1"/>
    <col min="5122" max="5122" width="20.42578125" style="4" bestFit="1" customWidth="1"/>
    <col min="5123" max="5123" width="27.42578125" style="4" bestFit="1" customWidth="1"/>
    <col min="5124" max="5124" width="12" style="4" bestFit="1" customWidth="1"/>
    <col min="5125" max="5125" width="9.28515625" style="4"/>
    <col min="5126" max="5126" width="10.140625" style="4" bestFit="1" customWidth="1"/>
    <col min="5127" max="5130" width="10.28515625" style="4" customWidth="1"/>
    <col min="5131" max="5134" width="9.28515625" style="4" customWidth="1"/>
    <col min="5135" max="5376" width="9.28515625" style="4"/>
    <col min="5377" max="5377" width="15.42578125" style="4" customWidth="1"/>
    <col min="5378" max="5378" width="20.42578125" style="4" bestFit="1" customWidth="1"/>
    <col min="5379" max="5379" width="27.42578125" style="4" bestFit="1" customWidth="1"/>
    <col min="5380" max="5380" width="12" style="4" bestFit="1" customWidth="1"/>
    <col min="5381" max="5381" width="9.28515625" style="4"/>
    <col min="5382" max="5382" width="10.140625" style="4" bestFit="1" customWidth="1"/>
    <col min="5383" max="5386" width="10.28515625" style="4" customWidth="1"/>
    <col min="5387" max="5390" width="9.28515625" style="4" customWidth="1"/>
    <col min="5391" max="5632" width="9.28515625" style="4"/>
    <col min="5633" max="5633" width="15.42578125" style="4" customWidth="1"/>
    <col min="5634" max="5634" width="20.42578125" style="4" bestFit="1" customWidth="1"/>
    <col min="5635" max="5635" width="27.42578125" style="4" bestFit="1" customWidth="1"/>
    <col min="5636" max="5636" width="12" style="4" bestFit="1" customWidth="1"/>
    <col min="5637" max="5637" width="9.28515625" style="4"/>
    <col min="5638" max="5638" width="10.140625" style="4" bestFit="1" customWidth="1"/>
    <col min="5639" max="5642" width="10.28515625" style="4" customWidth="1"/>
    <col min="5643" max="5646" width="9.28515625" style="4" customWidth="1"/>
    <col min="5647" max="5888" width="9.28515625" style="4"/>
    <col min="5889" max="5889" width="15.42578125" style="4" customWidth="1"/>
    <col min="5890" max="5890" width="20.42578125" style="4" bestFit="1" customWidth="1"/>
    <col min="5891" max="5891" width="27.42578125" style="4" bestFit="1" customWidth="1"/>
    <col min="5892" max="5892" width="12" style="4" bestFit="1" customWidth="1"/>
    <col min="5893" max="5893" width="9.28515625" style="4"/>
    <col min="5894" max="5894" width="10.140625" style="4" bestFit="1" customWidth="1"/>
    <col min="5895" max="5898" width="10.28515625" style="4" customWidth="1"/>
    <col min="5899" max="5902" width="9.28515625" style="4" customWidth="1"/>
    <col min="5903" max="6144" width="9.28515625" style="4"/>
    <col min="6145" max="6145" width="15.42578125" style="4" customWidth="1"/>
    <col min="6146" max="6146" width="20.42578125" style="4" bestFit="1" customWidth="1"/>
    <col min="6147" max="6147" width="27.42578125" style="4" bestFit="1" customWidth="1"/>
    <col min="6148" max="6148" width="12" style="4" bestFit="1" customWidth="1"/>
    <col min="6149" max="6149" width="9.28515625" style="4"/>
    <col min="6150" max="6150" width="10.140625" style="4" bestFit="1" customWidth="1"/>
    <col min="6151" max="6154" width="10.28515625" style="4" customWidth="1"/>
    <col min="6155" max="6158" width="9.28515625" style="4" customWidth="1"/>
    <col min="6159" max="6400" width="9.28515625" style="4"/>
    <col min="6401" max="6401" width="15.42578125" style="4" customWidth="1"/>
    <col min="6402" max="6402" width="20.42578125" style="4" bestFit="1" customWidth="1"/>
    <col min="6403" max="6403" width="27.42578125" style="4" bestFit="1" customWidth="1"/>
    <col min="6404" max="6404" width="12" style="4" bestFit="1" customWidth="1"/>
    <col min="6405" max="6405" width="9.28515625" style="4"/>
    <col min="6406" max="6406" width="10.140625" style="4" bestFit="1" customWidth="1"/>
    <col min="6407" max="6410" width="10.28515625" style="4" customWidth="1"/>
    <col min="6411" max="6414" width="9.28515625" style="4" customWidth="1"/>
    <col min="6415" max="6656" width="9.28515625" style="4"/>
    <col min="6657" max="6657" width="15.42578125" style="4" customWidth="1"/>
    <col min="6658" max="6658" width="20.42578125" style="4" bestFit="1" customWidth="1"/>
    <col min="6659" max="6659" width="27.42578125" style="4" bestFit="1" customWidth="1"/>
    <col min="6660" max="6660" width="12" style="4" bestFit="1" customWidth="1"/>
    <col min="6661" max="6661" width="9.28515625" style="4"/>
    <col min="6662" max="6662" width="10.140625" style="4" bestFit="1" customWidth="1"/>
    <col min="6663" max="6666" width="10.28515625" style="4" customWidth="1"/>
    <col min="6667" max="6670" width="9.28515625" style="4" customWidth="1"/>
    <col min="6671" max="6912" width="9.28515625" style="4"/>
    <col min="6913" max="6913" width="15.42578125" style="4" customWidth="1"/>
    <col min="6914" max="6914" width="20.42578125" style="4" bestFit="1" customWidth="1"/>
    <col min="6915" max="6915" width="27.42578125" style="4" bestFit="1" customWidth="1"/>
    <col min="6916" max="6916" width="12" style="4" bestFit="1" customWidth="1"/>
    <col min="6917" max="6917" width="9.28515625" style="4"/>
    <col min="6918" max="6918" width="10.140625" style="4" bestFit="1" customWidth="1"/>
    <col min="6919" max="6922" width="10.28515625" style="4" customWidth="1"/>
    <col min="6923" max="6926" width="9.28515625" style="4" customWidth="1"/>
    <col min="6927" max="7168" width="9.28515625" style="4"/>
    <col min="7169" max="7169" width="15.42578125" style="4" customWidth="1"/>
    <col min="7170" max="7170" width="20.42578125" style="4" bestFit="1" customWidth="1"/>
    <col min="7171" max="7171" width="27.42578125" style="4" bestFit="1" customWidth="1"/>
    <col min="7172" max="7172" width="12" style="4" bestFit="1" customWidth="1"/>
    <col min="7173" max="7173" width="9.28515625" style="4"/>
    <col min="7174" max="7174" width="10.140625" style="4" bestFit="1" customWidth="1"/>
    <col min="7175" max="7178" width="10.28515625" style="4" customWidth="1"/>
    <col min="7179" max="7182" width="9.28515625" style="4" customWidth="1"/>
    <col min="7183" max="7424" width="9.28515625" style="4"/>
    <col min="7425" max="7425" width="15.42578125" style="4" customWidth="1"/>
    <col min="7426" max="7426" width="20.42578125" style="4" bestFit="1" customWidth="1"/>
    <col min="7427" max="7427" width="27.42578125" style="4" bestFit="1" customWidth="1"/>
    <col min="7428" max="7428" width="12" style="4" bestFit="1" customWidth="1"/>
    <col min="7429" max="7429" width="9.28515625" style="4"/>
    <col min="7430" max="7430" width="10.140625" style="4" bestFit="1" customWidth="1"/>
    <col min="7431" max="7434" width="10.28515625" style="4" customWidth="1"/>
    <col min="7435" max="7438" width="9.28515625" style="4" customWidth="1"/>
    <col min="7439" max="7680" width="9.28515625" style="4"/>
    <col min="7681" max="7681" width="15.42578125" style="4" customWidth="1"/>
    <col min="7682" max="7682" width="20.42578125" style="4" bestFit="1" customWidth="1"/>
    <col min="7683" max="7683" width="27.42578125" style="4" bestFit="1" customWidth="1"/>
    <col min="7684" max="7684" width="12" style="4" bestFit="1" customWidth="1"/>
    <col min="7685" max="7685" width="9.28515625" style="4"/>
    <col min="7686" max="7686" width="10.140625" style="4" bestFit="1" customWidth="1"/>
    <col min="7687" max="7690" width="10.28515625" style="4" customWidth="1"/>
    <col min="7691" max="7694" width="9.28515625" style="4" customWidth="1"/>
    <col min="7695" max="7936" width="9.28515625" style="4"/>
    <col min="7937" max="7937" width="15.42578125" style="4" customWidth="1"/>
    <col min="7938" max="7938" width="20.42578125" style="4" bestFit="1" customWidth="1"/>
    <col min="7939" max="7939" width="27.42578125" style="4" bestFit="1" customWidth="1"/>
    <col min="7940" max="7940" width="12" style="4" bestFit="1" customWidth="1"/>
    <col min="7941" max="7941" width="9.28515625" style="4"/>
    <col min="7942" max="7942" width="10.140625" style="4" bestFit="1" customWidth="1"/>
    <col min="7943" max="7946" width="10.28515625" style="4" customWidth="1"/>
    <col min="7947" max="7950" width="9.28515625" style="4" customWidth="1"/>
    <col min="7951" max="8192" width="9.28515625" style="4"/>
    <col min="8193" max="8193" width="15.42578125" style="4" customWidth="1"/>
    <col min="8194" max="8194" width="20.42578125" style="4" bestFit="1" customWidth="1"/>
    <col min="8195" max="8195" width="27.42578125" style="4" bestFit="1" customWidth="1"/>
    <col min="8196" max="8196" width="12" style="4" bestFit="1" customWidth="1"/>
    <col min="8197" max="8197" width="9.28515625" style="4"/>
    <col min="8198" max="8198" width="10.140625" style="4" bestFit="1" customWidth="1"/>
    <col min="8199" max="8202" width="10.28515625" style="4" customWidth="1"/>
    <col min="8203" max="8206" width="9.28515625" style="4" customWidth="1"/>
    <col min="8207" max="8448" width="9.28515625" style="4"/>
    <col min="8449" max="8449" width="15.42578125" style="4" customWidth="1"/>
    <col min="8450" max="8450" width="20.42578125" style="4" bestFit="1" customWidth="1"/>
    <col min="8451" max="8451" width="27.42578125" style="4" bestFit="1" customWidth="1"/>
    <col min="8452" max="8452" width="12" style="4" bestFit="1" customWidth="1"/>
    <col min="8453" max="8453" width="9.28515625" style="4"/>
    <col min="8454" max="8454" width="10.140625" style="4" bestFit="1" customWidth="1"/>
    <col min="8455" max="8458" width="10.28515625" style="4" customWidth="1"/>
    <col min="8459" max="8462" width="9.28515625" style="4" customWidth="1"/>
    <col min="8463" max="8704" width="9.28515625" style="4"/>
    <col min="8705" max="8705" width="15.42578125" style="4" customWidth="1"/>
    <col min="8706" max="8706" width="20.42578125" style="4" bestFit="1" customWidth="1"/>
    <col min="8707" max="8707" width="27.42578125" style="4" bestFit="1" customWidth="1"/>
    <col min="8708" max="8708" width="12" style="4" bestFit="1" customWidth="1"/>
    <col min="8709" max="8709" width="9.28515625" style="4"/>
    <col min="8710" max="8710" width="10.140625" style="4" bestFit="1" customWidth="1"/>
    <col min="8711" max="8714" width="10.28515625" style="4" customWidth="1"/>
    <col min="8715" max="8718" width="9.28515625" style="4" customWidth="1"/>
    <col min="8719" max="8960" width="9.28515625" style="4"/>
    <col min="8961" max="8961" width="15.42578125" style="4" customWidth="1"/>
    <col min="8962" max="8962" width="20.42578125" style="4" bestFit="1" customWidth="1"/>
    <col min="8963" max="8963" width="27.42578125" style="4" bestFit="1" customWidth="1"/>
    <col min="8964" max="8964" width="12" style="4" bestFit="1" customWidth="1"/>
    <col min="8965" max="8965" width="9.28515625" style="4"/>
    <col min="8966" max="8966" width="10.140625" style="4" bestFit="1" customWidth="1"/>
    <col min="8967" max="8970" width="10.28515625" style="4" customWidth="1"/>
    <col min="8971" max="8974" width="9.28515625" style="4" customWidth="1"/>
    <col min="8975" max="9216" width="9.28515625" style="4"/>
    <col min="9217" max="9217" width="15.42578125" style="4" customWidth="1"/>
    <col min="9218" max="9218" width="20.42578125" style="4" bestFit="1" customWidth="1"/>
    <col min="9219" max="9219" width="27.42578125" style="4" bestFit="1" customWidth="1"/>
    <col min="9220" max="9220" width="12" style="4" bestFit="1" customWidth="1"/>
    <col min="9221" max="9221" width="9.28515625" style="4"/>
    <col min="9222" max="9222" width="10.140625" style="4" bestFit="1" customWidth="1"/>
    <col min="9223" max="9226" width="10.28515625" style="4" customWidth="1"/>
    <col min="9227" max="9230" width="9.28515625" style="4" customWidth="1"/>
    <col min="9231" max="9472" width="9.28515625" style="4"/>
    <col min="9473" max="9473" width="15.42578125" style="4" customWidth="1"/>
    <col min="9474" max="9474" width="20.42578125" style="4" bestFit="1" customWidth="1"/>
    <col min="9475" max="9475" width="27.42578125" style="4" bestFit="1" customWidth="1"/>
    <col min="9476" max="9476" width="12" style="4" bestFit="1" customWidth="1"/>
    <col min="9477" max="9477" width="9.28515625" style="4"/>
    <col min="9478" max="9478" width="10.140625" style="4" bestFit="1" customWidth="1"/>
    <col min="9479" max="9482" width="10.28515625" style="4" customWidth="1"/>
    <col min="9483" max="9486" width="9.28515625" style="4" customWidth="1"/>
    <col min="9487" max="9728" width="9.28515625" style="4"/>
    <col min="9729" max="9729" width="15.42578125" style="4" customWidth="1"/>
    <col min="9730" max="9730" width="20.42578125" style="4" bestFit="1" customWidth="1"/>
    <col min="9731" max="9731" width="27.42578125" style="4" bestFit="1" customWidth="1"/>
    <col min="9732" max="9732" width="12" style="4" bestFit="1" customWidth="1"/>
    <col min="9733" max="9733" width="9.28515625" style="4"/>
    <col min="9734" max="9734" width="10.140625" style="4" bestFit="1" customWidth="1"/>
    <col min="9735" max="9738" width="10.28515625" style="4" customWidth="1"/>
    <col min="9739" max="9742" width="9.28515625" style="4" customWidth="1"/>
    <col min="9743" max="9984" width="9.28515625" style="4"/>
    <col min="9985" max="9985" width="15.42578125" style="4" customWidth="1"/>
    <col min="9986" max="9986" width="20.42578125" style="4" bestFit="1" customWidth="1"/>
    <col min="9987" max="9987" width="27.42578125" style="4" bestFit="1" customWidth="1"/>
    <col min="9988" max="9988" width="12" style="4" bestFit="1" customWidth="1"/>
    <col min="9989" max="9989" width="9.28515625" style="4"/>
    <col min="9990" max="9990" width="10.140625" style="4" bestFit="1" customWidth="1"/>
    <col min="9991" max="9994" width="10.28515625" style="4" customWidth="1"/>
    <col min="9995" max="9998" width="9.28515625" style="4" customWidth="1"/>
    <col min="9999" max="10240" width="9.28515625" style="4"/>
    <col min="10241" max="10241" width="15.42578125" style="4" customWidth="1"/>
    <col min="10242" max="10242" width="20.42578125" style="4" bestFit="1" customWidth="1"/>
    <col min="10243" max="10243" width="27.42578125" style="4" bestFit="1" customWidth="1"/>
    <col min="10244" max="10244" width="12" style="4" bestFit="1" customWidth="1"/>
    <col min="10245" max="10245" width="9.28515625" style="4"/>
    <col min="10246" max="10246" width="10.140625" style="4" bestFit="1" customWidth="1"/>
    <col min="10247" max="10250" width="10.28515625" style="4" customWidth="1"/>
    <col min="10251" max="10254" width="9.28515625" style="4" customWidth="1"/>
    <col min="10255" max="10496" width="9.28515625" style="4"/>
    <col min="10497" max="10497" width="15.42578125" style="4" customWidth="1"/>
    <col min="10498" max="10498" width="20.42578125" style="4" bestFit="1" customWidth="1"/>
    <col min="10499" max="10499" width="27.42578125" style="4" bestFit="1" customWidth="1"/>
    <col min="10500" max="10500" width="12" style="4" bestFit="1" customWidth="1"/>
    <col min="10501" max="10501" width="9.28515625" style="4"/>
    <col min="10502" max="10502" width="10.140625" style="4" bestFit="1" customWidth="1"/>
    <col min="10503" max="10506" width="10.28515625" style="4" customWidth="1"/>
    <col min="10507" max="10510" width="9.28515625" style="4" customWidth="1"/>
    <col min="10511" max="10752" width="9.28515625" style="4"/>
    <col min="10753" max="10753" width="15.42578125" style="4" customWidth="1"/>
    <col min="10754" max="10754" width="20.42578125" style="4" bestFit="1" customWidth="1"/>
    <col min="10755" max="10755" width="27.42578125" style="4" bestFit="1" customWidth="1"/>
    <col min="10756" max="10756" width="12" style="4" bestFit="1" customWidth="1"/>
    <col min="10757" max="10757" width="9.28515625" style="4"/>
    <col min="10758" max="10758" width="10.140625" style="4" bestFit="1" customWidth="1"/>
    <col min="10759" max="10762" width="10.28515625" style="4" customWidth="1"/>
    <col min="10763" max="10766" width="9.28515625" style="4" customWidth="1"/>
    <col min="10767" max="11008" width="9.28515625" style="4"/>
    <col min="11009" max="11009" width="15.42578125" style="4" customWidth="1"/>
    <col min="11010" max="11010" width="20.42578125" style="4" bestFit="1" customWidth="1"/>
    <col min="11011" max="11011" width="27.42578125" style="4" bestFit="1" customWidth="1"/>
    <col min="11012" max="11012" width="12" style="4" bestFit="1" customWidth="1"/>
    <col min="11013" max="11013" width="9.28515625" style="4"/>
    <col min="11014" max="11014" width="10.140625" style="4" bestFit="1" customWidth="1"/>
    <col min="11015" max="11018" width="10.28515625" style="4" customWidth="1"/>
    <col min="11019" max="11022" width="9.28515625" style="4" customWidth="1"/>
    <col min="11023" max="11264" width="9.28515625" style="4"/>
    <col min="11265" max="11265" width="15.42578125" style="4" customWidth="1"/>
    <col min="11266" max="11266" width="20.42578125" style="4" bestFit="1" customWidth="1"/>
    <col min="11267" max="11267" width="27.42578125" style="4" bestFit="1" customWidth="1"/>
    <col min="11268" max="11268" width="12" style="4" bestFit="1" customWidth="1"/>
    <col min="11269" max="11269" width="9.28515625" style="4"/>
    <col min="11270" max="11270" width="10.140625" style="4" bestFit="1" customWidth="1"/>
    <col min="11271" max="11274" width="10.28515625" style="4" customWidth="1"/>
    <col min="11275" max="11278" width="9.28515625" style="4" customWidth="1"/>
    <col min="11279" max="11520" width="9.28515625" style="4"/>
    <col min="11521" max="11521" width="15.42578125" style="4" customWidth="1"/>
    <col min="11522" max="11522" width="20.42578125" style="4" bestFit="1" customWidth="1"/>
    <col min="11523" max="11523" width="27.42578125" style="4" bestFit="1" customWidth="1"/>
    <col min="11524" max="11524" width="12" style="4" bestFit="1" customWidth="1"/>
    <col min="11525" max="11525" width="9.28515625" style="4"/>
    <col min="11526" max="11526" width="10.140625" style="4" bestFit="1" customWidth="1"/>
    <col min="11527" max="11530" width="10.28515625" style="4" customWidth="1"/>
    <col min="11531" max="11534" width="9.28515625" style="4" customWidth="1"/>
    <col min="11535" max="11776" width="9.28515625" style="4"/>
    <col min="11777" max="11777" width="15.42578125" style="4" customWidth="1"/>
    <col min="11778" max="11778" width="20.42578125" style="4" bestFit="1" customWidth="1"/>
    <col min="11779" max="11779" width="27.42578125" style="4" bestFit="1" customWidth="1"/>
    <col min="11780" max="11780" width="12" style="4" bestFit="1" customWidth="1"/>
    <col min="11781" max="11781" width="9.28515625" style="4"/>
    <col min="11782" max="11782" width="10.140625" style="4" bestFit="1" customWidth="1"/>
    <col min="11783" max="11786" width="10.28515625" style="4" customWidth="1"/>
    <col min="11787" max="11790" width="9.28515625" style="4" customWidth="1"/>
    <col min="11791" max="12032" width="9.28515625" style="4"/>
    <col min="12033" max="12033" width="15.42578125" style="4" customWidth="1"/>
    <col min="12034" max="12034" width="20.42578125" style="4" bestFit="1" customWidth="1"/>
    <col min="12035" max="12035" width="27.42578125" style="4" bestFit="1" customWidth="1"/>
    <col min="12036" max="12036" width="12" style="4" bestFit="1" customWidth="1"/>
    <col min="12037" max="12037" width="9.28515625" style="4"/>
    <col min="12038" max="12038" width="10.140625" style="4" bestFit="1" customWidth="1"/>
    <col min="12039" max="12042" width="10.28515625" style="4" customWidth="1"/>
    <col min="12043" max="12046" width="9.28515625" style="4" customWidth="1"/>
    <col min="12047" max="12288" width="9.28515625" style="4"/>
    <col min="12289" max="12289" width="15.42578125" style="4" customWidth="1"/>
    <col min="12290" max="12290" width="20.42578125" style="4" bestFit="1" customWidth="1"/>
    <col min="12291" max="12291" width="27.42578125" style="4" bestFit="1" customWidth="1"/>
    <col min="12292" max="12292" width="12" style="4" bestFit="1" customWidth="1"/>
    <col min="12293" max="12293" width="9.28515625" style="4"/>
    <col min="12294" max="12294" width="10.140625" style="4" bestFit="1" customWidth="1"/>
    <col min="12295" max="12298" width="10.28515625" style="4" customWidth="1"/>
    <col min="12299" max="12302" width="9.28515625" style="4" customWidth="1"/>
    <col min="12303" max="12544" width="9.28515625" style="4"/>
    <col min="12545" max="12545" width="15.42578125" style="4" customWidth="1"/>
    <col min="12546" max="12546" width="20.42578125" style="4" bestFit="1" customWidth="1"/>
    <col min="12547" max="12547" width="27.42578125" style="4" bestFit="1" customWidth="1"/>
    <col min="12548" max="12548" width="12" style="4" bestFit="1" customWidth="1"/>
    <col min="12549" max="12549" width="9.28515625" style="4"/>
    <col min="12550" max="12550" width="10.140625" style="4" bestFit="1" customWidth="1"/>
    <col min="12551" max="12554" width="10.28515625" style="4" customWidth="1"/>
    <col min="12555" max="12558" width="9.28515625" style="4" customWidth="1"/>
    <col min="12559" max="12800" width="9.28515625" style="4"/>
    <col min="12801" max="12801" width="15.42578125" style="4" customWidth="1"/>
    <col min="12802" max="12802" width="20.42578125" style="4" bestFit="1" customWidth="1"/>
    <col min="12803" max="12803" width="27.42578125" style="4" bestFit="1" customWidth="1"/>
    <col min="12804" max="12804" width="12" style="4" bestFit="1" customWidth="1"/>
    <col min="12805" max="12805" width="9.28515625" style="4"/>
    <col min="12806" max="12806" width="10.140625" style="4" bestFit="1" customWidth="1"/>
    <col min="12807" max="12810" width="10.28515625" style="4" customWidth="1"/>
    <col min="12811" max="12814" width="9.28515625" style="4" customWidth="1"/>
    <col min="12815" max="13056" width="9.28515625" style="4"/>
    <col min="13057" max="13057" width="15.42578125" style="4" customWidth="1"/>
    <col min="13058" max="13058" width="20.42578125" style="4" bestFit="1" customWidth="1"/>
    <col min="13059" max="13059" width="27.42578125" style="4" bestFit="1" customWidth="1"/>
    <col min="13060" max="13060" width="12" style="4" bestFit="1" customWidth="1"/>
    <col min="13061" max="13061" width="9.28515625" style="4"/>
    <col min="13062" max="13062" width="10.140625" style="4" bestFit="1" customWidth="1"/>
    <col min="13063" max="13066" width="10.28515625" style="4" customWidth="1"/>
    <col min="13067" max="13070" width="9.28515625" style="4" customWidth="1"/>
    <col min="13071" max="13312" width="9.28515625" style="4"/>
    <col min="13313" max="13313" width="15.42578125" style="4" customWidth="1"/>
    <col min="13314" max="13314" width="20.42578125" style="4" bestFit="1" customWidth="1"/>
    <col min="13315" max="13315" width="27.42578125" style="4" bestFit="1" customWidth="1"/>
    <col min="13316" max="13316" width="12" style="4" bestFit="1" customWidth="1"/>
    <col min="13317" max="13317" width="9.28515625" style="4"/>
    <col min="13318" max="13318" width="10.140625" style="4" bestFit="1" customWidth="1"/>
    <col min="13319" max="13322" width="10.28515625" style="4" customWidth="1"/>
    <col min="13323" max="13326" width="9.28515625" style="4" customWidth="1"/>
    <col min="13327" max="13568" width="9.28515625" style="4"/>
    <col min="13569" max="13569" width="15.42578125" style="4" customWidth="1"/>
    <col min="13570" max="13570" width="20.42578125" style="4" bestFit="1" customWidth="1"/>
    <col min="13571" max="13571" width="27.42578125" style="4" bestFit="1" customWidth="1"/>
    <col min="13572" max="13572" width="12" style="4" bestFit="1" customWidth="1"/>
    <col min="13573" max="13573" width="9.28515625" style="4"/>
    <col min="13574" max="13574" width="10.140625" style="4" bestFit="1" customWidth="1"/>
    <col min="13575" max="13578" width="10.28515625" style="4" customWidth="1"/>
    <col min="13579" max="13582" width="9.28515625" style="4" customWidth="1"/>
    <col min="13583" max="13824" width="9.28515625" style="4"/>
    <col min="13825" max="13825" width="15.42578125" style="4" customWidth="1"/>
    <col min="13826" max="13826" width="20.42578125" style="4" bestFit="1" customWidth="1"/>
    <col min="13827" max="13827" width="27.42578125" style="4" bestFit="1" customWidth="1"/>
    <col min="13828" max="13828" width="12" style="4" bestFit="1" customWidth="1"/>
    <col min="13829" max="13829" width="9.28515625" style="4"/>
    <col min="13830" max="13830" width="10.140625" style="4" bestFit="1" customWidth="1"/>
    <col min="13831" max="13834" width="10.28515625" style="4" customWidth="1"/>
    <col min="13835" max="13838" width="9.28515625" style="4" customWidth="1"/>
    <col min="13839" max="14080" width="9.28515625" style="4"/>
    <col min="14081" max="14081" width="15.42578125" style="4" customWidth="1"/>
    <col min="14082" max="14082" width="20.42578125" style="4" bestFit="1" customWidth="1"/>
    <col min="14083" max="14083" width="27.42578125" style="4" bestFit="1" customWidth="1"/>
    <col min="14084" max="14084" width="12" style="4" bestFit="1" customWidth="1"/>
    <col min="14085" max="14085" width="9.28515625" style="4"/>
    <col min="14086" max="14086" width="10.140625" style="4" bestFit="1" customWidth="1"/>
    <col min="14087" max="14090" width="10.28515625" style="4" customWidth="1"/>
    <col min="14091" max="14094" width="9.28515625" style="4" customWidth="1"/>
    <col min="14095" max="14336" width="9.28515625" style="4"/>
    <col min="14337" max="14337" width="15.42578125" style="4" customWidth="1"/>
    <col min="14338" max="14338" width="20.42578125" style="4" bestFit="1" customWidth="1"/>
    <col min="14339" max="14339" width="27.42578125" style="4" bestFit="1" customWidth="1"/>
    <col min="14340" max="14340" width="12" style="4" bestFit="1" customWidth="1"/>
    <col min="14341" max="14341" width="9.28515625" style="4"/>
    <col min="14342" max="14342" width="10.140625" style="4" bestFit="1" customWidth="1"/>
    <col min="14343" max="14346" width="10.28515625" style="4" customWidth="1"/>
    <col min="14347" max="14350" width="9.28515625" style="4" customWidth="1"/>
    <col min="14351" max="14592" width="9.28515625" style="4"/>
    <col min="14593" max="14593" width="15.42578125" style="4" customWidth="1"/>
    <col min="14594" max="14594" width="20.42578125" style="4" bestFit="1" customWidth="1"/>
    <col min="14595" max="14595" width="27.42578125" style="4" bestFit="1" customWidth="1"/>
    <col min="14596" max="14596" width="12" style="4" bestFit="1" customWidth="1"/>
    <col min="14597" max="14597" width="9.28515625" style="4"/>
    <col min="14598" max="14598" width="10.140625" style="4" bestFit="1" customWidth="1"/>
    <col min="14599" max="14602" width="10.28515625" style="4" customWidth="1"/>
    <col min="14603" max="14606" width="9.28515625" style="4" customWidth="1"/>
    <col min="14607" max="14848" width="9.28515625" style="4"/>
    <col min="14849" max="14849" width="15.42578125" style="4" customWidth="1"/>
    <col min="14850" max="14850" width="20.42578125" style="4" bestFit="1" customWidth="1"/>
    <col min="14851" max="14851" width="27.42578125" style="4" bestFit="1" customWidth="1"/>
    <col min="14852" max="14852" width="12" style="4" bestFit="1" customWidth="1"/>
    <col min="14853" max="14853" width="9.28515625" style="4"/>
    <col min="14854" max="14854" width="10.140625" style="4" bestFit="1" customWidth="1"/>
    <col min="14855" max="14858" width="10.28515625" style="4" customWidth="1"/>
    <col min="14859" max="14862" width="9.28515625" style="4" customWidth="1"/>
    <col min="14863" max="15104" width="9.28515625" style="4"/>
    <col min="15105" max="15105" width="15.42578125" style="4" customWidth="1"/>
    <col min="15106" max="15106" width="20.42578125" style="4" bestFit="1" customWidth="1"/>
    <col min="15107" max="15107" width="27.42578125" style="4" bestFit="1" customWidth="1"/>
    <col min="15108" max="15108" width="12" style="4" bestFit="1" customWidth="1"/>
    <col min="15109" max="15109" width="9.28515625" style="4"/>
    <col min="15110" max="15110" width="10.140625" style="4" bestFit="1" customWidth="1"/>
    <col min="15111" max="15114" width="10.28515625" style="4" customWidth="1"/>
    <col min="15115" max="15118" width="9.28515625" style="4" customWidth="1"/>
    <col min="15119" max="15360" width="9.28515625" style="4"/>
    <col min="15361" max="15361" width="15.42578125" style="4" customWidth="1"/>
    <col min="15362" max="15362" width="20.42578125" style="4" bestFit="1" customWidth="1"/>
    <col min="15363" max="15363" width="27.42578125" style="4" bestFit="1" customWidth="1"/>
    <col min="15364" max="15364" width="12" style="4" bestFit="1" customWidth="1"/>
    <col min="15365" max="15365" width="9.28515625" style="4"/>
    <col min="15366" max="15366" width="10.140625" style="4" bestFit="1" customWidth="1"/>
    <col min="15367" max="15370" width="10.28515625" style="4" customWidth="1"/>
    <col min="15371" max="15374" width="9.28515625" style="4" customWidth="1"/>
    <col min="15375" max="15616" width="9.28515625" style="4"/>
    <col min="15617" max="15617" width="15.42578125" style="4" customWidth="1"/>
    <col min="15618" max="15618" width="20.42578125" style="4" bestFit="1" customWidth="1"/>
    <col min="15619" max="15619" width="27.42578125" style="4" bestFit="1" customWidth="1"/>
    <col min="15620" max="15620" width="12" style="4" bestFit="1" customWidth="1"/>
    <col min="15621" max="15621" width="9.28515625" style="4"/>
    <col min="15622" max="15622" width="10.140625" style="4" bestFit="1" customWidth="1"/>
    <col min="15623" max="15626" width="10.28515625" style="4" customWidth="1"/>
    <col min="15627" max="15630" width="9.28515625" style="4" customWidth="1"/>
    <col min="15631" max="15872" width="9.28515625" style="4"/>
    <col min="15873" max="15873" width="15.42578125" style="4" customWidth="1"/>
    <col min="15874" max="15874" width="20.42578125" style="4" bestFit="1" customWidth="1"/>
    <col min="15875" max="15875" width="27.42578125" style="4" bestFit="1" customWidth="1"/>
    <col min="15876" max="15876" width="12" style="4" bestFit="1" customWidth="1"/>
    <col min="15877" max="15877" width="9.28515625" style="4"/>
    <col min="15878" max="15878" width="10.140625" style="4" bestFit="1" customWidth="1"/>
    <col min="15879" max="15882" width="10.28515625" style="4" customWidth="1"/>
    <col min="15883" max="15886" width="9.28515625" style="4" customWidth="1"/>
    <col min="15887" max="16128" width="9.28515625" style="4"/>
    <col min="16129" max="16129" width="15.42578125" style="4" customWidth="1"/>
    <col min="16130" max="16130" width="20.42578125" style="4" bestFit="1" customWidth="1"/>
    <col min="16131" max="16131" width="27.42578125" style="4" bestFit="1" customWidth="1"/>
    <col min="16132" max="16132" width="12" style="4" bestFit="1" customWidth="1"/>
    <col min="16133" max="16133" width="9.28515625" style="4"/>
    <col min="16134" max="16134" width="10.140625" style="4" bestFit="1" customWidth="1"/>
    <col min="16135" max="16138" width="10.28515625" style="4" customWidth="1"/>
    <col min="16139" max="16142" width="9.28515625" style="4" customWidth="1"/>
    <col min="16143" max="16384" width="9.28515625" style="4"/>
  </cols>
  <sheetData>
    <row r="1" spans="1:14" s="226" customFormat="1" ht="35.1" customHeight="1">
      <c r="A1" s="1060" t="str">
        <f>+Títulos!$B$2&amp;"
PROGRAMAS Y PROYECTOS DE INVERSION
DEL 01 DE ENERO AL "&amp;Títulos!$B$3</f>
        <v>TRIBUNAL DE JUSTICIA ADMINISTRATIVA
PROGRAMAS Y PROYECTOS DE INVERSION
DEL 01 DE ENERO AL 31 DE DICIEMBRE DE 2017</v>
      </c>
      <c r="B1" s="1060"/>
      <c r="C1" s="1060"/>
      <c r="D1" s="1060"/>
      <c r="E1" s="1060"/>
      <c r="F1" s="1060"/>
      <c r="G1" s="1060"/>
      <c r="H1" s="1060"/>
      <c r="I1" s="1060"/>
      <c r="J1" s="1060"/>
      <c r="K1" s="1060"/>
      <c r="L1" s="1060"/>
      <c r="M1" s="1060"/>
      <c r="N1" s="1060"/>
    </row>
    <row r="2" spans="1:14" s="226" customFormat="1" ht="12.75" customHeight="1">
      <c r="A2" s="273"/>
      <c r="B2" s="273"/>
      <c r="C2" s="273"/>
      <c r="D2" s="274"/>
      <c r="E2" s="275"/>
      <c r="F2" s="276" t="s">
        <v>694</v>
      </c>
      <c r="G2" s="277"/>
      <c r="H2" s="275"/>
      <c r="I2" s="276" t="s">
        <v>695</v>
      </c>
      <c r="J2" s="277"/>
      <c r="K2" s="278" t="s">
        <v>696</v>
      </c>
      <c r="L2" s="277"/>
      <c r="M2" s="279" t="s">
        <v>697</v>
      </c>
      <c r="N2" s="280"/>
    </row>
    <row r="3" spans="1:14" s="226" customFormat="1" ht="21.95" customHeight="1">
      <c r="A3" s="281" t="s">
        <v>698</v>
      </c>
      <c r="B3" s="281" t="s">
        <v>699</v>
      </c>
      <c r="C3" s="281" t="s">
        <v>700</v>
      </c>
      <c r="D3" s="281" t="s">
        <v>701</v>
      </c>
      <c r="E3" s="282" t="s">
        <v>357</v>
      </c>
      <c r="F3" s="282" t="s">
        <v>358</v>
      </c>
      <c r="G3" s="282" t="s">
        <v>359</v>
      </c>
      <c r="H3" s="282" t="s">
        <v>702</v>
      </c>
      <c r="I3" s="282" t="s">
        <v>358</v>
      </c>
      <c r="J3" s="282" t="s">
        <v>703</v>
      </c>
      <c r="K3" s="283" t="s">
        <v>704</v>
      </c>
      <c r="L3" s="283" t="s">
        <v>705</v>
      </c>
      <c r="M3" s="284" t="s">
        <v>706</v>
      </c>
      <c r="N3" s="284" t="s">
        <v>707</v>
      </c>
    </row>
    <row r="4" spans="1:14">
      <c r="A4" s="415" t="s">
        <v>2186</v>
      </c>
      <c r="B4" s="415"/>
      <c r="C4" s="415"/>
      <c r="D4" s="415">
        <f>+'0322_CA_No_Central'!A8</f>
        <v>21115</v>
      </c>
      <c r="E4" s="416">
        <f>+'0322_CTG'!C5</f>
        <v>1042027.5599999999</v>
      </c>
      <c r="F4" s="416">
        <f>+'0322_CTG'!E5</f>
        <v>2717505.24</v>
      </c>
      <c r="G4" s="416">
        <f>+'0322_CTG'!F5</f>
        <v>2717505.24</v>
      </c>
      <c r="H4" s="415"/>
      <c r="I4" s="415"/>
      <c r="J4" s="415"/>
      <c r="K4" s="910">
        <f>IF(E4&gt;0,+G4/E4,0)</f>
        <v>2.6079015031041983</v>
      </c>
      <c r="L4" s="910">
        <f>IF(F4&gt;0,+G4/F4,0)</f>
        <v>1</v>
      </c>
      <c r="M4" s="417"/>
      <c r="N4" s="417"/>
    </row>
    <row r="5" spans="1:14">
      <c r="A5" s="395"/>
      <c r="B5" s="395"/>
      <c r="C5" s="395"/>
      <c r="D5" s="404" t="s">
        <v>2270</v>
      </c>
      <c r="E5" s="396">
        <f>SUMIF(PE_Clave,"*"&amp;+D5&amp;"/2"&amp;"*",PE_A)</f>
        <v>494617.81999999995</v>
      </c>
      <c r="F5" s="396">
        <f>SUMIF(PE_Clave,"*"&amp;+D5&amp;"/2"&amp;"*",PE_A)+SUMIF(PE_Clave,"*"&amp;+D5&amp;"/2"&amp;"*",PE_M)</f>
        <v>2278447.39</v>
      </c>
      <c r="G5" s="396">
        <f>SUMIF(PE_Clave,"*"&amp;+D5&amp;"/2"&amp;"*",PE_D)</f>
        <v>2278447.3899999997</v>
      </c>
      <c r="H5" s="395"/>
      <c r="I5" s="395"/>
      <c r="J5" s="395"/>
      <c r="K5" s="911">
        <f t="shared" ref="K5:K9" si="0">IF(E5&gt;0,+G5/E5,0)</f>
        <v>4.6064805954625729</v>
      </c>
      <c r="L5" s="911">
        <f t="shared" ref="L5:L9" si="1">IF(F5&gt;0,+G5/F5,0)</f>
        <v>0.99999999999999978</v>
      </c>
      <c r="M5" s="418"/>
      <c r="N5" s="418"/>
    </row>
    <row r="6" spans="1:14">
      <c r="A6" s="395"/>
      <c r="B6" s="395"/>
      <c r="C6" s="395"/>
      <c r="D6" s="404" t="s">
        <v>2189</v>
      </c>
      <c r="E6" s="396">
        <f>SUMIF(PE_Clave,"*"&amp;+D6&amp;"/2"&amp;"*",PE_A)</f>
        <v>501925.99</v>
      </c>
      <c r="F6" s="396">
        <f>SUMIF(PE_Clave,"*"&amp;+D6&amp;"/2"&amp;"*",PE_A)+SUMIF(PE_Clave,"*"&amp;+D6&amp;"/2"&amp;"*",PE_M)</f>
        <v>430009.85000000009</v>
      </c>
      <c r="G6" s="396">
        <f>SUMIF(PE_Clave,"*"&amp;+D6&amp;"/2"&amp;"*",PE_D)</f>
        <v>430009.85000000003</v>
      </c>
      <c r="H6" s="395"/>
      <c r="I6" s="395"/>
      <c r="J6" s="395"/>
      <c r="K6" s="911">
        <f t="shared" si="0"/>
        <v>0.85671963310766208</v>
      </c>
      <c r="L6" s="911">
        <f t="shared" si="1"/>
        <v>0.99999999999999989</v>
      </c>
      <c r="M6" s="418"/>
      <c r="N6" s="418"/>
    </row>
    <row r="7" spans="1:14">
      <c r="A7" s="395"/>
      <c r="B7" s="395"/>
      <c r="C7" s="395"/>
      <c r="D7" s="404" t="s">
        <v>2276</v>
      </c>
      <c r="E7" s="396">
        <f>SUMIF(PE_Clave,"*"&amp;+D7&amp;"/2"&amp;"*",PE_A)</f>
        <v>0</v>
      </c>
      <c r="F7" s="396">
        <f>SUMIF(PE_Clave,"*"&amp;+D7&amp;"/2"&amp;"*",PE_A)+SUMIF(PE_Clave,"*"&amp;+D7&amp;"/2"&amp;"*",PE_M)</f>
        <v>0</v>
      </c>
      <c r="G7" s="396">
        <f>SUMIF(PE_Clave,"*"&amp;+D7&amp;"/2"&amp;"*",PE_D)</f>
        <v>0</v>
      </c>
      <c r="H7" s="395"/>
      <c r="I7" s="395"/>
      <c r="J7" s="395"/>
      <c r="K7" s="911">
        <f t="shared" si="0"/>
        <v>0</v>
      </c>
      <c r="L7" s="911">
        <f t="shared" si="1"/>
        <v>0</v>
      </c>
      <c r="M7" s="418"/>
      <c r="N7" s="418"/>
    </row>
    <row r="8" spans="1:14">
      <c r="A8" s="395"/>
      <c r="B8" s="395"/>
      <c r="C8" s="395"/>
      <c r="D8" s="404" t="s">
        <v>2266</v>
      </c>
      <c r="E8" s="396">
        <f>SUMIF(PE_Clave,"*"&amp;+D8&amp;"/2"&amp;"*",PE_A)</f>
        <v>29261.25</v>
      </c>
      <c r="F8" s="396">
        <f>SUMIF(PE_Clave,"*"&amp;+D8&amp;"/2"&amp;"*",PE_A)+SUMIF(PE_Clave,"*"&amp;+D8&amp;"/2"&amp;"*",PE_M)</f>
        <v>9048</v>
      </c>
      <c r="G8" s="396">
        <f>SUMIF(PE_Clave,"*"&amp;+D8&amp;"/2"&amp;"*",PE_D)</f>
        <v>9048</v>
      </c>
      <c r="H8" s="395"/>
      <c r="I8" s="395"/>
      <c r="J8" s="395"/>
      <c r="K8" s="911">
        <f t="shared" si="0"/>
        <v>0.30921440471613482</v>
      </c>
      <c r="L8" s="911">
        <f t="shared" si="1"/>
        <v>1</v>
      </c>
      <c r="M8" s="418"/>
      <c r="N8" s="418"/>
    </row>
    <row r="9" spans="1:14">
      <c r="A9" s="395"/>
      <c r="B9" s="395"/>
      <c r="C9" s="395"/>
      <c r="D9" s="404" t="s">
        <v>2268</v>
      </c>
      <c r="E9" s="396">
        <f>SUMIF(PE_Clave,"*"&amp;+D9&amp;"/2"&amp;"*",PE_A)</f>
        <v>16222.5</v>
      </c>
      <c r="F9" s="396">
        <f>SUMIF(PE_Clave,"*"&amp;+D9&amp;"/2"&amp;"*",PE_A)+SUMIF(PE_Clave,"*"&amp;+D9&amp;"/2"&amp;"*",PE_M)</f>
        <v>0</v>
      </c>
      <c r="G9" s="396">
        <f>SUMIF(PE_Clave,"*"&amp;+D9&amp;"/2"&amp;"*",PE_D)</f>
        <v>0</v>
      </c>
      <c r="H9" s="395"/>
      <c r="I9" s="395"/>
      <c r="J9" s="395"/>
      <c r="K9" s="911">
        <f t="shared" si="0"/>
        <v>0</v>
      </c>
      <c r="L9" s="911">
        <f t="shared" si="1"/>
        <v>0</v>
      </c>
      <c r="M9" s="418"/>
      <c r="N9" s="418"/>
    </row>
    <row r="10" spans="1:14">
      <c r="A10" s="395"/>
      <c r="B10" s="395"/>
      <c r="C10" s="395"/>
      <c r="D10" s="404"/>
      <c r="E10" s="396"/>
      <c r="F10" s="396"/>
      <c r="G10" s="396"/>
      <c r="H10" s="395"/>
      <c r="I10" s="395"/>
      <c r="J10" s="395"/>
      <c r="K10" s="418"/>
      <c r="L10" s="418"/>
      <c r="M10" s="418"/>
      <c r="N10" s="418"/>
    </row>
    <row r="11" spans="1:14">
      <c r="A11" s="395"/>
      <c r="B11" s="395"/>
      <c r="C11" s="395"/>
      <c r="D11" s="395"/>
      <c r="E11" s="396"/>
      <c r="F11" s="396"/>
      <c r="G11" s="396"/>
      <c r="H11" s="395"/>
      <c r="I11" s="395"/>
      <c r="J11" s="395"/>
      <c r="K11" s="418"/>
      <c r="L11" s="418"/>
      <c r="M11" s="418"/>
      <c r="N11" s="418"/>
    </row>
    <row r="12" spans="1:14">
      <c r="A12" s="395"/>
      <c r="B12" s="395"/>
      <c r="C12" s="395"/>
      <c r="D12" s="395"/>
      <c r="E12" s="396"/>
      <c r="F12" s="396"/>
      <c r="G12" s="396"/>
      <c r="H12" s="395"/>
      <c r="I12" s="395"/>
      <c r="J12" s="395"/>
      <c r="K12" s="418"/>
      <c r="L12" s="418"/>
      <c r="M12" s="418"/>
      <c r="N12" s="418"/>
    </row>
    <row r="13" spans="1:14">
      <c r="A13" s="395"/>
      <c r="B13" s="395"/>
      <c r="C13" s="395"/>
      <c r="D13" s="395"/>
      <c r="E13" s="396"/>
      <c r="F13" s="396"/>
      <c r="G13" s="396"/>
      <c r="H13" s="395"/>
      <c r="I13" s="395"/>
      <c r="J13" s="395"/>
      <c r="K13" s="418"/>
      <c r="L13" s="418"/>
      <c r="M13" s="418"/>
      <c r="N13" s="418"/>
    </row>
    <row r="14" spans="1:14">
      <c r="A14" s="395"/>
      <c r="B14" s="395"/>
      <c r="C14" s="395"/>
      <c r="D14" s="395"/>
      <c r="E14" s="396"/>
      <c r="F14" s="396"/>
      <c r="G14" s="396"/>
      <c r="H14" s="395"/>
      <c r="I14" s="395"/>
      <c r="J14" s="395"/>
      <c r="K14" s="418"/>
      <c r="L14" s="418"/>
      <c r="M14" s="418"/>
      <c r="N14" s="418"/>
    </row>
    <row r="15" spans="1:14">
      <c r="A15" s="395"/>
      <c r="B15" s="395"/>
      <c r="C15" s="395"/>
      <c r="D15" s="395"/>
      <c r="E15" s="396"/>
      <c r="F15" s="396"/>
      <c r="G15" s="396"/>
      <c r="H15" s="395"/>
      <c r="I15" s="395"/>
      <c r="J15" s="395"/>
      <c r="K15" s="418"/>
      <c r="L15" s="418"/>
      <c r="M15" s="418"/>
      <c r="N15" s="418"/>
    </row>
    <row r="16" spans="1:14">
      <c r="A16" s="395"/>
      <c r="B16" s="395"/>
      <c r="C16" s="395"/>
      <c r="D16" s="395"/>
      <c r="E16" s="396"/>
      <c r="F16" s="396"/>
      <c r="G16" s="396"/>
      <c r="H16" s="395"/>
      <c r="I16" s="395"/>
      <c r="J16" s="395"/>
      <c r="K16" s="418"/>
      <c r="L16" s="418"/>
      <c r="M16" s="418"/>
      <c r="N16" s="418"/>
    </row>
    <row r="17" spans="1:14">
      <c r="A17" s="397"/>
      <c r="B17" s="397"/>
      <c r="C17" s="397"/>
      <c r="D17" s="397"/>
      <c r="E17" s="398"/>
      <c r="F17" s="398"/>
      <c r="G17" s="398"/>
      <c r="H17" s="397"/>
      <c r="I17" s="397"/>
      <c r="J17" s="397"/>
      <c r="K17" s="419"/>
      <c r="L17" s="419"/>
      <c r="M17" s="419"/>
      <c r="N17" s="419"/>
    </row>
  </sheetData>
  <sheetProtection insertRows="0" deleteRows="0" autoFilter="0"/>
  <mergeCells count="1">
    <mergeCell ref="A1:N1"/>
  </mergeCells>
  <dataValidations count="6">
    <dataValidation allowBlank="1" showInputMessage="1" showErrorMessage="1" prompt="Valor absoluto y relativo que registre el cumplimiento de logros u objetivos con respecto a los originalmente programados." sqref="M2 JI2 TE2 ADA2 AMW2 AWS2 BGO2 BQK2 CAG2 CKC2 CTY2 DDU2 DNQ2 DXM2 EHI2 ERE2 FBA2 FKW2 FUS2 GEO2 GOK2 GYG2 HIC2 HRY2 IBU2 ILQ2 IVM2 JFI2 JPE2 JZA2 KIW2 KSS2 LCO2 LMK2 LWG2 MGC2 MPY2 MZU2 NJQ2 NTM2 ODI2 ONE2 OXA2 PGW2 PQS2 QAO2 QKK2 QUG2 REC2 RNY2 RXU2 SHQ2 SRM2 TBI2 TLE2 TVA2 UEW2 UOS2 UYO2 VIK2 VSG2 WCC2 WLY2 WVU2 M65538 JI65538 TE65538 ADA65538 AMW65538 AWS65538 BGO65538 BQK65538 CAG65538 CKC65538 CTY65538 DDU65538 DNQ65538 DXM65538 EHI65538 ERE65538 FBA65538 FKW65538 FUS65538 GEO65538 GOK65538 GYG65538 HIC65538 HRY65538 IBU65538 ILQ65538 IVM65538 JFI65538 JPE65538 JZA65538 KIW65538 KSS65538 LCO65538 LMK65538 LWG65538 MGC65538 MPY65538 MZU65538 NJQ65538 NTM65538 ODI65538 ONE65538 OXA65538 PGW65538 PQS65538 QAO65538 QKK65538 QUG65538 REC65538 RNY65538 RXU65538 SHQ65538 SRM65538 TBI65538 TLE65538 TVA65538 UEW65538 UOS65538 UYO65538 VIK65538 VSG65538 WCC65538 WLY65538 WVU65538 M131074 JI131074 TE131074 ADA131074 AMW131074 AWS131074 BGO131074 BQK131074 CAG131074 CKC131074 CTY131074 DDU131074 DNQ131074 DXM131074 EHI131074 ERE131074 FBA131074 FKW131074 FUS131074 GEO131074 GOK131074 GYG131074 HIC131074 HRY131074 IBU131074 ILQ131074 IVM131074 JFI131074 JPE131074 JZA131074 KIW131074 KSS131074 LCO131074 LMK131074 LWG131074 MGC131074 MPY131074 MZU131074 NJQ131074 NTM131074 ODI131074 ONE131074 OXA131074 PGW131074 PQS131074 QAO131074 QKK131074 QUG131074 REC131074 RNY131074 RXU131074 SHQ131074 SRM131074 TBI131074 TLE131074 TVA131074 UEW131074 UOS131074 UYO131074 VIK131074 VSG131074 WCC131074 WLY131074 WVU131074 M196610 JI196610 TE196610 ADA196610 AMW196610 AWS196610 BGO196610 BQK196610 CAG196610 CKC196610 CTY196610 DDU196610 DNQ196610 DXM196610 EHI196610 ERE196610 FBA196610 FKW196610 FUS196610 GEO196610 GOK196610 GYG196610 HIC196610 HRY196610 IBU196610 ILQ196610 IVM196610 JFI196610 JPE196610 JZA196610 KIW196610 KSS196610 LCO196610 LMK196610 LWG196610 MGC196610 MPY196610 MZU196610 NJQ196610 NTM196610 ODI196610 ONE196610 OXA196610 PGW196610 PQS196610 QAO196610 QKK196610 QUG196610 REC196610 RNY196610 RXU196610 SHQ196610 SRM196610 TBI196610 TLE196610 TVA196610 UEW196610 UOS196610 UYO196610 VIK196610 VSG196610 WCC196610 WLY196610 WVU196610 M262146 JI262146 TE262146 ADA262146 AMW262146 AWS262146 BGO262146 BQK262146 CAG262146 CKC262146 CTY262146 DDU262146 DNQ262146 DXM262146 EHI262146 ERE262146 FBA262146 FKW262146 FUS262146 GEO262146 GOK262146 GYG262146 HIC262146 HRY262146 IBU262146 ILQ262146 IVM262146 JFI262146 JPE262146 JZA262146 KIW262146 KSS262146 LCO262146 LMK262146 LWG262146 MGC262146 MPY262146 MZU262146 NJQ262146 NTM262146 ODI262146 ONE262146 OXA262146 PGW262146 PQS262146 QAO262146 QKK262146 QUG262146 REC262146 RNY262146 RXU262146 SHQ262146 SRM262146 TBI262146 TLE262146 TVA262146 UEW262146 UOS262146 UYO262146 VIK262146 VSG262146 WCC262146 WLY262146 WVU262146 M327682 JI327682 TE327682 ADA327682 AMW327682 AWS327682 BGO327682 BQK327682 CAG327682 CKC327682 CTY327682 DDU327682 DNQ327682 DXM327682 EHI327682 ERE327682 FBA327682 FKW327682 FUS327682 GEO327682 GOK327682 GYG327682 HIC327682 HRY327682 IBU327682 ILQ327682 IVM327682 JFI327682 JPE327682 JZA327682 KIW327682 KSS327682 LCO327682 LMK327682 LWG327682 MGC327682 MPY327682 MZU327682 NJQ327682 NTM327682 ODI327682 ONE327682 OXA327682 PGW327682 PQS327682 QAO327682 QKK327682 QUG327682 REC327682 RNY327682 RXU327682 SHQ327682 SRM327682 TBI327682 TLE327682 TVA327682 UEW327682 UOS327682 UYO327682 VIK327682 VSG327682 WCC327682 WLY327682 WVU327682 M393218 JI393218 TE393218 ADA393218 AMW393218 AWS393218 BGO393218 BQK393218 CAG393218 CKC393218 CTY393218 DDU393218 DNQ393218 DXM393218 EHI393218 ERE393218 FBA393218 FKW393218 FUS393218 GEO393218 GOK393218 GYG393218 HIC393218 HRY393218 IBU393218 ILQ393218 IVM393218 JFI393218 JPE393218 JZA393218 KIW393218 KSS393218 LCO393218 LMK393218 LWG393218 MGC393218 MPY393218 MZU393218 NJQ393218 NTM393218 ODI393218 ONE393218 OXA393218 PGW393218 PQS393218 QAO393218 QKK393218 QUG393218 REC393218 RNY393218 RXU393218 SHQ393218 SRM393218 TBI393218 TLE393218 TVA393218 UEW393218 UOS393218 UYO393218 VIK393218 VSG393218 WCC393218 WLY393218 WVU393218 M458754 JI458754 TE458754 ADA458754 AMW458754 AWS458754 BGO458754 BQK458754 CAG458754 CKC458754 CTY458754 DDU458754 DNQ458754 DXM458754 EHI458754 ERE458754 FBA458754 FKW458754 FUS458754 GEO458754 GOK458754 GYG458754 HIC458754 HRY458754 IBU458754 ILQ458754 IVM458754 JFI458754 JPE458754 JZA458754 KIW458754 KSS458754 LCO458754 LMK458754 LWG458754 MGC458754 MPY458754 MZU458754 NJQ458754 NTM458754 ODI458754 ONE458754 OXA458754 PGW458754 PQS458754 QAO458754 QKK458754 QUG458754 REC458754 RNY458754 RXU458754 SHQ458754 SRM458754 TBI458754 TLE458754 TVA458754 UEW458754 UOS458754 UYO458754 VIK458754 VSG458754 WCC458754 WLY458754 WVU458754 M524290 JI524290 TE524290 ADA524290 AMW524290 AWS524290 BGO524290 BQK524290 CAG524290 CKC524290 CTY524290 DDU524290 DNQ524290 DXM524290 EHI524290 ERE524290 FBA524290 FKW524290 FUS524290 GEO524290 GOK524290 GYG524290 HIC524290 HRY524290 IBU524290 ILQ524290 IVM524290 JFI524290 JPE524290 JZA524290 KIW524290 KSS524290 LCO524290 LMK524290 LWG524290 MGC524290 MPY524290 MZU524290 NJQ524290 NTM524290 ODI524290 ONE524290 OXA524290 PGW524290 PQS524290 QAO524290 QKK524290 QUG524290 REC524290 RNY524290 RXU524290 SHQ524290 SRM524290 TBI524290 TLE524290 TVA524290 UEW524290 UOS524290 UYO524290 VIK524290 VSG524290 WCC524290 WLY524290 WVU524290 M589826 JI589826 TE589826 ADA589826 AMW589826 AWS589826 BGO589826 BQK589826 CAG589826 CKC589826 CTY589826 DDU589826 DNQ589826 DXM589826 EHI589826 ERE589826 FBA589826 FKW589826 FUS589826 GEO589826 GOK589826 GYG589826 HIC589826 HRY589826 IBU589826 ILQ589826 IVM589826 JFI589826 JPE589826 JZA589826 KIW589826 KSS589826 LCO589826 LMK589826 LWG589826 MGC589826 MPY589826 MZU589826 NJQ589826 NTM589826 ODI589826 ONE589826 OXA589826 PGW589826 PQS589826 QAO589826 QKK589826 QUG589826 REC589826 RNY589826 RXU589826 SHQ589826 SRM589826 TBI589826 TLE589826 TVA589826 UEW589826 UOS589826 UYO589826 VIK589826 VSG589826 WCC589826 WLY589826 WVU589826 M655362 JI655362 TE655362 ADA655362 AMW655362 AWS655362 BGO655362 BQK655362 CAG655362 CKC655362 CTY655362 DDU655362 DNQ655362 DXM655362 EHI655362 ERE655362 FBA655362 FKW655362 FUS655362 GEO655362 GOK655362 GYG655362 HIC655362 HRY655362 IBU655362 ILQ655362 IVM655362 JFI655362 JPE655362 JZA655362 KIW655362 KSS655362 LCO655362 LMK655362 LWG655362 MGC655362 MPY655362 MZU655362 NJQ655362 NTM655362 ODI655362 ONE655362 OXA655362 PGW655362 PQS655362 QAO655362 QKK655362 QUG655362 REC655362 RNY655362 RXU655362 SHQ655362 SRM655362 TBI655362 TLE655362 TVA655362 UEW655362 UOS655362 UYO655362 VIK655362 VSG655362 WCC655362 WLY655362 WVU655362 M720898 JI720898 TE720898 ADA720898 AMW720898 AWS720898 BGO720898 BQK720898 CAG720898 CKC720898 CTY720898 DDU720898 DNQ720898 DXM720898 EHI720898 ERE720898 FBA720898 FKW720898 FUS720898 GEO720898 GOK720898 GYG720898 HIC720898 HRY720898 IBU720898 ILQ720898 IVM720898 JFI720898 JPE720898 JZA720898 KIW720898 KSS720898 LCO720898 LMK720898 LWG720898 MGC720898 MPY720898 MZU720898 NJQ720898 NTM720898 ODI720898 ONE720898 OXA720898 PGW720898 PQS720898 QAO720898 QKK720898 QUG720898 REC720898 RNY720898 RXU720898 SHQ720898 SRM720898 TBI720898 TLE720898 TVA720898 UEW720898 UOS720898 UYO720898 VIK720898 VSG720898 WCC720898 WLY720898 WVU720898 M786434 JI786434 TE786434 ADA786434 AMW786434 AWS786434 BGO786434 BQK786434 CAG786434 CKC786434 CTY786434 DDU786434 DNQ786434 DXM786434 EHI786434 ERE786434 FBA786434 FKW786434 FUS786434 GEO786434 GOK786434 GYG786434 HIC786434 HRY786434 IBU786434 ILQ786434 IVM786434 JFI786434 JPE786434 JZA786434 KIW786434 KSS786434 LCO786434 LMK786434 LWG786434 MGC786434 MPY786434 MZU786434 NJQ786434 NTM786434 ODI786434 ONE786434 OXA786434 PGW786434 PQS786434 QAO786434 QKK786434 QUG786434 REC786434 RNY786434 RXU786434 SHQ786434 SRM786434 TBI786434 TLE786434 TVA786434 UEW786434 UOS786434 UYO786434 VIK786434 VSG786434 WCC786434 WLY786434 WVU786434 M851970 JI851970 TE851970 ADA851970 AMW851970 AWS851970 BGO851970 BQK851970 CAG851970 CKC851970 CTY851970 DDU851970 DNQ851970 DXM851970 EHI851970 ERE851970 FBA851970 FKW851970 FUS851970 GEO851970 GOK851970 GYG851970 HIC851970 HRY851970 IBU851970 ILQ851970 IVM851970 JFI851970 JPE851970 JZA851970 KIW851970 KSS851970 LCO851970 LMK851970 LWG851970 MGC851970 MPY851970 MZU851970 NJQ851970 NTM851970 ODI851970 ONE851970 OXA851970 PGW851970 PQS851970 QAO851970 QKK851970 QUG851970 REC851970 RNY851970 RXU851970 SHQ851970 SRM851970 TBI851970 TLE851970 TVA851970 UEW851970 UOS851970 UYO851970 VIK851970 VSG851970 WCC851970 WLY851970 WVU851970 M917506 JI917506 TE917506 ADA917506 AMW917506 AWS917506 BGO917506 BQK917506 CAG917506 CKC917506 CTY917506 DDU917506 DNQ917506 DXM917506 EHI917506 ERE917506 FBA917506 FKW917506 FUS917506 GEO917506 GOK917506 GYG917506 HIC917506 HRY917506 IBU917506 ILQ917506 IVM917506 JFI917506 JPE917506 JZA917506 KIW917506 KSS917506 LCO917506 LMK917506 LWG917506 MGC917506 MPY917506 MZU917506 NJQ917506 NTM917506 ODI917506 ONE917506 OXA917506 PGW917506 PQS917506 QAO917506 QKK917506 QUG917506 REC917506 RNY917506 RXU917506 SHQ917506 SRM917506 TBI917506 TLE917506 TVA917506 UEW917506 UOS917506 UYO917506 VIK917506 VSG917506 WCC917506 WLY917506 WVU917506 M983042 JI983042 TE983042 ADA983042 AMW983042 AWS983042 BGO983042 BQK983042 CAG983042 CKC983042 CTY983042 DDU983042 DNQ983042 DXM983042 EHI983042 ERE983042 FBA983042 FKW983042 FUS983042 GEO983042 GOK983042 GYG983042 HIC983042 HRY983042 IBU983042 ILQ983042 IVM983042 JFI983042 JPE983042 JZA983042 KIW983042 KSS983042 LCO983042 LMK983042 LWG983042 MGC983042 MPY983042 MZU983042 NJQ983042 NTM983042 ODI983042 ONE983042 OXA983042 PGW983042 PQS983042 QAO983042 QKK983042 QUG983042 REC983042 RNY983042 RXU983042 SHQ983042 SRM983042 TBI983042 TLE983042 TVA983042 UEW983042 UOS983042 UYO983042 VIK983042 VSG983042 WCC983042 WLY983042 WVU983042"/>
    <dataValidation allowBlank="1" showInputMessage="1" showErrorMessage="1" prompt="Indicar la dependencia/entidad responsable del programa/proyecto." sqref="D2:D3 IZ2:IZ3 SV2:SV3 ACR2:ACR3 AMN2:AMN3 AWJ2:AWJ3 BGF2:BGF3 BQB2:BQB3 BZX2:BZX3 CJT2:CJT3 CTP2:CTP3 DDL2:DDL3 DNH2:DNH3 DXD2:DXD3 EGZ2:EGZ3 EQV2:EQV3 FAR2:FAR3 FKN2:FKN3 FUJ2:FUJ3 GEF2:GEF3 GOB2:GOB3 GXX2:GXX3 HHT2:HHT3 HRP2:HRP3 IBL2:IBL3 ILH2:ILH3 IVD2:IVD3 JEZ2:JEZ3 JOV2:JOV3 JYR2:JYR3 KIN2:KIN3 KSJ2:KSJ3 LCF2:LCF3 LMB2:LMB3 LVX2:LVX3 MFT2:MFT3 MPP2:MPP3 MZL2:MZL3 NJH2:NJH3 NTD2:NTD3 OCZ2:OCZ3 OMV2:OMV3 OWR2:OWR3 PGN2:PGN3 PQJ2:PQJ3 QAF2:QAF3 QKB2:QKB3 QTX2:QTX3 RDT2:RDT3 RNP2:RNP3 RXL2:RXL3 SHH2:SHH3 SRD2:SRD3 TAZ2:TAZ3 TKV2:TKV3 TUR2:TUR3 UEN2:UEN3 UOJ2:UOJ3 UYF2:UYF3 VIB2:VIB3 VRX2:VRX3 WBT2:WBT3 WLP2:WLP3 WVL2:WVL3 D65538:D65539 IZ65538:IZ65539 SV65538:SV65539 ACR65538:ACR65539 AMN65538:AMN65539 AWJ65538:AWJ65539 BGF65538:BGF65539 BQB65538:BQB65539 BZX65538:BZX65539 CJT65538:CJT65539 CTP65538:CTP65539 DDL65538:DDL65539 DNH65538:DNH65539 DXD65538:DXD65539 EGZ65538:EGZ65539 EQV65538:EQV65539 FAR65538:FAR65539 FKN65538:FKN65539 FUJ65538:FUJ65539 GEF65538:GEF65539 GOB65538:GOB65539 GXX65538:GXX65539 HHT65538:HHT65539 HRP65538:HRP65539 IBL65538:IBL65539 ILH65538:ILH65539 IVD65538:IVD65539 JEZ65538:JEZ65539 JOV65538:JOV65539 JYR65538:JYR65539 KIN65538:KIN65539 KSJ65538:KSJ65539 LCF65538:LCF65539 LMB65538:LMB65539 LVX65538:LVX65539 MFT65538:MFT65539 MPP65538:MPP65539 MZL65538:MZL65539 NJH65538:NJH65539 NTD65538:NTD65539 OCZ65538:OCZ65539 OMV65538:OMV65539 OWR65538:OWR65539 PGN65538:PGN65539 PQJ65538:PQJ65539 QAF65538:QAF65539 QKB65538:QKB65539 QTX65538:QTX65539 RDT65538:RDT65539 RNP65538:RNP65539 RXL65538:RXL65539 SHH65538:SHH65539 SRD65538:SRD65539 TAZ65538:TAZ65539 TKV65538:TKV65539 TUR65538:TUR65539 UEN65538:UEN65539 UOJ65538:UOJ65539 UYF65538:UYF65539 VIB65538:VIB65539 VRX65538:VRX65539 WBT65538:WBT65539 WLP65538:WLP65539 WVL65538:WVL65539 D131074:D131075 IZ131074:IZ131075 SV131074:SV131075 ACR131074:ACR131075 AMN131074:AMN131075 AWJ131074:AWJ131075 BGF131074:BGF131075 BQB131074:BQB131075 BZX131074:BZX131075 CJT131074:CJT131075 CTP131074:CTP131075 DDL131074:DDL131075 DNH131074:DNH131075 DXD131074:DXD131075 EGZ131074:EGZ131075 EQV131074:EQV131075 FAR131074:FAR131075 FKN131074:FKN131075 FUJ131074:FUJ131075 GEF131074:GEF131075 GOB131074:GOB131075 GXX131074:GXX131075 HHT131074:HHT131075 HRP131074:HRP131075 IBL131074:IBL131075 ILH131074:ILH131075 IVD131074:IVD131075 JEZ131074:JEZ131075 JOV131074:JOV131075 JYR131074:JYR131075 KIN131074:KIN131075 KSJ131074:KSJ131075 LCF131074:LCF131075 LMB131074:LMB131075 LVX131074:LVX131075 MFT131074:MFT131075 MPP131074:MPP131075 MZL131074:MZL131075 NJH131074:NJH131075 NTD131074:NTD131075 OCZ131074:OCZ131075 OMV131074:OMV131075 OWR131074:OWR131075 PGN131074:PGN131075 PQJ131074:PQJ131075 QAF131074:QAF131075 QKB131074:QKB131075 QTX131074:QTX131075 RDT131074:RDT131075 RNP131074:RNP131075 RXL131074:RXL131075 SHH131074:SHH131075 SRD131074:SRD131075 TAZ131074:TAZ131075 TKV131074:TKV131075 TUR131074:TUR131075 UEN131074:UEN131075 UOJ131074:UOJ131075 UYF131074:UYF131075 VIB131074:VIB131075 VRX131074:VRX131075 WBT131074:WBT131075 WLP131074:WLP131075 WVL131074:WVL131075 D196610:D196611 IZ196610:IZ196611 SV196610:SV196611 ACR196610:ACR196611 AMN196610:AMN196611 AWJ196610:AWJ196611 BGF196610:BGF196611 BQB196610:BQB196611 BZX196610:BZX196611 CJT196610:CJT196611 CTP196610:CTP196611 DDL196610:DDL196611 DNH196610:DNH196611 DXD196610:DXD196611 EGZ196610:EGZ196611 EQV196610:EQV196611 FAR196610:FAR196611 FKN196610:FKN196611 FUJ196610:FUJ196611 GEF196610:GEF196611 GOB196610:GOB196611 GXX196610:GXX196611 HHT196610:HHT196611 HRP196610:HRP196611 IBL196610:IBL196611 ILH196610:ILH196611 IVD196610:IVD196611 JEZ196610:JEZ196611 JOV196610:JOV196611 JYR196610:JYR196611 KIN196610:KIN196611 KSJ196610:KSJ196611 LCF196610:LCF196611 LMB196610:LMB196611 LVX196610:LVX196611 MFT196610:MFT196611 MPP196610:MPP196611 MZL196610:MZL196611 NJH196610:NJH196611 NTD196610:NTD196611 OCZ196610:OCZ196611 OMV196610:OMV196611 OWR196610:OWR196611 PGN196610:PGN196611 PQJ196610:PQJ196611 QAF196610:QAF196611 QKB196610:QKB196611 QTX196610:QTX196611 RDT196610:RDT196611 RNP196610:RNP196611 RXL196610:RXL196611 SHH196610:SHH196611 SRD196610:SRD196611 TAZ196610:TAZ196611 TKV196610:TKV196611 TUR196610:TUR196611 UEN196610:UEN196611 UOJ196610:UOJ196611 UYF196610:UYF196611 VIB196610:VIB196611 VRX196610:VRX196611 WBT196610:WBT196611 WLP196610:WLP196611 WVL196610:WVL196611 D262146:D262147 IZ262146:IZ262147 SV262146:SV262147 ACR262146:ACR262147 AMN262146:AMN262147 AWJ262146:AWJ262147 BGF262146:BGF262147 BQB262146:BQB262147 BZX262146:BZX262147 CJT262146:CJT262147 CTP262146:CTP262147 DDL262146:DDL262147 DNH262146:DNH262147 DXD262146:DXD262147 EGZ262146:EGZ262147 EQV262146:EQV262147 FAR262146:FAR262147 FKN262146:FKN262147 FUJ262146:FUJ262147 GEF262146:GEF262147 GOB262146:GOB262147 GXX262146:GXX262147 HHT262146:HHT262147 HRP262146:HRP262147 IBL262146:IBL262147 ILH262146:ILH262147 IVD262146:IVD262147 JEZ262146:JEZ262147 JOV262146:JOV262147 JYR262146:JYR262147 KIN262146:KIN262147 KSJ262146:KSJ262147 LCF262146:LCF262147 LMB262146:LMB262147 LVX262146:LVX262147 MFT262146:MFT262147 MPP262146:MPP262147 MZL262146:MZL262147 NJH262146:NJH262147 NTD262146:NTD262147 OCZ262146:OCZ262147 OMV262146:OMV262147 OWR262146:OWR262147 PGN262146:PGN262147 PQJ262146:PQJ262147 QAF262146:QAF262147 QKB262146:QKB262147 QTX262146:QTX262147 RDT262146:RDT262147 RNP262146:RNP262147 RXL262146:RXL262147 SHH262146:SHH262147 SRD262146:SRD262147 TAZ262146:TAZ262147 TKV262146:TKV262147 TUR262146:TUR262147 UEN262146:UEN262147 UOJ262146:UOJ262147 UYF262146:UYF262147 VIB262146:VIB262147 VRX262146:VRX262147 WBT262146:WBT262147 WLP262146:WLP262147 WVL262146:WVL262147 D327682:D327683 IZ327682:IZ327683 SV327682:SV327683 ACR327682:ACR327683 AMN327682:AMN327683 AWJ327682:AWJ327683 BGF327682:BGF327683 BQB327682:BQB327683 BZX327682:BZX327683 CJT327682:CJT327683 CTP327682:CTP327683 DDL327682:DDL327683 DNH327682:DNH327683 DXD327682:DXD327683 EGZ327682:EGZ327683 EQV327682:EQV327683 FAR327682:FAR327683 FKN327682:FKN327683 FUJ327682:FUJ327683 GEF327682:GEF327683 GOB327682:GOB327683 GXX327682:GXX327683 HHT327682:HHT327683 HRP327682:HRP327683 IBL327682:IBL327683 ILH327682:ILH327683 IVD327682:IVD327683 JEZ327682:JEZ327683 JOV327682:JOV327683 JYR327682:JYR327683 KIN327682:KIN327683 KSJ327682:KSJ327683 LCF327682:LCF327683 LMB327682:LMB327683 LVX327682:LVX327683 MFT327682:MFT327683 MPP327682:MPP327683 MZL327682:MZL327683 NJH327682:NJH327683 NTD327682:NTD327683 OCZ327682:OCZ327683 OMV327682:OMV327683 OWR327682:OWR327683 PGN327682:PGN327683 PQJ327682:PQJ327683 QAF327682:QAF327683 QKB327682:QKB327683 QTX327682:QTX327683 RDT327682:RDT327683 RNP327682:RNP327683 RXL327682:RXL327683 SHH327682:SHH327683 SRD327682:SRD327683 TAZ327682:TAZ327683 TKV327682:TKV327683 TUR327682:TUR327683 UEN327682:UEN327683 UOJ327682:UOJ327683 UYF327682:UYF327683 VIB327682:VIB327683 VRX327682:VRX327683 WBT327682:WBT327683 WLP327682:WLP327683 WVL327682:WVL327683 D393218:D393219 IZ393218:IZ393219 SV393218:SV393219 ACR393218:ACR393219 AMN393218:AMN393219 AWJ393218:AWJ393219 BGF393218:BGF393219 BQB393218:BQB393219 BZX393218:BZX393219 CJT393218:CJT393219 CTP393218:CTP393219 DDL393218:DDL393219 DNH393218:DNH393219 DXD393218:DXD393219 EGZ393218:EGZ393219 EQV393218:EQV393219 FAR393218:FAR393219 FKN393218:FKN393219 FUJ393218:FUJ393219 GEF393218:GEF393219 GOB393218:GOB393219 GXX393218:GXX393219 HHT393218:HHT393219 HRP393218:HRP393219 IBL393218:IBL393219 ILH393218:ILH393219 IVD393218:IVD393219 JEZ393218:JEZ393219 JOV393218:JOV393219 JYR393218:JYR393219 KIN393218:KIN393219 KSJ393218:KSJ393219 LCF393218:LCF393219 LMB393218:LMB393219 LVX393218:LVX393219 MFT393218:MFT393219 MPP393218:MPP393219 MZL393218:MZL393219 NJH393218:NJH393219 NTD393218:NTD393219 OCZ393218:OCZ393219 OMV393218:OMV393219 OWR393218:OWR393219 PGN393218:PGN393219 PQJ393218:PQJ393219 QAF393218:QAF393219 QKB393218:QKB393219 QTX393218:QTX393219 RDT393218:RDT393219 RNP393218:RNP393219 RXL393218:RXL393219 SHH393218:SHH393219 SRD393218:SRD393219 TAZ393218:TAZ393219 TKV393218:TKV393219 TUR393218:TUR393219 UEN393218:UEN393219 UOJ393218:UOJ393219 UYF393218:UYF393219 VIB393218:VIB393219 VRX393218:VRX393219 WBT393218:WBT393219 WLP393218:WLP393219 WVL393218:WVL393219 D458754:D458755 IZ458754:IZ458755 SV458754:SV458755 ACR458754:ACR458755 AMN458754:AMN458755 AWJ458754:AWJ458755 BGF458754:BGF458755 BQB458754:BQB458755 BZX458754:BZX458755 CJT458754:CJT458755 CTP458754:CTP458755 DDL458754:DDL458755 DNH458754:DNH458755 DXD458754:DXD458755 EGZ458754:EGZ458755 EQV458754:EQV458755 FAR458754:FAR458755 FKN458754:FKN458755 FUJ458754:FUJ458755 GEF458754:GEF458755 GOB458754:GOB458755 GXX458754:GXX458755 HHT458754:HHT458755 HRP458754:HRP458755 IBL458754:IBL458755 ILH458754:ILH458755 IVD458754:IVD458755 JEZ458754:JEZ458755 JOV458754:JOV458755 JYR458754:JYR458755 KIN458754:KIN458755 KSJ458754:KSJ458755 LCF458754:LCF458755 LMB458754:LMB458755 LVX458754:LVX458755 MFT458754:MFT458755 MPP458754:MPP458755 MZL458754:MZL458755 NJH458754:NJH458755 NTD458754:NTD458755 OCZ458754:OCZ458755 OMV458754:OMV458755 OWR458754:OWR458755 PGN458754:PGN458755 PQJ458754:PQJ458755 QAF458754:QAF458755 QKB458754:QKB458755 QTX458754:QTX458755 RDT458754:RDT458755 RNP458754:RNP458755 RXL458754:RXL458755 SHH458754:SHH458755 SRD458754:SRD458755 TAZ458754:TAZ458755 TKV458754:TKV458755 TUR458754:TUR458755 UEN458754:UEN458755 UOJ458754:UOJ458755 UYF458754:UYF458755 VIB458754:VIB458755 VRX458754:VRX458755 WBT458754:WBT458755 WLP458754:WLP458755 WVL458754:WVL458755 D524290:D524291 IZ524290:IZ524291 SV524290:SV524291 ACR524290:ACR524291 AMN524290:AMN524291 AWJ524290:AWJ524291 BGF524290:BGF524291 BQB524290:BQB524291 BZX524290:BZX524291 CJT524290:CJT524291 CTP524290:CTP524291 DDL524290:DDL524291 DNH524290:DNH524291 DXD524290:DXD524291 EGZ524290:EGZ524291 EQV524290:EQV524291 FAR524290:FAR524291 FKN524290:FKN524291 FUJ524290:FUJ524291 GEF524290:GEF524291 GOB524290:GOB524291 GXX524290:GXX524291 HHT524290:HHT524291 HRP524290:HRP524291 IBL524290:IBL524291 ILH524290:ILH524291 IVD524290:IVD524291 JEZ524290:JEZ524291 JOV524290:JOV524291 JYR524290:JYR524291 KIN524290:KIN524291 KSJ524290:KSJ524291 LCF524290:LCF524291 LMB524290:LMB524291 LVX524290:LVX524291 MFT524290:MFT524291 MPP524290:MPP524291 MZL524290:MZL524291 NJH524290:NJH524291 NTD524290:NTD524291 OCZ524290:OCZ524291 OMV524290:OMV524291 OWR524290:OWR524291 PGN524290:PGN524291 PQJ524290:PQJ524291 QAF524290:QAF524291 QKB524290:QKB524291 QTX524290:QTX524291 RDT524290:RDT524291 RNP524290:RNP524291 RXL524290:RXL524291 SHH524290:SHH524291 SRD524290:SRD524291 TAZ524290:TAZ524291 TKV524290:TKV524291 TUR524290:TUR524291 UEN524290:UEN524291 UOJ524290:UOJ524291 UYF524290:UYF524291 VIB524290:VIB524291 VRX524290:VRX524291 WBT524290:WBT524291 WLP524290:WLP524291 WVL524290:WVL524291 D589826:D589827 IZ589826:IZ589827 SV589826:SV589827 ACR589826:ACR589827 AMN589826:AMN589827 AWJ589826:AWJ589827 BGF589826:BGF589827 BQB589826:BQB589827 BZX589826:BZX589827 CJT589826:CJT589827 CTP589826:CTP589827 DDL589826:DDL589827 DNH589826:DNH589827 DXD589826:DXD589827 EGZ589826:EGZ589827 EQV589826:EQV589827 FAR589826:FAR589827 FKN589826:FKN589827 FUJ589826:FUJ589827 GEF589826:GEF589827 GOB589826:GOB589827 GXX589826:GXX589827 HHT589826:HHT589827 HRP589826:HRP589827 IBL589826:IBL589827 ILH589826:ILH589827 IVD589826:IVD589827 JEZ589826:JEZ589827 JOV589826:JOV589827 JYR589826:JYR589827 KIN589826:KIN589827 KSJ589826:KSJ589827 LCF589826:LCF589827 LMB589826:LMB589827 LVX589826:LVX589827 MFT589826:MFT589827 MPP589826:MPP589827 MZL589826:MZL589827 NJH589826:NJH589827 NTD589826:NTD589827 OCZ589826:OCZ589827 OMV589826:OMV589827 OWR589826:OWR589827 PGN589826:PGN589827 PQJ589826:PQJ589827 QAF589826:QAF589827 QKB589826:QKB589827 QTX589826:QTX589827 RDT589826:RDT589827 RNP589826:RNP589827 RXL589826:RXL589827 SHH589826:SHH589827 SRD589826:SRD589827 TAZ589826:TAZ589827 TKV589826:TKV589827 TUR589826:TUR589827 UEN589826:UEN589827 UOJ589826:UOJ589827 UYF589826:UYF589827 VIB589826:VIB589827 VRX589826:VRX589827 WBT589826:WBT589827 WLP589826:WLP589827 WVL589826:WVL589827 D655362:D655363 IZ655362:IZ655363 SV655362:SV655363 ACR655362:ACR655363 AMN655362:AMN655363 AWJ655362:AWJ655363 BGF655362:BGF655363 BQB655362:BQB655363 BZX655362:BZX655363 CJT655362:CJT655363 CTP655362:CTP655363 DDL655362:DDL655363 DNH655362:DNH655363 DXD655362:DXD655363 EGZ655362:EGZ655363 EQV655362:EQV655363 FAR655362:FAR655363 FKN655362:FKN655363 FUJ655362:FUJ655363 GEF655362:GEF655363 GOB655362:GOB655363 GXX655362:GXX655363 HHT655362:HHT655363 HRP655362:HRP655363 IBL655362:IBL655363 ILH655362:ILH655363 IVD655362:IVD655363 JEZ655362:JEZ655363 JOV655362:JOV655363 JYR655362:JYR655363 KIN655362:KIN655363 KSJ655362:KSJ655363 LCF655362:LCF655363 LMB655362:LMB655363 LVX655362:LVX655363 MFT655362:MFT655363 MPP655362:MPP655363 MZL655362:MZL655363 NJH655362:NJH655363 NTD655362:NTD655363 OCZ655362:OCZ655363 OMV655362:OMV655363 OWR655362:OWR655363 PGN655362:PGN655363 PQJ655362:PQJ655363 QAF655362:QAF655363 QKB655362:QKB655363 QTX655362:QTX655363 RDT655362:RDT655363 RNP655362:RNP655363 RXL655362:RXL655363 SHH655362:SHH655363 SRD655362:SRD655363 TAZ655362:TAZ655363 TKV655362:TKV655363 TUR655362:TUR655363 UEN655362:UEN655363 UOJ655362:UOJ655363 UYF655362:UYF655363 VIB655362:VIB655363 VRX655362:VRX655363 WBT655362:WBT655363 WLP655362:WLP655363 WVL655362:WVL655363 D720898:D720899 IZ720898:IZ720899 SV720898:SV720899 ACR720898:ACR720899 AMN720898:AMN720899 AWJ720898:AWJ720899 BGF720898:BGF720899 BQB720898:BQB720899 BZX720898:BZX720899 CJT720898:CJT720899 CTP720898:CTP720899 DDL720898:DDL720899 DNH720898:DNH720899 DXD720898:DXD720899 EGZ720898:EGZ720899 EQV720898:EQV720899 FAR720898:FAR720899 FKN720898:FKN720899 FUJ720898:FUJ720899 GEF720898:GEF720899 GOB720898:GOB720899 GXX720898:GXX720899 HHT720898:HHT720899 HRP720898:HRP720899 IBL720898:IBL720899 ILH720898:ILH720899 IVD720898:IVD720899 JEZ720898:JEZ720899 JOV720898:JOV720899 JYR720898:JYR720899 KIN720898:KIN720899 KSJ720898:KSJ720899 LCF720898:LCF720899 LMB720898:LMB720899 LVX720898:LVX720899 MFT720898:MFT720899 MPP720898:MPP720899 MZL720898:MZL720899 NJH720898:NJH720899 NTD720898:NTD720899 OCZ720898:OCZ720899 OMV720898:OMV720899 OWR720898:OWR720899 PGN720898:PGN720899 PQJ720898:PQJ720899 QAF720898:QAF720899 QKB720898:QKB720899 QTX720898:QTX720899 RDT720898:RDT720899 RNP720898:RNP720899 RXL720898:RXL720899 SHH720898:SHH720899 SRD720898:SRD720899 TAZ720898:TAZ720899 TKV720898:TKV720899 TUR720898:TUR720899 UEN720898:UEN720899 UOJ720898:UOJ720899 UYF720898:UYF720899 VIB720898:VIB720899 VRX720898:VRX720899 WBT720898:WBT720899 WLP720898:WLP720899 WVL720898:WVL720899 D786434:D786435 IZ786434:IZ786435 SV786434:SV786435 ACR786434:ACR786435 AMN786434:AMN786435 AWJ786434:AWJ786435 BGF786434:BGF786435 BQB786434:BQB786435 BZX786434:BZX786435 CJT786434:CJT786435 CTP786434:CTP786435 DDL786434:DDL786435 DNH786434:DNH786435 DXD786434:DXD786435 EGZ786434:EGZ786435 EQV786434:EQV786435 FAR786434:FAR786435 FKN786434:FKN786435 FUJ786434:FUJ786435 GEF786434:GEF786435 GOB786434:GOB786435 GXX786434:GXX786435 HHT786434:HHT786435 HRP786434:HRP786435 IBL786434:IBL786435 ILH786434:ILH786435 IVD786434:IVD786435 JEZ786434:JEZ786435 JOV786434:JOV786435 JYR786434:JYR786435 KIN786434:KIN786435 KSJ786434:KSJ786435 LCF786434:LCF786435 LMB786434:LMB786435 LVX786434:LVX786435 MFT786434:MFT786435 MPP786434:MPP786435 MZL786434:MZL786435 NJH786434:NJH786435 NTD786434:NTD786435 OCZ786434:OCZ786435 OMV786434:OMV786435 OWR786434:OWR786435 PGN786434:PGN786435 PQJ786434:PQJ786435 QAF786434:QAF786435 QKB786434:QKB786435 QTX786434:QTX786435 RDT786434:RDT786435 RNP786434:RNP786435 RXL786434:RXL786435 SHH786434:SHH786435 SRD786434:SRD786435 TAZ786434:TAZ786435 TKV786434:TKV786435 TUR786434:TUR786435 UEN786434:UEN786435 UOJ786434:UOJ786435 UYF786434:UYF786435 VIB786434:VIB786435 VRX786434:VRX786435 WBT786434:WBT786435 WLP786434:WLP786435 WVL786434:WVL786435 D851970:D851971 IZ851970:IZ851971 SV851970:SV851971 ACR851970:ACR851971 AMN851970:AMN851971 AWJ851970:AWJ851971 BGF851970:BGF851971 BQB851970:BQB851971 BZX851970:BZX851971 CJT851970:CJT851971 CTP851970:CTP851971 DDL851970:DDL851971 DNH851970:DNH851971 DXD851970:DXD851971 EGZ851970:EGZ851971 EQV851970:EQV851971 FAR851970:FAR851971 FKN851970:FKN851971 FUJ851970:FUJ851971 GEF851970:GEF851971 GOB851970:GOB851971 GXX851970:GXX851971 HHT851970:HHT851971 HRP851970:HRP851971 IBL851970:IBL851971 ILH851970:ILH851971 IVD851970:IVD851971 JEZ851970:JEZ851971 JOV851970:JOV851971 JYR851970:JYR851971 KIN851970:KIN851971 KSJ851970:KSJ851971 LCF851970:LCF851971 LMB851970:LMB851971 LVX851970:LVX851971 MFT851970:MFT851971 MPP851970:MPP851971 MZL851970:MZL851971 NJH851970:NJH851971 NTD851970:NTD851971 OCZ851970:OCZ851971 OMV851970:OMV851971 OWR851970:OWR851971 PGN851970:PGN851971 PQJ851970:PQJ851971 QAF851970:QAF851971 QKB851970:QKB851971 QTX851970:QTX851971 RDT851970:RDT851971 RNP851970:RNP851971 RXL851970:RXL851971 SHH851970:SHH851971 SRD851970:SRD851971 TAZ851970:TAZ851971 TKV851970:TKV851971 TUR851970:TUR851971 UEN851970:UEN851971 UOJ851970:UOJ851971 UYF851970:UYF851971 VIB851970:VIB851971 VRX851970:VRX851971 WBT851970:WBT851971 WLP851970:WLP851971 WVL851970:WVL851971 D917506:D917507 IZ917506:IZ917507 SV917506:SV917507 ACR917506:ACR917507 AMN917506:AMN917507 AWJ917506:AWJ917507 BGF917506:BGF917507 BQB917506:BQB917507 BZX917506:BZX917507 CJT917506:CJT917507 CTP917506:CTP917507 DDL917506:DDL917507 DNH917506:DNH917507 DXD917506:DXD917507 EGZ917506:EGZ917507 EQV917506:EQV917507 FAR917506:FAR917507 FKN917506:FKN917507 FUJ917506:FUJ917507 GEF917506:GEF917507 GOB917506:GOB917507 GXX917506:GXX917507 HHT917506:HHT917507 HRP917506:HRP917507 IBL917506:IBL917507 ILH917506:ILH917507 IVD917506:IVD917507 JEZ917506:JEZ917507 JOV917506:JOV917507 JYR917506:JYR917507 KIN917506:KIN917507 KSJ917506:KSJ917507 LCF917506:LCF917507 LMB917506:LMB917507 LVX917506:LVX917507 MFT917506:MFT917507 MPP917506:MPP917507 MZL917506:MZL917507 NJH917506:NJH917507 NTD917506:NTD917507 OCZ917506:OCZ917507 OMV917506:OMV917507 OWR917506:OWR917507 PGN917506:PGN917507 PQJ917506:PQJ917507 QAF917506:QAF917507 QKB917506:QKB917507 QTX917506:QTX917507 RDT917506:RDT917507 RNP917506:RNP917507 RXL917506:RXL917507 SHH917506:SHH917507 SRD917506:SRD917507 TAZ917506:TAZ917507 TKV917506:TKV917507 TUR917506:TUR917507 UEN917506:UEN917507 UOJ917506:UOJ917507 UYF917506:UYF917507 VIB917506:VIB917507 VRX917506:VRX917507 WBT917506:WBT917507 WLP917506:WLP917507 WVL917506:WVL917507 D983042:D983043 IZ983042:IZ983043 SV983042:SV983043 ACR983042:ACR983043 AMN983042:AMN983043 AWJ983042:AWJ983043 BGF983042:BGF983043 BQB983042:BQB983043 BZX983042:BZX983043 CJT983042:CJT983043 CTP983042:CTP983043 DDL983042:DDL983043 DNH983042:DNH983043 DXD983042:DXD983043 EGZ983042:EGZ983043 EQV983042:EQV983043 FAR983042:FAR983043 FKN983042:FKN983043 FUJ983042:FUJ983043 GEF983042:GEF983043 GOB983042:GOB983043 GXX983042:GXX983043 HHT983042:HHT983043 HRP983042:HRP983043 IBL983042:IBL983043 ILH983042:ILH983043 IVD983042:IVD983043 JEZ983042:JEZ983043 JOV983042:JOV983043 JYR983042:JYR983043 KIN983042:KIN983043 KSJ983042:KSJ983043 LCF983042:LCF983043 LMB983042:LMB983043 LVX983042:LVX983043 MFT983042:MFT983043 MPP983042:MPP983043 MZL983042:MZL983043 NJH983042:NJH983043 NTD983042:NTD983043 OCZ983042:OCZ983043 OMV983042:OMV983043 OWR983042:OWR983043 PGN983042:PGN983043 PQJ983042:PQJ983043 QAF983042:QAF983043 QKB983042:QKB983043 QTX983042:QTX983043 RDT983042:RDT983043 RNP983042:RNP983043 RXL983042:RXL983043 SHH983042:SHH983043 SRD983042:SRD983043 TAZ983042:TAZ983043 TKV983042:TKV983043 TUR983042:TUR983043 UEN983042:UEN983043 UOJ983042:UOJ983043 UYF983042:UYF983043 VIB983042:VIB983043 VRX983042:VRX983043 WBT983042:WBT983043 WLP983042:WLP983043 WVL983042:WVL983043"/>
    <dataValidation allowBlank="1" showInputMessage="1" showErrorMessage="1" prompt="Describir el programa/proyecto." sqref="C2:C3 IY2:IY3 SU2:SU3 ACQ2:ACQ3 AMM2:AMM3 AWI2:AWI3 BGE2:BGE3 BQA2:BQA3 BZW2:BZW3 CJS2:CJS3 CTO2:CTO3 DDK2:DDK3 DNG2:DNG3 DXC2:DXC3 EGY2:EGY3 EQU2:EQU3 FAQ2:FAQ3 FKM2:FKM3 FUI2:FUI3 GEE2:GEE3 GOA2:GOA3 GXW2:GXW3 HHS2:HHS3 HRO2:HRO3 IBK2:IBK3 ILG2:ILG3 IVC2:IVC3 JEY2:JEY3 JOU2:JOU3 JYQ2:JYQ3 KIM2:KIM3 KSI2:KSI3 LCE2:LCE3 LMA2:LMA3 LVW2:LVW3 MFS2:MFS3 MPO2:MPO3 MZK2:MZK3 NJG2:NJG3 NTC2:NTC3 OCY2:OCY3 OMU2:OMU3 OWQ2:OWQ3 PGM2:PGM3 PQI2:PQI3 QAE2:QAE3 QKA2:QKA3 QTW2:QTW3 RDS2:RDS3 RNO2:RNO3 RXK2:RXK3 SHG2:SHG3 SRC2:SRC3 TAY2:TAY3 TKU2:TKU3 TUQ2:TUQ3 UEM2:UEM3 UOI2:UOI3 UYE2:UYE3 VIA2:VIA3 VRW2:VRW3 WBS2:WBS3 WLO2:WLO3 WVK2:WVK3 C65538:C65539 IY65538:IY65539 SU65538:SU65539 ACQ65538:ACQ65539 AMM65538:AMM65539 AWI65538:AWI65539 BGE65538:BGE65539 BQA65538:BQA65539 BZW65538:BZW65539 CJS65538:CJS65539 CTO65538:CTO65539 DDK65538:DDK65539 DNG65538:DNG65539 DXC65538:DXC65539 EGY65538:EGY65539 EQU65538:EQU65539 FAQ65538:FAQ65539 FKM65538:FKM65539 FUI65538:FUI65539 GEE65538:GEE65539 GOA65538:GOA65539 GXW65538:GXW65539 HHS65538:HHS65539 HRO65538:HRO65539 IBK65538:IBK65539 ILG65538:ILG65539 IVC65538:IVC65539 JEY65538:JEY65539 JOU65538:JOU65539 JYQ65538:JYQ65539 KIM65538:KIM65539 KSI65538:KSI65539 LCE65538:LCE65539 LMA65538:LMA65539 LVW65538:LVW65539 MFS65538:MFS65539 MPO65538:MPO65539 MZK65538:MZK65539 NJG65538:NJG65539 NTC65538:NTC65539 OCY65538:OCY65539 OMU65538:OMU65539 OWQ65538:OWQ65539 PGM65538:PGM65539 PQI65538:PQI65539 QAE65538:QAE65539 QKA65538:QKA65539 QTW65538:QTW65539 RDS65538:RDS65539 RNO65538:RNO65539 RXK65538:RXK65539 SHG65538:SHG65539 SRC65538:SRC65539 TAY65538:TAY65539 TKU65538:TKU65539 TUQ65538:TUQ65539 UEM65538:UEM65539 UOI65538:UOI65539 UYE65538:UYE65539 VIA65538:VIA65539 VRW65538:VRW65539 WBS65538:WBS65539 WLO65538:WLO65539 WVK65538:WVK65539 C131074:C131075 IY131074:IY131075 SU131074:SU131075 ACQ131074:ACQ131075 AMM131074:AMM131075 AWI131074:AWI131075 BGE131074:BGE131075 BQA131074:BQA131075 BZW131074:BZW131075 CJS131074:CJS131075 CTO131074:CTO131075 DDK131074:DDK131075 DNG131074:DNG131075 DXC131074:DXC131075 EGY131074:EGY131075 EQU131074:EQU131075 FAQ131074:FAQ131075 FKM131074:FKM131075 FUI131074:FUI131075 GEE131074:GEE131075 GOA131074:GOA131075 GXW131074:GXW131075 HHS131074:HHS131075 HRO131074:HRO131075 IBK131074:IBK131075 ILG131074:ILG131075 IVC131074:IVC131075 JEY131074:JEY131075 JOU131074:JOU131075 JYQ131074:JYQ131075 KIM131074:KIM131075 KSI131074:KSI131075 LCE131074:LCE131075 LMA131074:LMA131075 LVW131074:LVW131075 MFS131074:MFS131075 MPO131074:MPO131075 MZK131074:MZK131075 NJG131074:NJG131075 NTC131074:NTC131075 OCY131074:OCY131075 OMU131074:OMU131075 OWQ131074:OWQ131075 PGM131074:PGM131075 PQI131074:PQI131075 QAE131074:QAE131075 QKA131074:QKA131075 QTW131074:QTW131075 RDS131074:RDS131075 RNO131074:RNO131075 RXK131074:RXK131075 SHG131074:SHG131075 SRC131074:SRC131075 TAY131074:TAY131075 TKU131074:TKU131075 TUQ131074:TUQ131075 UEM131074:UEM131075 UOI131074:UOI131075 UYE131074:UYE131075 VIA131074:VIA131075 VRW131074:VRW131075 WBS131074:WBS131075 WLO131074:WLO131075 WVK131074:WVK131075 C196610:C196611 IY196610:IY196611 SU196610:SU196611 ACQ196610:ACQ196611 AMM196610:AMM196611 AWI196610:AWI196611 BGE196610:BGE196611 BQA196610:BQA196611 BZW196610:BZW196611 CJS196610:CJS196611 CTO196610:CTO196611 DDK196610:DDK196611 DNG196610:DNG196611 DXC196610:DXC196611 EGY196610:EGY196611 EQU196610:EQU196611 FAQ196610:FAQ196611 FKM196610:FKM196611 FUI196610:FUI196611 GEE196610:GEE196611 GOA196610:GOA196611 GXW196610:GXW196611 HHS196610:HHS196611 HRO196610:HRO196611 IBK196610:IBK196611 ILG196610:ILG196611 IVC196610:IVC196611 JEY196610:JEY196611 JOU196610:JOU196611 JYQ196610:JYQ196611 KIM196610:KIM196611 KSI196610:KSI196611 LCE196610:LCE196611 LMA196610:LMA196611 LVW196610:LVW196611 MFS196610:MFS196611 MPO196610:MPO196611 MZK196610:MZK196611 NJG196610:NJG196611 NTC196610:NTC196611 OCY196610:OCY196611 OMU196610:OMU196611 OWQ196610:OWQ196611 PGM196610:PGM196611 PQI196610:PQI196611 QAE196610:QAE196611 QKA196610:QKA196611 QTW196610:QTW196611 RDS196610:RDS196611 RNO196610:RNO196611 RXK196610:RXK196611 SHG196610:SHG196611 SRC196610:SRC196611 TAY196610:TAY196611 TKU196610:TKU196611 TUQ196610:TUQ196611 UEM196610:UEM196611 UOI196610:UOI196611 UYE196610:UYE196611 VIA196610:VIA196611 VRW196610:VRW196611 WBS196610:WBS196611 WLO196610:WLO196611 WVK196610:WVK196611 C262146:C262147 IY262146:IY262147 SU262146:SU262147 ACQ262146:ACQ262147 AMM262146:AMM262147 AWI262146:AWI262147 BGE262146:BGE262147 BQA262146:BQA262147 BZW262146:BZW262147 CJS262146:CJS262147 CTO262146:CTO262147 DDK262146:DDK262147 DNG262146:DNG262147 DXC262146:DXC262147 EGY262146:EGY262147 EQU262146:EQU262147 FAQ262146:FAQ262147 FKM262146:FKM262147 FUI262146:FUI262147 GEE262146:GEE262147 GOA262146:GOA262147 GXW262146:GXW262147 HHS262146:HHS262147 HRO262146:HRO262147 IBK262146:IBK262147 ILG262146:ILG262147 IVC262146:IVC262147 JEY262146:JEY262147 JOU262146:JOU262147 JYQ262146:JYQ262147 KIM262146:KIM262147 KSI262146:KSI262147 LCE262146:LCE262147 LMA262146:LMA262147 LVW262146:LVW262147 MFS262146:MFS262147 MPO262146:MPO262147 MZK262146:MZK262147 NJG262146:NJG262147 NTC262146:NTC262147 OCY262146:OCY262147 OMU262146:OMU262147 OWQ262146:OWQ262147 PGM262146:PGM262147 PQI262146:PQI262147 QAE262146:QAE262147 QKA262146:QKA262147 QTW262146:QTW262147 RDS262146:RDS262147 RNO262146:RNO262147 RXK262146:RXK262147 SHG262146:SHG262147 SRC262146:SRC262147 TAY262146:TAY262147 TKU262146:TKU262147 TUQ262146:TUQ262147 UEM262146:UEM262147 UOI262146:UOI262147 UYE262146:UYE262147 VIA262146:VIA262147 VRW262146:VRW262147 WBS262146:WBS262147 WLO262146:WLO262147 WVK262146:WVK262147 C327682:C327683 IY327682:IY327683 SU327682:SU327683 ACQ327682:ACQ327683 AMM327682:AMM327683 AWI327682:AWI327683 BGE327682:BGE327683 BQA327682:BQA327683 BZW327682:BZW327683 CJS327682:CJS327683 CTO327682:CTO327683 DDK327682:DDK327683 DNG327682:DNG327683 DXC327682:DXC327683 EGY327682:EGY327683 EQU327682:EQU327683 FAQ327682:FAQ327683 FKM327682:FKM327683 FUI327682:FUI327683 GEE327682:GEE327683 GOA327682:GOA327683 GXW327682:GXW327683 HHS327682:HHS327683 HRO327682:HRO327683 IBK327682:IBK327683 ILG327682:ILG327683 IVC327682:IVC327683 JEY327682:JEY327683 JOU327682:JOU327683 JYQ327682:JYQ327683 KIM327682:KIM327683 KSI327682:KSI327683 LCE327682:LCE327683 LMA327682:LMA327683 LVW327682:LVW327683 MFS327682:MFS327683 MPO327682:MPO327683 MZK327682:MZK327683 NJG327682:NJG327683 NTC327682:NTC327683 OCY327682:OCY327683 OMU327682:OMU327683 OWQ327682:OWQ327683 PGM327682:PGM327683 PQI327682:PQI327683 QAE327682:QAE327683 QKA327682:QKA327683 QTW327682:QTW327683 RDS327682:RDS327683 RNO327682:RNO327683 RXK327682:RXK327683 SHG327682:SHG327683 SRC327682:SRC327683 TAY327682:TAY327683 TKU327682:TKU327683 TUQ327682:TUQ327683 UEM327682:UEM327683 UOI327682:UOI327683 UYE327682:UYE327683 VIA327682:VIA327683 VRW327682:VRW327683 WBS327682:WBS327683 WLO327682:WLO327683 WVK327682:WVK327683 C393218:C393219 IY393218:IY393219 SU393218:SU393219 ACQ393218:ACQ393219 AMM393218:AMM393219 AWI393218:AWI393219 BGE393218:BGE393219 BQA393218:BQA393219 BZW393218:BZW393219 CJS393218:CJS393219 CTO393218:CTO393219 DDK393218:DDK393219 DNG393218:DNG393219 DXC393218:DXC393219 EGY393218:EGY393219 EQU393218:EQU393219 FAQ393218:FAQ393219 FKM393218:FKM393219 FUI393218:FUI393219 GEE393218:GEE393219 GOA393218:GOA393219 GXW393218:GXW393219 HHS393218:HHS393219 HRO393218:HRO393219 IBK393218:IBK393219 ILG393218:ILG393219 IVC393218:IVC393219 JEY393218:JEY393219 JOU393218:JOU393219 JYQ393218:JYQ393219 KIM393218:KIM393219 KSI393218:KSI393219 LCE393218:LCE393219 LMA393218:LMA393219 LVW393218:LVW393219 MFS393218:MFS393219 MPO393218:MPO393219 MZK393218:MZK393219 NJG393218:NJG393219 NTC393218:NTC393219 OCY393218:OCY393219 OMU393218:OMU393219 OWQ393218:OWQ393219 PGM393218:PGM393219 PQI393218:PQI393219 QAE393218:QAE393219 QKA393218:QKA393219 QTW393218:QTW393219 RDS393218:RDS393219 RNO393218:RNO393219 RXK393218:RXK393219 SHG393218:SHG393219 SRC393218:SRC393219 TAY393218:TAY393219 TKU393218:TKU393219 TUQ393218:TUQ393219 UEM393218:UEM393219 UOI393218:UOI393219 UYE393218:UYE393219 VIA393218:VIA393219 VRW393218:VRW393219 WBS393218:WBS393219 WLO393218:WLO393219 WVK393218:WVK393219 C458754:C458755 IY458754:IY458755 SU458754:SU458755 ACQ458754:ACQ458755 AMM458754:AMM458755 AWI458754:AWI458755 BGE458754:BGE458755 BQA458754:BQA458755 BZW458754:BZW458755 CJS458754:CJS458755 CTO458754:CTO458755 DDK458754:DDK458755 DNG458754:DNG458755 DXC458754:DXC458755 EGY458754:EGY458755 EQU458754:EQU458755 FAQ458754:FAQ458755 FKM458754:FKM458755 FUI458754:FUI458755 GEE458754:GEE458755 GOA458754:GOA458755 GXW458754:GXW458755 HHS458754:HHS458755 HRO458754:HRO458755 IBK458754:IBK458755 ILG458754:ILG458755 IVC458754:IVC458755 JEY458754:JEY458755 JOU458754:JOU458755 JYQ458754:JYQ458755 KIM458754:KIM458755 KSI458754:KSI458755 LCE458754:LCE458755 LMA458754:LMA458755 LVW458754:LVW458755 MFS458754:MFS458755 MPO458754:MPO458755 MZK458754:MZK458755 NJG458754:NJG458755 NTC458754:NTC458755 OCY458754:OCY458755 OMU458754:OMU458755 OWQ458754:OWQ458755 PGM458754:PGM458755 PQI458754:PQI458755 QAE458754:QAE458755 QKA458754:QKA458755 QTW458754:QTW458755 RDS458754:RDS458755 RNO458754:RNO458755 RXK458754:RXK458755 SHG458754:SHG458755 SRC458754:SRC458755 TAY458754:TAY458755 TKU458754:TKU458755 TUQ458754:TUQ458755 UEM458754:UEM458755 UOI458754:UOI458755 UYE458754:UYE458755 VIA458754:VIA458755 VRW458754:VRW458755 WBS458754:WBS458755 WLO458754:WLO458755 WVK458754:WVK458755 C524290:C524291 IY524290:IY524291 SU524290:SU524291 ACQ524290:ACQ524291 AMM524290:AMM524291 AWI524290:AWI524291 BGE524290:BGE524291 BQA524290:BQA524291 BZW524290:BZW524291 CJS524290:CJS524291 CTO524290:CTO524291 DDK524290:DDK524291 DNG524290:DNG524291 DXC524290:DXC524291 EGY524290:EGY524291 EQU524290:EQU524291 FAQ524290:FAQ524291 FKM524290:FKM524291 FUI524290:FUI524291 GEE524290:GEE524291 GOA524290:GOA524291 GXW524290:GXW524291 HHS524290:HHS524291 HRO524290:HRO524291 IBK524290:IBK524291 ILG524290:ILG524291 IVC524290:IVC524291 JEY524290:JEY524291 JOU524290:JOU524291 JYQ524290:JYQ524291 KIM524290:KIM524291 KSI524290:KSI524291 LCE524290:LCE524291 LMA524290:LMA524291 LVW524290:LVW524291 MFS524290:MFS524291 MPO524290:MPO524291 MZK524290:MZK524291 NJG524290:NJG524291 NTC524290:NTC524291 OCY524290:OCY524291 OMU524290:OMU524291 OWQ524290:OWQ524291 PGM524290:PGM524291 PQI524290:PQI524291 QAE524290:QAE524291 QKA524290:QKA524291 QTW524290:QTW524291 RDS524290:RDS524291 RNO524290:RNO524291 RXK524290:RXK524291 SHG524290:SHG524291 SRC524290:SRC524291 TAY524290:TAY524291 TKU524290:TKU524291 TUQ524290:TUQ524291 UEM524290:UEM524291 UOI524290:UOI524291 UYE524290:UYE524291 VIA524290:VIA524291 VRW524290:VRW524291 WBS524290:WBS524291 WLO524290:WLO524291 WVK524290:WVK524291 C589826:C589827 IY589826:IY589827 SU589826:SU589827 ACQ589826:ACQ589827 AMM589826:AMM589827 AWI589826:AWI589827 BGE589826:BGE589827 BQA589826:BQA589827 BZW589826:BZW589827 CJS589826:CJS589827 CTO589826:CTO589827 DDK589826:DDK589827 DNG589826:DNG589827 DXC589826:DXC589827 EGY589826:EGY589827 EQU589826:EQU589827 FAQ589826:FAQ589827 FKM589826:FKM589827 FUI589826:FUI589827 GEE589826:GEE589827 GOA589826:GOA589827 GXW589826:GXW589827 HHS589826:HHS589827 HRO589826:HRO589827 IBK589826:IBK589827 ILG589826:ILG589827 IVC589826:IVC589827 JEY589826:JEY589827 JOU589826:JOU589827 JYQ589826:JYQ589827 KIM589826:KIM589827 KSI589826:KSI589827 LCE589826:LCE589827 LMA589826:LMA589827 LVW589826:LVW589827 MFS589826:MFS589827 MPO589826:MPO589827 MZK589826:MZK589827 NJG589826:NJG589827 NTC589826:NTC589827 OCY589826:OCY589827 OMU589826:OMU589827 OWQ589826:OWQ589827 PGM589826:PGM589827 PQI589826:PQI589827 QAE589826:QAE589827 QKA589826:QKA589827 QTW589826:QTW589827 RDS589826:RDS589827 RNO589826:RNO589827 RXK589826:RXK589827 SHG589826:SHG589827 SRC589826:SRC589827 TAY589826:TAY589827 TKU589826:TKU589827 TUQ589826:TUQ589827 UEM589826:UEM589827 UOI589826:UOI589827 UYE589826:UYE589827 VIA589826:VIA589827 VRW589826:VRW589827 WBS589826:WBS589827 WLO589826:WLO589827 WVK589826:WVK589827 C655362:C655363 IY655362:IY655363 SU655362:SU655363 ACQ655362:ACQ655363 AMM655362:AMM655363 AWI655362:AWI655363 BGE655362:BGE655363 BQA655362:BQA655363 BZW655362:BZW655363 CJS655362:CJS655363 CTO655362:CTO655363 DDK655362:DDK655363 DNG655362:DNG655363 DXC655362:DXC655363 EGY655362:EGY655363 EQU655362:EQU655363 FAQ655362:FAQ655363 FKM655362:FKM655363 FUI655362:FUI655363 GEE655362:GEE655363 GOA655362:GOA655363 GXW655362:GXW655363 HHS655362:HHS655363 HRO655362:HRO655363 IBK655362:IBK655363 ILG655362:ILG655363 IVC655362:IVC655363 JEY655362:JEY655363 JOU655362:JOU655363 JYQ655362:JYQ655363 KIM655362:KIM655363 KSI655362:KSI655363 LCE655362:LCE655363 LMA655362:LMA655363 LVW655362:LVW655363 MFS655362:MFS655363 MPO655362:MPO655363 MZK655362:MZK655363 NJG655362:NJG655363 NTC655362:NTC655363 OCY655362:OCY655363 OMU655362:OMU655363 OWQ655362:OWQ655363 PGM655362:PGM655363 PQI655362:PQI655363 QAE655362:QAE655363 QKA655362:QKA655363 QTW655362:QTW655363 RDS655362:RDS655363 RNO655362:RNO655363 RXK655362:RXK655363 SHG655362:SHG655363 SRC655362:SRC655363 TAY655362:TAY655363 TKU655362:TKU655363 TUQ655362:TUQ655363 UEM655362:UEM655363 UOI655362:UOI655363 UYE655362:UYE655363 VIA655362:VIA655363 VRW655362:VRW655363 WBS655362:WBS655363 WLO655362:WLO655363 WVK655362:WVK655363 C720898:C720899 IY720898:IY720899 SU720898:SU720899 ACQ720898:ACQ720899 AMM720898:AMM720899 AWI720898:AWI720899 BGE720898:BGE720899 BQA720898:BQA720899 BZW720898:BZW720899 CJS720898:CJS720899 CTO720898:CTO720899 DDK720898:DDK720899 DNG720898:DNG720899 DXC720898:DXC720899 EGY720898:EGY720899 EQU720898:EQU720899 FAQ720898:FAQ720899 FKM720898:FKM720899 FUI720898:FUI720899 GEE720898:GEE720899 GOA720898:GOA720899 GXW720898:GXW720899 HHS720898:HHS720899 HRO720898:HRO720899 IBK720898:IBK720899 ILG720898:ILG720899 IVC720898:IVC720899 JEY720898:JEY720899 JOU720898:JOU720899 JYQ720898:JYQ720899 KIM720898:KIM720899 KSI720898:KSI720899 LCE720898:LCE720899 LMA720898:LMA720899 LVW720898:LVW720899 MFS720898:MFS720899 MPO720898:MPO720899 MZK720898:MZK720899 NJG720898:NJG720899 NTC720898:NTC720899 OCY720898:OCY720899 OMU720898:OMU720899 OWQ720898:OWQ720899 PGM720898:PGM720899 PQI720898:PQI720899 QAE720898:QAE720899 QKA720898:QKA720899 QTW720898:QTW720899 RDS720898:RDS720899 RNO720898:RNO720899 RXK720898:RXK720899 SHG720898:SHG720899 SRC720898:SRC720899 TAY720898:TAY720899 TKU720898:TKU720899 TUQ720898:TUQ720899 UEM720898:UEM720899 UOI720898:UOI720899 UYE720898:UYE720899 VIA720898:VIA720899 VRW720898:VRW720899 WBS720898:WBS720899 WLO720898:WLO720899 WVK720898:WVK720899 C786434:C786435 IY786434:IY786435 SU786434:SU786435 ACQ786434:ACQ786435 AMM786434:AMM786435 AWI786434:AWI786435 BGE786434:BGE786435 BQA786434:BQA786435 BZW786434:BZW786435 CJS786434:CJS786435 CTO786434:CTO786435 DDK786434:DDK786435 DNG786434:DNG786435 DXC786434:DXC786435 EGY786434:EGY786435 EQU786434:EQU786435 FAQ786434:FAQ786435 FKM786434:FKM786435 FUI786434:FUI786435 GEE786434:GEE786435 GOA786434:GOA786435 GXW786434:GXW786435 HHS786434:HHS786435 HRO786434:HRO786435 IBK786434:IBK786435 ILG786434:ILG786435 IVC786434:IVC786435 JEY786434:JEY786435 JOU786434:JOU786435 JYQ786434:JYQ786435 KIM786434:KIM786435 KSI786434:KSI786435 LCE786434:LCE786435 LMA786434:LMA786435 LVW786434:LVW786435 MFS786434:MFS786435 MPO786434:MPO786435 MZK786434:MZK786435 NJG786434:NJG786435 NTC786434:NTC786435 OCY786434:OCY786435 OMU786434:OMU786435 OWQ786434:OWQ786435 PGM786434:PGM786435 PQI786434:PQI786435 QAE786434:QAE786435 QKA786434:QKA786435 QTW786434:QTW786435 RDS786434:RDS786435 RNO786434:RNO786435 RXK786434:RXK786435 SHG786434:SHG786435 SRC786434:SRC786435 TAY786434:TAY786435 TKU786434:TKU786435 TUQ786434:TUQ786435 UEM786434:UEM786435 UOI786434:UOI786435 UYE786434:UYE786435 VIA786434:VIA786435 VRW786434:VRW786435 WBS786434:WBS786435 WLO786434:WLO786435 WVK786434:WVK786435 C851970:C851971 IY851970:IY851971 SU851970:SU851971 ACQ851970:ACQ851971 AMM851970:AMM851971 AWI851970:AWI851971 BGE851970:BGE851971 BQA851970:BQA851971 BZW851970:BZW851971 CJS851970:CJS851971 CTO851970:CTO851971 DDK851970:DDK851971 DNG851970:DNG851971 DXC851970:DXC851971 EGY851970:EGY851971 EQU851970:EQU851971 FAQ851970:FAQ851971 FKM851970:FKM851971 FUI851970:FUI851971 GEE851970:GEE851971 GOA851970:GOA851971 GXW851970:GXW851971 HHS851970:HHS851971 HRO851970:HRO851971 IBK851970:IBK851971 ILG851970:ILG851971 IVC851970:IVC851971 JEY851970:JEY851971 JOU851970:JOU851971 JYQ851970:JYQ851971 KIM851970:KIM851971 KSI851970:KSI851971 LCE851970:LCE851971 LMA851970:LMA851971 LVW851970:LVW851971 MFS851970:MFS851971 MPO851970:MPO851971 MZK851970:MZK851971 NJG851970:NJG851971 NTC851970:NTC851971 OCY851970:OCY851971 OMU851970:OMU851971 OWQ851970:OWQ851971 PGM851970:PGM851971 PQI851970:PQI851971 QAE851970:QAE851971 QKA851970:QKA851971 QTW851970:QTW851971 RDS851970:RDS851971 RNO851970:RNO851971 RXK851970:RXK851971 SHG851970:SHG851971 SRC851970:SRC851971 TAY851970:TAY851971 TKU851970:TKU851971 TUQ851970:TUQ851971 UEM851970:UEM851971 UOI851970:UOI851971 UYE851970:UYE851971 VIA851970:VIA851971 VRW851970:VRW851971 WBS851970:WBS851971 WLO851970:WLO851971 WVK851970:WVK851971 C917506:C917507 IY917506:IY917507 SU917506:SU917507 ACQ917506:ACQ917507 AMM917506:AMM917507 AWI917506:AWI917507 BGE917506:BGE917507 BQA917506:BQA917507 BZW917506:BZW917507 CJS917506:CJS917507 CTO917506:CTO917507 DDK917506:DDK917507 DNG917506:DNG917507 DXC917506:DXC917507 EGY917506:EGY917507 EQU917506:EQU917507 FAQ917506:FAQ917507 FKM917506:FKM917507 FUI917506:FUI917507 GEE917506:GEE917507 GOA917506:GOA917507 GXW917506:GXW917507 HHS917506:HHS917507 HRO917506:HRO917507 IBK917506:IBK917507 ILG917506:ILG917507 IVC917506:IVC917507 JEY917506:JEY917507 JOU917506:JOU917507 JYQ917506:JYQ917507 KIM917506:KIM917507 KSI917506:KSI917507 LCE917506:LCE917507 LMA917506:LMA917507 LVW917506:LVW917507 MFS917506:MFS917507 MPO917506:MPO917507 MZK917506:MZK917507 NJG917506:NJG917507 NTC917506:NTC917507 OCY917506:OCY917507 OMU917506:OMU917507 OWQ917506:OWQ917507 PGM917506:PGM917507 PQI917506:PQI917507 QAE917506:QAE917507 QKA917506:QKA917507 QTW917506:QTW917507 RDS917506:RDS917507 RNO917506:RNO917507 RXK917506:RXK917507 SHG917506:SHG917507 SRC917506:SRC917507 TAY917506:TAY917507 TKU917506:TKU917507 TUQ917506:TUQ917507 UEM917506:UEM917507 UOI917506:UOI917507 UYE917506:UYE917507 VIA917506:VIA917507 VRW917506:VRW917507 WBS917506:WBS917507 WLO917506:WLO917507 WVK917506:WVK917507 C983042:C983043 IY983042:IY983043 SU983042:SU983043 ACQ983042:ACQ983043 AMM983042:AMM983043 AWI983042:AWI983043 BGE983042:BGE983043 BQA983042:BQA983043 BZW983042:BZW983043 CJS983042:CJS983043 CTO983042:CTO983043 DDK983042:DDK983043 DNG983042:DNG983043 DXC983042:DXC983043 EGY983042:EGY983043 EQU983042:EQU983043 FAQ983042:FAQ983043 FKM983042:FKM983043 FUI983042:FUI983043 GEE983042:GEE983043 GOA983042:GOA983043 GXW983042:GXW983043 HHS983042:HHS983043 HRO983042:HRO983043 IBK983042:IBK983043 ILG983042:ILG983043 IVC983042:IVC983043 JEY983042:JEY983043 JOU983042:JOU983043 JYQ983042:JYQ983043 KIM983042:KIM983043 KSI983042:KSI983043 LCE983042:LCE983043 LMA983042:LMA983043 LVW983042:LVW983043 MFS983042:MFS983043 MPO983042:MPO983043 MZK983042:MZK983043 NJG983042:NJG983043 NTC983042:NTC983043 OCY983042:OCY983043 OMU983042:OMU983043 OWQ983042:OWQ983043 PGM983042:PGM983043 PQI983042:PQI983043 QAE983042:QAE983043 QKA983042:QKA983043 QTW983042:QTW983043 RDS983042:RDS983043 RNO983042:RNO983043 RXK983042:RXK983043 SHG983042:SHG983043 SRC983042:SRC983043 TAY983042:TAY983043 TKU983042:TKU983043 TUQ983042:TUQ983043 UEM983042:UEM983043 UOI983042:UOI983043 UYE983042:UYE983043 VIA983042:VIA983043 VRW983042:VRW983043 WBS983042:WBS983043 WLO983042:WLO983043 WVK983042:WVK983043"/>
    <dataValidation allowBlank="1" showInputMessage="1" showErrorMessage="1" prompt="Nombre genérico del programa/proyecto." sqref="B2:B3 IX2:IX3 ST2:ST3 ACP2:ACP3 AML2:AML3 AWH2:AWH3 BGD2:BGD3 BPZ2:BPZ3 BZV2:BZV3 CJR2:CJR3 CTN2:CTN3 DDJ2:DDJ3 DNF2:DNF3 DXB2:DXB3 EGX2:EGX3 EQT2:EQT3 FAP2:FAP3 FKL2:FKL3 FUH2:FUH3 GED2:GED3 GNZ2:GNZ3 GXV2:GXV3 HHR2:HHR3 HRN2:HRN3 IBJ2:IBJ3 ILF2:ILF3 IVB2:IVB3 JEX2:JEX3 JOT2:JOT3 JYP2:JYP3 KIL2:KIL3 KSH2:KSH3 LCD2:LCD3 LLZ2:LLZ3 LVV2:LVV3 MFR2:MFR3 MPN2:MPN3 MZJ2:MZJ3 NJF2:NJF3 NTB2:NTB3 OCX2:OCX3 OMT2:OMT3 OWP2:OWP3 PGL2:PGL3 PQH2:PQH3 QAD2:QAD3 QJZ2:QJZ3 QTV2:QTV3 RDR2:RDR3 RNN2:RNN3 RXJ2:RXJ3 SHF2:SHF3 SRB2:SRB3 TAX2:TAX3 TKT2:TKT3 TUP2:TUP3 UEL2:UEL3 UOH2:UOH3 UYD2:UYD3 VHZ2:VHZ3 VRV2:VRV3 WBR2:WBR3 WLN2:WLN3 WVJ2:WVJ3 B65538:B65539 IX65538:IX65539 ST65538:ST65539 ACP65538:ACP65539 AML65538:AML65539 AWH65538:AWH65539 BGD65538:BGD65539 BPZ65538:BPZ65539 BZV65538:BZV65539 CJR65538:CJR65539 CTN65538:CTN65539 DDJ65538:DDJ65539 DNF65538:DNF65539 DXB65538:DXB65539 EGX65538:EGX65539 EQT65538:EQT65539 FAP65538:FAP65539 FKL65538:FKL65539 FUH65538:FUH65539 GED65538:GED65539 GNZ65538:GNZ65539 GXV65538:GXV65539 HHR65538:HHR65539 HRN65538:HRN65539 IBJ65538:IBJ65539 ILF65538:ILF65539 IVB65538:IVB65539 JEX65538:JEX65539 JOT65538:JOT65539 JYP65538:JYP65539 KIL65538:KIL65539 KSH65538:KSH65539 LCD65538:LCD65539 LLZ65538:LLZ65539 LVV65538:LVV65539 MFR65538:MFR65539 MPN65538:MPN65539 MZJ65538:MZJ65539 NJF65538:NJF65539 NTB65538:NTB65539 OCX65538:OCX65539 OMT65538:OMT65539 OWP65538:OWP65539 PGL65538:PGL65539 PQH65538:PQH65539 QAD65538:QAD65539 QJZ65538:QJZ65539 QTV65538:QTV65539 RDR65538:RDR65539 RNN65538:RNN65539 RXJ65538:RXJ65539 SHF65538:SHF65539 SRB65538:SRB65539 TAX65538:TAX65539 TKT65538:TKT65539 TUP65538:TUP65539 UEL65538:UEL65539 UOH65538:UOH65539 UYD65538:UYD65539 VHZ65538:VHZ65539 VRV65538:VRV65539 WBR65538:WBR65539 WLN65538:WLN65539 WVJ65538:WVJ65539 B131074:B131075 IX131074:IX131075 ST131074:ST131075 ACP131074:ACP131075 AML131074:AML131075 AWH131074:AWH131075 BGD131074:BGD131075 BPZ131074:BPZ131075 BZV131074:BZV131075 CJR131074:CJR131075 CTN131074:CTN131075 DDJ131074:DDJ131075 DNF131074:DNF131075 DXB131074:DXB131075 EGX131074:EGX131075 EQT131074:EQT131075 FAP131074:FAP131075 FKL131074:FKL131075 FUH131074:FUH131075 GED131074:GED131075 GNZ131074:GNZ131075 GXV131074:GXV131075 HHR131074:HHR131075 HRN131074:HRN131075 IBJ131074:IBJ131075 ILF131074:ILF131075 IVB131074:IVB131075 JEX131074:JEX131075 JOT131074:JOT131075 JYP131074:JYP131075 KIL131074:KIL131075 KSH131074:KSH131075 LCD131074:LCD131075 LLZ131074:LLZ131075 LVV131074:LVV131075 MFR131074:MFR131075 MPN131074:MPN131075 MZJ131074:MZJ131075 NJF131074:NJF131075 NTB131074:NTB131075 OCX131074:OCX131075 OMT131074:OMT131075 OWP131074:OWP131075 PGL131074:PGL131075 PQH131074:PQH131075 QAD131074:QAD131075 QJZ131074:QJZ131075 QTV131074:QTV131075 RDR131074:RDR131075 RNN131074:RNN131075 RXJ131074:RXJ131075 SHF131074:SHF131075 SRB131074:SRB131075 TAX131074:TAX131075 TKT131074:TKT131075 TUP131074:TUP131075 UEL131074:UEL131075 UOH131074:UOH131075 UYD131074:UYD131075 VHZ131074:VHZ131075 VRV131074:VRV131075 WBR131074:WBR131075 WLN131074:WLN131075 WVJ131074:WVJ131075 B196610:B196611 IX196610:IX196611 ST196610:ST196611 ACP196610:ACP196611 AML196610:AML196611 AWH196610:AWH196611 BGD196610:BGD196611 BPZ196610:BPZ196611 BZV196610:BZV196611 CJR196610:CJR196611 CTN196610:CTN196611 DDJ196610:DDJ196611 DNF196610:DNF196611 DXB196610:DXB196611 EGX196610:EGX196611 EQT196610:EQT196611 FAP196610:FAP196611 FKL196610:FKL196611 FUH196610:FUH196611 GED196610:GED196611 GNZ196610:GNZ196611 GXV196610:GXV196611 HHR196610:HHR196611 HRN196610:HRN196611 IBJ196610:IBJ196611 ILF196610:ILF196611 IVB196610:IVB196611 JEX196610:JEX196611 JOT196610:JOT196611 JYP196610:JYP196611 KIL196610:KIL196611 KSH196610:KSH196611 LCD196610:LCD196611 LLZ196610:LLZ196611 LVV196610:LVV196611 MFR196610:MFR196611 MPN196610:MPN196611 MZJ196610:MZJ196611 NJF196610:NJF196611 NTB196610:NTB196611 OCX196610:OCX196611 OMT196610:OMT196611 OWP196610:OWP196611 PGL196610:PGL196611 PQH196610:PQH196611 QAD196610:QAD196611 QJZ196610:QJZ196611 QTV196610:QTV196611 RDR196610:RDR196611 RNN196610:RNN196611 RXJ196610:RXJ196611 SHF196610:SHF196611 SRB196610:SRB196611 TAX196610:TAX196611 TKT196610:TKT196611 TUP196610:TUP196611 UEL196610:UEL196611 UOH196610:UOH196611 UYD196610:UYD196611 VHZ196610:VHZ196611 VRV196610:VRV196611 WBR196610:WBR196611 WLN196610:WLN196611 WVJ196610:WVJ196611 B262146:B262147 IX262146:IX262147 ST262146:ST262147 ACP262146:ACP262147 AML262146:AML262147 AWH262146:AWH262147 BGD262146:BGD262147 BPZ262146:BPZ262147 BZV262146:BZV262147 CJR262146:CJR262147 CTN262146:CTN262147 DDJ262146:DDJ262147 DNF262146:DNF262147 DXB262146:DXB262147 EGX262146:EGX262147 EQT262146:EQT262147 FAP262146:FAP262147 FKL262146:FKL262147 FUH262146:FUH262147 GED262146:GED262147 GNZ262146:GNZ262147 GXV262146:GXV262147 HHR262146:HHR262147 HRN262146:HRN262147 IBJ262146:IBJ262147 ILF262146:ILF262147 IVB262146:IVB262147 JEX262146:JEX262147 JOT262146:JOT262147 JYP262146:JYP262147 KIL262146:KIL262147 KSH262146:KSH262147 LCD262146:LCD262147 LLZ262146:LLZ262147 LVV262146:LVV262147 MFR262146:MFR262147 MPN262146:MPN262147 MZJ262146:MZJ262147 NJF262146:NJF262147 NTB262146:NTB262147 OCX262146:OCX262147 OMT262146:OMT262147 OWP262146:OWP262147 PGL262146:PGL262147 PQH262146:PQH262147 QAD262146:QAD262147 QJZ262146:QJZ262147 QTV262146:QTV262147 RDR262146:RDR262147 RNN262146:RNN262147 RXJ262146:RXJ262147 SHF262146:SHF262147 SRB262146:SRB262147 TAX262146:TAX262147 TKT262146:TKT262147 TUP262146:TUP262147 UEL262146:UEL262147 UOH262146:UOH262147 UYD262146:UYD262147 VHZ262146:VHZ262147 VRV262146:VRV262147 WBR262146:WBR262147 WLN262146:WLN262147 WVJ262146:WVJ262147 B327682:B327683 IX327682:IX327683 ST327682:ST327683 ACP327682:ACP327683 AML327682:AML327683 AWH327682:AWH327683 BGD327682:BGD327683 BPZ327682:BPZ327683 BZV327682:BZV327683 CJR327682:CJR327683 CTN327682:CTN327683 DDJ327682:DDJ327683 DNF327682:DNF327683 DXB327682:DXB327683 EGX327682:EGX327683 EQT327682:EQT327683 FAP327682:FAP327683 FKL327682:FKL327683 FUH327682:FUH327683 GED327682:GED327683 GNZ327682:GNZ327683 GXV327682:GXV327683 HHR327682:HHR327683 HRN327682:HRN327683 IBJ327682:IBJ327683 ILF327682:ILF327683 IVB327682:IVB327683 JEX327682:JEX327683 JOT327682:JOT327683 JYP327682:JYP327683 KIL327682:KIL327683 KSH327682:KSH327683 LCD327682:LCD327683 LLZ327682:LLZ327683 LVV327682:LVV327683 MFR327682:MFR327683 MPN327682:MPN327683 MZJ327682:MZJ327683 NJF327682:NJF327683 NTB327682:NTB327683 OCX327682:OCX327683 OMT327682:OMT327683 OWP327682:OWP327683 PGL327682:PGL327683 PQH327682:PQH327683 QAD327682:QAD327683 QJZ327682:QJZ327683 QTV327682:QTV327683 RDR327682:RDR327683 RNN327682:RNN327683 RXJ327682:RXJ327683 SHF327682:SHF327683 SRB327682:SRB327683 TAX327682:TAX327683 TKT327682:TKT327683 TUP327682:TUP327683 UEL327682:UEL327683 UOH327682:UOH327683 UYD327682:UYD327683 VHZ327682:VHZ327683 VRV327682:VRV327683 WBR327682:WBR327683 WLN327682:WLN327683 WVJ327682:WVJ327683 B393218:B393219 IX393218:IX393219 ST393218:ST393219 ACP393218:ACP393219 AML393218:AML393219 AWH393218:AWH393219 BGD393218:BGD393219 BPZ393218:BPZ393219 BZV393218:BZV393219 CJR393218:CJR393219 CTN393218:CTN393219 DDJ393218:DDJ393219 DNF393218:DNF393219 DXB393218:DXB393219 EGX393218:EGX393219 EQT393218:EQT393219 FAP393218:FAP393219 FKL393218:FKL393219 FUH393218:FUH393219 GED393218:GED393219 GNZ393218:GNZ393219 GXV393218:GXV393219 HHR393218:HHR393219 HRN393218:HRN393219 IBJ393218:IBJ393219 ILF393218:ILF393219 IVB393218:IVB393219 JEX393218:JEX393219 JOT393218:JOT393219 JYP393218:JYP393219 KIL393218:KIL393219 KSH393218:KSH393219 LCD393218:LCD393219 LLZ393218:LLZ393219 LVV393218:LVV393219 MFR393218:MFR393219 MPN393218:MPN393219 MZJ393218:MZJ393219 NJF393218:NJF393219 NTB393218:NTB393219 OCX393218:OCX393219 OMT393218:OMT393219 OWP393218:OWP393219 PGL393218:PGL393219 PQH393218:PQH393219 QAD393218:QAD393219 QJZ393218:QJZ393219 QTV393218:QTV393219 RDR393218:RDR393219 RNN393218:RNN393219 RXJ393218:RXJ393219 SHF393218:SHF393219 SRB393218:SRB393219 TAX393218:TAX393219 TKT393218:TKT393219 TUP393218:TUP393219 UEL393218:UEL393219 UOH393218:UOH393219 UYD393218:UYD393219 VHZ393218:VHZ393219 VRV393218:VRV393219 WBR393218:WBR393219 WLN393218:WLN393219 WVJ393218:WVJ393219 B458754:B458755 IX458754:IX458755 ST458754:ST458755 ACP458754:ACP458755 AML458754:AML458755 AWH458754:AWH458755 BGD458754:BGD458755 BPZ458754:BPZ458755 BZV458754:BZV458755 CJR458754:CJR458755 CTN458754:CTN458755 DDJ458754:DDJ458755 DNF458754:DNF458755 DXB458754:DXB458755 EGX458754:EGX458755 EQT458754:EQT458755 FAP458754:FAP458755 FKL458754:FKL458755 FUH458754:FUH458755 GED458754:GED458755 GNZ458754:GNZ458755 GXV458754:GXV458755 HHR458754:HHR458755 HRN458754:HRN458755 IBJ458754:IBJ458755 ILF458754:ILF458755 IVB458754:IVB458755 JEX458754:JEX458755 JOT458754:JOT458755 JYP458754:JYP458755 KIL458754:KIL458755 KSH458754:KSH458755 LCD458754:LCD458755 LLZ458754:LLZ458755 LVV458754:LVV458755 MFR458754:MFR458755 MPN458754:MPN458755 MZJ458754:MZJ458755 NJF458754:NJF458755 NTB458754:NTB458755 OCX458754:OCX458755 OMT458754:OMT458755 OWP458754:OWP458755 PGL458754:PGL458755 PQH458754:PQH458755 QAD458754:QAD458755 QJZ458754:QJZ458755 QTV458754:QTV458755 RDR458754:RDR458755 RNN458754:RNN458755 RXJ458754:RXJ458755 SHF458754:SHF458755 SRB458754:SRB458755 TAX458754:TAX458755 TKT458754:TKT458755 TUP458754:TUP458755 UEL458754:UEL458755 UOH458754:UOH458755 UYD458754:UYD458755 VHZ458754:VHZ458755 VRV458754:VRV458755 WBR458754:WBR458755 WLN458754:WLN458755 WVJ458754:WVJ458755 B524290:B524291 IX524290:IX524291 ST524290:ST524291 ACP524290:ACP524291 AML524290:AML524291 AWH524290:AWH524291 BGD524290:BGD524291 BPZ524290:BPZ524291 BZV524290:BZV524291 CJR524290:CJR524291 CTN524290:CTN524291 DDJ524290:DDJ524291 DNF524290:DNF524291 DXB524290:DXB524291 EGX524290:EGX524291 EQT524290:EQT524291 FAP524290:FAP524291 FKL524290:FKL524291 FUH524290:FUH524291 GED524290:GED524291 GNZ524290:GNZ524291 GXV524290:GXV524291 HHR524290:HHR524291 HRN524290:HRN524291 IBJ524290:IBJ524291 ILF524290:ILF524291 IVB524290:IVB524291 JEX524290:JEX524291 JOT524290:JOT524291 JYP524290:JYP524291 KIL524290:KIL524291 KSH524290:KSH524291 LCD524290:LCD524291 LLZ524290:LLZ524291 LVV524290:LVV524291 MFR524290:MFR524291 MPN524290:MPN524291 MZJ524290:MZJ524291 NJF524290:NJF524291 NTB524290:NTB524291 OCX524290:OCX524291 OMT524290:OMT524291 OWP524290:OWP524291 PGL524290:PGL524291 PQH524290:PQH524291 QAD524290:QAD524291 QJZ524290:QJZ524291 QTV524290:QTV524291 RDR524290:RDR524291 RNN524290:RNN524291 RXJ524290:RXJ524291 SHF524290:SHF524291 SRB524290:SRB524291 TAX524290:TAX524291 TKT524290:TKT524291 TUP524290:TUP524291 UEL524290:UEL524291 UOH524290:UOH524291 UYD524290:UYD524291 VHZ524290:VHZ524291 VRV524290:VRV524291 WBR524290:WBR524291 WLN524290:WLN524291 WVJ524290:WVJ524291 B589826:B589827 IX589826:IX589827 ST589826:ST589827 ACP589826:ACP589827 AML589826:AML589827 AWH589826:AWH589827 BGD589826:BGD589827 BPZ589826:BPZ589827 BZV589826:BZV589827 CJR589826:CJR589827 CTN589826:CTN589827 DDJ589826:DDJ589827 DNF589826:DNF589827 DXB589826:DXB589827 EGX589826:EGX589827 EQT589826:EQT589827 FAP589826:FAP589827 FKL589826:FKL589827 FUH589826:FUH589827 GED589826:GED589827 GNZ589826:GNZ589827 GXV589826:GXV589827 HHR589826:HHR589827 HRN589826:HRN589827 IBJ589826:IBJ589827 ILF589826:ILF589827 IVB589826:IVB589827 JEX589826:JEX589827 JOT589826:JOT589827 JYP589826:JYP589827 KIL589826:KIL589827 KSH589826:KSH589827 LCD589826:LCD589827 LLZ589826:LLZ589827 LVV589826:LVV589827 MFR589826:MFR589827 MPN589826:MPN589827 MZJ589826:MZJ589827 NJF589826:NJF589827 NTB589826:NTB589827 OCX589826:OCX589827 OMT589826:OMT589827 OWP589826:OWP589827 PGL589826:PGL589827 PQH589826:PQH589827 QAD589826:QAD589827 QJZ589826:QJZ589827 QTV589826:QTV589827 RDR589826:RDR589827 RNN589826:RNN589827 RXJ589826:RXJ589827 SHF589826:SHF589827 SRB589826:SRB589827 TAX589826:TAX589827 TKT589826:TKT589827 TUP589826:TUP589827 UEL589826:UEL589827 UOH589826:UOH589827 UYD589826:UYD589827 VHZ589826:VHZ589827 VRV589826:VRV589827 WBR589826:WBR589827 WLN589826:WLN589827 WVJ589826:WVJ589827 B655362:B655363 IX655362:IX655363 ST655362:ST655363 ACP655362:ACP655363 AML655362:AML655363 AWH655362:AWH655363 BGD655362:BGD655363 BPZ655362:BPZ655363 BZV655362:BZV655363 CJR655362:CJR655363 CTN655362:CTN655363 DDJ655362:DDJ655363 DNF655362:DNF655363 DXB655362:DXB655363 EGX655362:EGX655363 EQT655362:EQT655363 FAP655362:FAP655363 FKL655362:FKL655363 FUH655362:FUH655363 GED655362:GED655363 GNZ655362:GNZ655363 GXV655362:GXV655363 HHR655362:HHR655363 HRN655362:HRN655363 IBJ655362:IBJ655363 ILF655362:ILF655363 IVB655362:IVB655363 JEX655362:JEX655363 JOT655362:JOT655363 JYP655362:JYP655363 KIL655362:KIL655363 KSH655362:KSH655363 LCD655362:LCD655363 LLZ655362:LLZ655363 LVV655362:LVV655363 MFR655362:MFR655363 MPN655362:MPN655363 MZJ655362:MZJ655363 NJF655362:NJF655363 NTB655362:NTB655363 OCX655362:OCX655363 OMT655362:OMT655363 OWP655362:OWP655363 PGL655362:PGL655363 PQH655362:PQH655363 QAD655362:QAD655363 QJZ655362:QJZ655363 QTV655362:QTV655363 RDR655362:RDR655363 RNN655362:RNN655363 RXJ655362:RXJ655363 SHF655362:SHF655363 SRB655362:SRB655363 TAX655362:TAX655363 TKT655362:TKT655363 TUP655362:TUP655363 UEL655362:UEL655363 UOH655362:UOH655363 UYD655362:UYD655363 VHZ655362:VHZ655363 VRV655362:VRV655363 WBR655362:WBR655363 WLN655362:WLN655363 WVJ655362:WVJ655363 B720898:B720899 IX720898:IX720899 ST720898:ST720899 ACP720898:ACP720899 AML720898:AML720899 AWH720898:AWH720899 BGD720898:BGD720899 BPZ720898:BPZ720899 BZV720898:BZV720899 CJR720898:CJR720899 CTN720898:CTN720899 DDJ720898:DDJ720899 DNF720898:DNF720899 DXB720898:DXB720899 EGX720898:EGX720899 EQT720898:EQT720899 FAP720898:FAP720899 FKL720898:FKL720899 FUH720898:FUH720899 GED720898:GED720899 GNZ720898:GNZ720899 GXV720898:GXV720899 HHR720898:HHR720899 HRN720898:HRN720899 IBJ720898:IBJ720899 ILF720898:ILF720899 IVB720898:IVB720899 JEX720898:JEX720899 JOT720898:JOT720899 JYP720898:JYP720899 KIL720898:KIL720899 KSH720898:KSH720899 LCD720898:LCD720899 LLZ720898:LLZ720899 LVV720898:LVV720899 MFR720898:MFR720899 MPN720898:MPN720899 MZJ720898:MZJ720899 NJF720898:NJF720899 NTB720898:NTB720899 OCX720898:OCX720899 OMT720898:OMT720899 OWP720898:OWP720899 PGL720898:PGL720899 PQH720898:PQH720899 QAD720898:QAD720899 QJZ720898:QJZ720899 QTV720898:QTV720899 RDR720898:RDR720899 RNN720898:RNN720899 RXJ720898:RXJ720899 SHF720898:SHF720899 SRB720898:SRB720899 TAX720898:TAX720899 TKT720898:TKT720899 TUP720898:TUP720899 UEL720898:UEL720899 UOH720898:UOH720899 UYD720898:UYD720899 VHZ720898:VHZ720899 VRV720898:VRV720899 WBR720898:WBR720899 WLN720898:WLN720899 WVJ720898:WVJ720899 B786434:B786435 IX786434:IX786435 ST786434:ST786435 ACP786434:ACP786435 AML786434:AML786435 AWH786434:AWH786435 BGD786434:BGD786435 BPZ786434:BPZ786435 BZV786434:BZV786435 CJR786434:CJR786435 CTN786434:CTN786435 DDJ786434:DDJ786435 DNF786434:DNF786435 DXB786434:DXB786435 EGX786434:EGX786435 EQT786434:EQT786435 FAP786434:FAP786435 FKL786434:FKL786435 FUH786434:FUH786435 GED786434:GED786435 GNZ786434:GNZ786435 GXV786434:GXV786435 HHR786434:HHR786435 HRN786434:HRN786435 IBJ786434:IBJ786435 ILF786434:ILF786435 IVB786434:IVB786435 JEX786434:JEX786435 JOT786434:JOT786435 JYP786434:JYP786435 KIL786434:KIL786435 KSH786434:KSH786435 LCD786434:LCD786435 LLZ786434:LLZ786435 LVV786434:LVV786435 MFR786434:MFR786435 MPN786434:MPN786435 MZJ786434:MZJ786435 NJF786434:NJF786435 NTB786434:NTB786435 OCX786434:OCX786435 OMT786434:OMT786435 OWP786434:OWP786435 PGL786434:PGL786435 PQH786434:PQH786435 QAD786434:QAD786435 QJZ786434:QJZ786435 QTV786434:QTV786435 RDR786434:RDR786435 RNN786434:RNN786435 RXJ786434:RXJ786435 SHF786434:SHF786435 SRB786434:SRB786435 TAX786434:TAX786435 TKT786434:TKT786435 TUP786434:TUP786435 UEL786434:UEL786435 UOH786434:UOH786435 UYD786434:UYD786435 VHZ786434:VHZ786435 VRV786434:VRV786435 WBR786434:WBR786435 WLN786434:WLN786435 WVJ786434:WVJ786435 B851970:B851971 IX851970:IX851971 ST851970:ST851971 ACP851970:ACP851971 AML851970:AML851971 AWH851970:AWH851971 BGD851970:BGD851971 BPZ851970:BPZ851971 BZV851970:BZV851971 CJR851970:CJR851971 CTN851970:CTN851971 DDJ851970:DDJ851971 DNF851970:DNF851971 DXB851970:DXB851971 EGX851970:EGX851971 EQT851970:EQT851971 FAP851970:FAP851971 FKL851970:FKL851971 FUH851970:FUH851971 GED851970:GED851971 GNZ851970:GNZ851971 GXV851970:GXV851971 HHR851970:HHR851971 HRN851970:HRN851971 IBJ851970:IBJ851971 ILF851970:ILF851971 IVB851970:IVB851971 JEX851970:JEX851971 JOT851970:JOT851971 JYP851970:JYP851971 KIL851970:KIL851971 KSH851970:KSH851971 LCD851970:LCD851971 LLZ851970:LLZ851971 LVV851970:LVV851971 MFR851970:MFR851971 MPN851970:MPN851971 MZJ851970:MZJ851971 NJF851970:NJF851971 NTB851970:NTB851971 OCX851970:OCX851971 OMT851970:OMT851971 OWP851970:OWP851971 PGL851970:PGL851971 PQH851970:PQH851971 QAD851970:QAD851971 QJZ851970:QJZ851971 QTV851970:QTV851971 RDR851970:RDR851971 RNN851970:RNN851971 RXJ851970:RXJ851971 SHF851970:SHF851971 SRB851970:SRB851971 TAX851970:TAX851971 TKT851970:TKT851971 TUP851970:TUP851971 UEL851970:UEL851971 UOH851970:UOH851971 UYD851970:UYD851971 VHZ851970:VHZ851971 VRV851970:VRV851971 WBR851970:WBR851971 WLN851970:WLN851971 WVJ851970:WVJ851971 B917506:B917507 IX917506:IX917507 ST917506:ST917507 ACP917506:ACP917507 AML917506:AML917507 AWH917506:AWH917507 BGD917506:BGD917507 BPZ917506:BPZ917507 BZV917506:BZV917507 CJR917506:CJR917507 CTN917506:CTN917507 DDJ917506:DDJ917507 DNF917506:DNF917507 DXB917506:DXB917507 EGX917506:EGX917507 EQT917506:EQT917507 FAP917506:FAP917507 FKL917506:FKL917507 FUH917506:FUH917507 GED917506:GED917507 GNZ917506:GNZ917507 GXV917506:GXV917507 HHR917506:HHR917507 HRN917506:HRN917507 IBJ917506:IBJ917507 ILF917506:ILF917507 IVB917506:IVB917507 JEX917506:JEX917507 JOT917506:JOT917507 JYP917506:JYP917507 KIL917506:KIL917507 KSH917506:KSH917507 LCD917506:LCD917507 LLZ917506:LLZ917507 LVV917506:LVV917507 MFR917506:MFR917507 MPN917506:MPN917507 MZJ917506:MZJ917507 NJF917506:NJF917507 NTB917506:NTB917507 OCX917506:OCX917507 OMT917506:OMT917507 OWP917506:OWP917507 PGL917506:PGL917507 PQH917506:PQH917507 QAD917506:QAD917507 QJZ917506:QJZ917507 QTV917506:QTV917507 RDR917506:RDR917507 RNN917506:RNN917507 RXJ917506:RXJ917507 SHF917506:SHF917507 SRB917506:SRB917507 TAX917506:TAX917507 TKT917506:TKT917507 TUP917506:TUP917507 UEL917506:UEL917507 UOH917506:UOH917507 UYD917506:UYD917507 VHZ917506:VHZ917507 VRV917506:VRV917507 WBR917506:WBR917507 WLN917506:WLN917507 WVJ917506:WVJ917507 B983042:B983043 IX983042:IX983043 ST983042:ST983043 ACP983042:ACP983043 AML983042:AML983043 AWH983042:AWH983043 BGD983042:BGD983043 BPZ983042:BPZ983043 BZV983042:BZV983043 CJR983042:CJR983043 CTN983042:CTN983043 DDJ983042:DDJ983043 DNF983042:DNF983043 DXB983042:DXB983043 EGX983042:EGX983043 EQT983042:EQT983043 FAP983042:FAP983043 FKL983042:FKL983043 FUH983042:FUH983043 GED983042:GED983043 GNZ983042:GNZ983043 GXV983042:GXV983043 HHR983042:HHR983043 HRN983042:HRN983043 IBJ983042:IBJ983043 ILF983042:ILF983043 IVB983042:IVB983043 JEX983042:JEX983043 JOT983042:JOT983043 JYP983042:JYP983043 KIL983042:KIL983043 KSH983042:KSH983043 LCD983042:LCD983043 LLZ983042:LLZ983043 LVV983042:LVV983043 MFR983042:MFR983043 MPN983042:MPN983043 MZJ983042:MZJ983043 NJF983042:NJF983043 NTB983042:NTB983043 OCX983042:OCX983043 OMT983042:OMT983043 OWP983042:OWP983043 PGL983042:PGL983043 PQH983042:PQH983043 QAD983042:QAD983043 QJZ983042:QJZ983043 QTV983042:QTV983043 RDR983042:RDR983043 RNN983042:RNN983043 RXJ983042:RXJ983043 SHF983042:SHF983043 SRB983042:SRB983043 TAX983042:TAX983043 TKT983042:TKT983043 TUP983042:TUP983043 UEL983042:UEL983043 UOH983042:UOH983043 UYD983042:UYD983043 VHZ983042:VHZ983043 VRV983042:VRV983043 WBR983042:WBR983043 WLN983042:WLN983043 WVJ983042:WVJ983043"/>
    <dataValidation allowBlank="1" showInputMessage="1" showErrorMessage="1" prompt="Clave asignada al programa/proyecto" sqref="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dataValidation allowBlank="1" showInputMessage="1" showErrorMessage="1" prompt="Valor absoluto y/o relativo que registren los indicadores con relación a su meta anual correspondiente al programa, proyecto o actividad que se trate. (DOF 9-dic-09)" sqref="K2 JG2 TC2 ACY2 AMU2 AWQ2 BGM2 BQI2 CAE2 CKA2 CTW2 DDS2 DNO2 DXK2 EHG2 ERC2 FAY2 FKU2 FUQ2 GEM2 GOI2 GYE2 HIA2 HRW2 IBS2 ILO2 IVK2 JFG2 JPC2 JYY2 KIU2 KSQ2 LCM2 LMI2 LWE2 MGA2 MPW2 MZS2 NJO2 NTK2 ODG2 ONC2 OWY2 PGU2 PQQ2 QAM2 QKI2 QUE2 REA2 RNW2 RXS2 SHO2 SRK2 TBG2 TLC2 TUY2 UEU2 UOQ2 UYM2 VII2 VSE2 WCA2 WLW2 WVS2 K65538 JG65538 TC65538 ACY65538 AMU65538 AWQ65538 BGM65538 BQI65538 CAE65538 CKA65538 CTW65538 DDS65538 DNO65538 DXK65538 EHG65538 ERC65538 FAY65538 FKU65538 FUQ65538 GEM65538 GOI65538 GYE65538 HIA65538 HRW65538 IBS65538 ILO65538 IVK65538 JFG65538 JPC65538 JYY65538 KIU65538 KSQ65538 LCM65538 LMI65538 LWE65538 MGA65538 MPW65538 MZS65538 NJO65538 NTK65538 ODG65538 ONC65538 OWY65538 PGU65538 PQQ65538 QAM65538 QKI65538 QUE65538 REA65538 RNW65538 RXS65538 SHO65538 SRK65538 TBG65538 TLC65538 TUY65538 UEU65538 UOQ65538 UYM65538 VII65538 VSE65538 WCA65538 WLW65538 WVS65538 K131074 JG131074 TC131074 ACY131074 AMU131074 AWQ131074 BGM131074 BQI131074 CAE131074 CKA131074 CTW131074 DDS131074 DNO131074 DXK131074 EHG131074 ERC131074 FAY131074 FKU131074 FUQ131074 GEM131074 GOI131074 GYE131074 HIA131074 HRW131074 IBS131074 ILO131074 IVK131074 JFG131074 JPC131074 JYY131074 KIU131074 KSQ131074 LCM131074 LMI131074 LWE131074 MGA131074 MPW131074 MZS131074 NJO131074 NTK131074 ODG131074 ONC131074 OWY131074 PGU131074 PQQ131074 QAM131074 QKI131074 QUE131074 REA131074 RNW131074 RXS131074 SHO131074 SRK131074 TBG131074 TLC131074 TUY131074 UEU131074 UOQ131074 UYM131074 VII131074 VSE131074 WCA131074 WLW131074 WVS131074 K196610 JG196610 TC196610 ACY196610 AMU196610 AWQ196610 BGM196610 BQI196610 CAE196610 CKA196610 CTW196610 DDS196610 DNO196610 DXK196610 EHG196610 ERC196610 FAY196610 FKU196610 FUQ196610 GEM196610 GOI196610 GYE196610 HIA196610 HRW196610 IBS196610 ILO196610 IVK196610 JFG196610 JPC196610 JYY196610 KIU196610 KSQ196610 LCM196610 LMI196610 LWE196610 MGA196610 MPW196610 MZS196610 NJO196610 NTK196610 ODG196610 ONC196610 OWY196610 PGU196610 PQQ196610 QAM196610 QKI196610 QUE196610 REA196610 RNW196610 RXS196610 SHO196610 SRK196610 TBG196610 TLC196610 TUY196610 UEU196610 UOQ196610 UYM196610 VII196610 VSE196610 WCA196610 WLW196610 WVS196610 K262146 JG262146 TC262146 ACY262146 AMU262146 AWQ262146 BGM262146 BQI262146 CAE262146 CKA262146 CTW262146 DDS262146 DNO262146 DXK262146 EHG262146 ERC262146 FAY262146 FKU262146 FUQ262146 GEM262146 GOI262146 GYE262146 HIA262146 HRW262146 IBS262146 ILO262146 IVK262146 JFG262146 JPC262146 JYY262146 KIU262146 KSQ262146 LCM262146 LMI262146 LWE262146 MGA262146 MPW262146 MZS262146 NJO262146 NTK262146 ODG262146 ONC262146 OWY262146 PGU262146 PQQ262146 QAM262146 QKI262146 QUE262146 REA262146 RNW262146 RXS262146 SHO262146 SRK262146 TBG262146 TLC262146 TUY262146 UEU262146 UOQ262146 UYM262146 VII262146 VSE262146 WCA262146 WLW262146 WVS262146 K327682 JG327682 TC327682 ACY327682 AMU327682 AWQ327682 BGM327682 BQI327682 CAE327682 CKA327682 CTW327682 DDS327682 DNO327682 DXK327682 EHG327682 ERC327682 FAY327682 FKU327682 FUQ327682 GEM327682 GOI327682 GYE327682 HIA327682 HRW327682 IBS327682 ILO327682 IVK327682 JFG327682 JPC327682 JYY327682 KIU327682 KSQ327682 LCM327682 LMI327682 LWE327682 MGA327682 MPW327682 MZS327682 NJO327682 NTK327682 ODG327682 ONC327682 OWY327682 PGU327682 PQQ327682 QAM327682 QKI327682 QUE327682 REA327682 RNW327682 RXS327682 SHO327682 SRK327682 TBG327682 TLC327682 TUY327682 UEU327682 UOQ327682 UYM327682 VII327682 VSE327682 WCA327682 WLW327682 WVS327682 K393218 JG393218 TC393218 ACY393218 AMU393218 AWQ393218 BGM393218 BQI393218 CAE393218 CKA393218 CTW393218 DDS393218 DNO393218 DXK393218 EHG393218 ERC393218 FAY393218 FKU393218 FUQ393218 GEM393218 GOI393218 GYE393218 HIA393218 HRW393218 IBS393218 ILO393218 IVK393218 JFG393218 JPC393218 JYY393218 KIU393218 KSQ393218 LCM393218 LMI393218 LWE393218 MGA393218 MPW393218 MZS393218 NJO393218 NTK393218 ODG393218 ONC393218 OWY393218 PGU393218 PQQ393218 QAM393218 QKI393218 QUE393218 REA393218 RNW393218 RXS393218 SHO393218 SRK393218 TBG393218 TLC393218 TUY393218 UEU393218 UOQ393218 UYM393218 VII393218 VSE393218 WCA393218 WLW393218 WVS393218 K458754 JG458754 TC458754 ACY458754 AMU458754 AWQ458754 BGM458754 BQI458754 CAE458754 CKA458754 CTW458754 DDS458754 DNO458754 DXK458754 EHG458754 ERC458754 FAY458754 FKU458754 FUQ458754 GEM458754 GOI458754 GYE458754 HIA458754 HRW458754 IBS458754 ILO458754 IVK458754 JFG458754 JPC458754 JYY458754 KIU458754 KSQ458754 LCM458754 LMI458754 LWE458754 MGA458754 MPW458754 MZS458754 NJO458754 NTK458754 ODG458754 ONC458754 OWY458754 PGU458754 PQQ458754 QAM458754 QKI458754 QUE458754 REA458754 RNW458754 RXS458754 SHO458754 SRK458754 TBG458754 TLC458754 TUY458754 UEU458754 UOQ458754 UYM458754 VII458754 VSE458754 WCA458754 WLW458754 WVS458754 K524290 JG524290 TC524290 ACY524290 AMU524290 AWQ524290 BGM524290 BQI524290 CAE524290 CKA524290 CTW524290 DDS524290 DNO524290 DXK524290 EHG524290 ERC524290 FAY524290 FKU524290 FUQ524290 GEM524290 GOI524290 GYE524290 HIA524290 HRW524290 IBS524290 ILO524290 IVK524290 JFG524290 JPC524290 JYY524290 KIU524290 KSQ524290 LCM524290 LMI524290 LWE524290 MGA524290 MPW524290 MZS524290 NJO524290 NTK524290 ODG524290 ONC524290 OWY524290 PGU524290 PQQ524290 QAM524290 QKI524290 QUE524290 REA524290 RNW524290 RXS524290 SHO524290 SRK524290 TBG524290 TLC524290 TUY524290 UEU524290 UOQ524290 UYM524290 VII524290 VSE524290 WCA524290 WLW524290 WVS524290 K589826 JG589826 TC589826 ACY589826 AMU589826 AWQ589826 BGM589826 BQI589826 CAE589826 CKA589826 CTW589826 DDS589826 DNO589826 DXK589826 EHG589826 ERC589826 FAY589826 FKU589826 FUQ589826 GEM589826 GOI589826 GYE589826 HIA589826 HRW589826 IBS589826 ILO589826 IVK589826 JFG589826 JPC589826 JYY589826 KIU589826 KSQ589826 LCM589826 LMI589826 LWE589826 MGA589826 MPW589826 MZS589826 NJO589826 NTK589826 ODG589826 ONC589826 OWY589826 PGU589826 PQQ589826 QAM589826 QKI589826 QUE589826 REA589826 RNW589826 RXS589826 SHO589826 SRK589826 TBG589826 TLC589826 TUY589826 UEU589826 UOQ589826 UYM589826 VII589826 VSE589826 WCA589826 WLW589826 WVS589826 K655362 JG655362 TC655362 ACY655362 AMU655362 AWQ655362 BGM655362 BQI655362 CAE655362 CKA655362 CTW655362 DDS655362 DNO655362 DXK655362 EHG655362 ERC655362 FAY655362 FKU655362 FUQ655362 GEM655362 GOI655362 GYE655362 HIA655362 HRW655362 IBS655362 ILO655362 IVK655362 JFG655362 JPC655362 JYY655362 KIU655362 KSQ655362 LCM655362 LMI655362 LWE655362 MGA655362 MPW655362 MZS655362 NJO655362 NTK655362 ODG655362 ONC655362 OWY655362 PGU655362 PQQ655362 QAM655362 QKI655362 QUE655362 REA655362 RNW655362 RXS655362 SHO655362 SRK655362 TBG655362 TLC655362 TUY655362 UEU655362 UOQ655362 UYM655362 VII655362 VSE655362 WCA655362 WLW655362 WVS655362 K720898 JG720898 TC720898 ACY720898 AMU720898 AWQ720898 BGM720898 BQI720898 CAE720898 CKA720898 CTW720898 DDS720898 DNO720898 DXK720898 EHG720898 ERC720898 FAY720898 FKU720898 FUQ720898 GEM720898 GOI720898 GYE720898 HIA720898 HRW720898 IBS720898 ILO720898 IVK720898 JFG720898 JPC720898 JYY720898 KIU720898 KSQ720898 LCM720898 LMI720898 LWE720898 MGA720898 MPW720898 MZS720898 NJO720898 NTK720898 ODG720898 ONC720898 OWY720898 PGU720898 PQQ720898 QAM720898 QKI720898 QUE720898 REA720898 RNW720898 RXS720898 SHO720898 SRK720898 TBG720898 TLC720898 TUY720898 UEU720898 UOQ720898 UYM720898 VII720898 VSE720898 WCA720898 WLW720898 WVS720898 K786434 JG786434 TC786434 ACY786434 AMU786434 AWQ786434 BGM786434 BQI786434 CAE786434 CKA786434 CTW786434 DDS786434 DNO786434 DXK786434 EHG786434 ERC786434 FAY786434 FKU786434 FUQ786434 GEM786434 GOI786434 GYE786434 HIA786434 HRW786434 IBS786434 ILO786434 IVK786434 JFG786434 JPC786434 JYY786434 KIU786434 KSQ786434 LCM786434 LMI786434 LWE786434 MGA786434 MPW786434 MZS786434 NJO786434 NTK786434 ODG786434 ONC786434 OWY786434 PGU786434 PQQ786434 QAM786434 QKI786434 QUE786434 REA786434 RNW786434 RXS786434 SHO786434 SRK786434 TBG786434 TLC786434 TUY786434 UEU786434 UOQ786434 UYM786434 VII786434 VSE786434 WCA786434 WLW786434 WVS786434 K851970 JG851970 TC851970 ACY851970 AMU851970 AWQ851970 BGM851970 BQI851970 CAE851970 CKA851970 CTW851970 DDS851970 DNO851970 DXK851970 EHG851970 ERC851970 FAY851970 FKU851970 FUQ851970 GEM851970 GOI851970 GYE851970 HIA851970 HRW851970 IBS851970 ILO851970 IVK851970 JFG851970 JPC851970 JYY851970 KIU851970 KSQ851970 LCM851970 LMI851970 LWE851970 MGA851970 MPW851970 MZS851970 NJO851970 NTK851970 ODG851970 ONC851970 OWY851970 PGU851970 PQQ851970 QAM851970 QKI851970 QUE851970 REA851970 RNW851970 RXS851970 SHO851970 SRK851970 TBG851970 TLC851970 TUY851970 UEU851970 UOQ851970 UYM851970 VII851970 VSE851970 WCA851970 WLW851970 WVS851970 K917506 JG917506 TC917506 ACY917506 AMU917506 AWQ917506 BGM917506 BQI917506 CAE917506 CKA917506 CTW917506 DDS917506 DNO917506 DXK917506 EHG917506 ERC917506 FAY917506 FKU917506 FUQ917506 GEM917506 GOI917506 GYE917506 HIA917506 HRW917506 IBS917506 ILO917506 IVK917506 JFG917506 JPC917506 JYY917506 KIU917506 KSQ917506 LCM917506 LMI917506 LWE917506 MGA917506 MPW917506 MZS917506 NJO917506 NTK917506 ODG917506 ONC917506 OWY917506 PGU917506 PQQ917506 QAM917506 QKI917506 QUE917506 REA917506 RNW917506 RXS917506 SHO917506 SRK917506 TBG917506 TLC917506 TUY917506 UEU917506 UOQ917506 UYM917506 VII917506 VSE917506 WCA917506 WLW917506 WVS917506 K983042 JG983042 TC983042 ACY983042 AMU983042 AWQ983042 BGM983042 BQI983042 CAE983042 CKA983042 CTW983042 DDS983042 DNO983042 DXK983042 EHG983042 ERC983042 FAY983042 FKU983042 FUQ983042 GEM983042 GOI983042 GYE983042 HIA983042 HRW983042 IBS983042 ILO983042 IVK983042 JFG983042 JPC983042 JYY983042 KIU983042 KSQ983042 LCM983042 LMI983042 LWE983042 MGA983042 MPW983042 MZS983042 NJO983042 NTK983042 ODG983042 ONC983042 OWY983042 PGU983042 PQQ983042 QAM983042 QKI983042 QUE983042 REA983042 RNW983042 RXS983042 SHO983042 SRK983042 TBG983042 TLC983042 TUY983042 UEU983042 UOQ983042 UYM983042 VII983042 VSE983042 WCA983042 WLW983042 WVS983042"/>
  </dataValidations>
  <pageMargins left="0.7" right="0.7" top="0.75" bottom="0.75" header="0.3" footer="0.3"/>
  <pageSetup scale="42" orientation="landscape" r:id="rId1"/>
  <ignoredErrors>
    <ignoredError sqref="H4:J4"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
  <sheetViews>
    <sheetView zoomScaleNormal="100" workbookViewId="0">
      <selection activeCell="J3" sqref="J3:AC10"/>
    </sheetView>
  </sheetViews>
  <sheetFormatPr baseColWidth="10" defaultColWidth="9.28515625" defaultRowHeight="11.25"/>
  <cols>
    <col min="1" max="1" width="13.28515625" style="4" customWidth="1"/>
    <col min="2" max="2" width="13" style="4" customWidth="1"/>
    <col min="3" max="3" width="10.7109375" style="4" customWidth="1"/>
    <col min="4" max="4" width="6.85546875" style="4" customWidth="1"/>
    <col min="5" max="5" width="8.140625" style="4" customWidth="1"/>
    <col min="6" max="6" width="7.85546875" style="4" customWidth="1"/>
    <col min="7" max="9" width="4.5703125" style="4" customWidth="1"/>
    <col min="10" max="10" width="8.7109375" style="4" bestFit="1" customWidth="1"/>
    <col min="11" max="11" width="4.5703125" style="4" customWidth="1"/>
    <col min="12" max="12" width="9.28515625" style="4" customWidth="1"/>
    <col min="13" max="13" width="9.28515625" style="4"/>
    <col min="14" max="14" width="5.28515625" style="4" customWidth="1"/>
    <col min="15" max="15" width="9.28515625" style="4" customWidth="1"/>
    <col min="16" max="16" width="9.28515625" style="4"/>
    <col min="17" max="17" width="9.28515625" style="4" customWidth="1"/>
    <col min="18" max="20" width="9.28515625" style="4"/>
    <col min="21" max="21" width="10.28515625" style="4" customWidth="1"/>
    <col min="22" max="22" width="9.28515625" style="4"/>
    <col min="23" max="23" width="10" style="4" customWidth="1"/>
    <col min="24" max="24" width="9.28515625" style="4" customWidth="1"/>
    <col min="25" max="27" width="10.28515625" style="225" customWidth="1"/>
    <col min="28" max="29" width="10.28515625" style="4" customWidth="1"/>
    <col min="30" max="256" width="9.28515625" style="226"/>
    <col min="257" max="257" width="13.28515625" style="226" customWidth="1"/>
    <col min="258" max="258" width="13" style="226" customWidth="1"/>
    <col min="259" max="259" width="10.7109375" style="226" customWidth="1"/>
    <col min="260" max="260" width="6.85546875" style="226" customWidth="1"/>
    <col min="261" max="261" width="8.140625" style="226" customWidth="1"/>
    <col min="262" max="262" width="7.85546875" style="226" customWidth="1"/>
    <col min="263" max="267" width="4.5703125" style="226" customWidth="1"/>
    <col min="268" max="268" width="9.28515625" style="226" customWidth="1"/>
    <col min="269" max="269" width="9.28515625" style="226"/>
    <col min="270" max="270" width="5.28515625" style="226" customWidth="1"/>
    <col min="271" max="271" width="9.28515625" style="226" customWidth="1"/>
    <col min="272" max="272" width="9.28515625" style="226"/>
    <col min="273" max="273" width="9.28515625" style="226" customWidth="1"/>
    <col min="274" max="276" width="9.28515625" style="226"/>
    <col min="277" max="277" width="10.28515625" style="226" customWidth="1"/>
    <col min="278" max="278" width="9.28515625" style="226"/>
    <col min="279" max="279" width="10" style="226" customWidth="1"/>
    <col min="280" max="280" width="9.28515625" style="226" customWidth="1"/>
    <col min="281" max="285" width="10.28515625" style="226" customWidth="1"/>
    <col min="286" max="512" width="9.28515625" style="226"/>
    <col min="513" max="513" width="13.28515625" style="226" customWidth="1"/>
    <col min="514" max="514" width="13" style="226" customWidth="1"/>
    <col min="515" max="515" width="10.7109375" style="226" customWidth="1"/>
    <col min="516" max="516" width="6.85546875" style="226" customWidth="1"/>
    <col min="517" max="517" width="8.140625" style="226" customWidth="1"/>
    <col min="518" max="518" width="7.85546875" style="226" customWidth="1"/>
    <col min="519" max="523" width="4.5703125" style="226" customWidth="1"/>
    <col min="524" max="524" width="9.28515625" style="226" customWidth="1"/>
    <col min="525" max="525" width="9.28515625" style="226"/>
    <col min="526" max="526" width="5.28515625" style="226" customWidth="1"/>
    <col min="527" max="527" width="9.28515625" style="226" customWidth="1"/>
    <col min="528" max="528" width="9.28515625" style="226"/>
    <col min="529" max="529" width="9.28515625" style="226" customWidth="1"/>
    <col min="530" max="532" width="9.28515625" style="226"/>
    <col min="533" max="533" width="10.28515625" style="226" customWidth="1"/>
    <col min="534" max="534" width="9.28515625" style="226"/>
    <col min="535" max="535" width="10" style="226" customWidth="1"/>
    <col min="536" max="536" width="9.28515625" style="226" customWidth="1"/>
    <col min="537" max="541" width="10.28515625" style="226" customWidth="1"/>
    <col min="542" max="768" width="9.28515625" style="226"/>
    <col min="769" max="769" width="13.28515625" style="226" customWidth="1"/>
    <col min="770" max="770" width="13" style="226" customWidth="1"/>
    <col min="771" max="771" width="10.7109375" style="226" customWidth="1"/>
    <col min="772" max="772" width="6.85546875" style="226" customWidth="1"/>
    <col min="773" max="773" width="8.140625" style="226" customWidth="1"/>
    <col min="774" max="774" width="7.85546875" style="226" customWidth="1"/>
    <col min="775" max="779" width="4.5703125" style="226" customWidth="1"/>
    <col min="780" max="780" width="9.28515625" style="226" customWidth="1"/>
    <col min="781" max="781" width="9.28515625" style="226"/>
    <col min="782" max="782" width="5.28515625" style="226" customWidth="1"/>
    <col min="783" max="783" width="9.28515625" style="226" customWidth="1"/>
    <col min="784" max="784" width="9.28515625" style="226"/>
    <col min="785" max="785" width="9.28515625" style="226" customWidth="1"/>
    <col min="786" max="788" width="9.28515625" style="226"/>
    <col min="789" max="789" width="10.28515625" style="226" customWidth="1"/>
    <col min="790" max="790" width="9.28515625" style="226"/>
    <col min="791" max="791" width="10" style="226" customWidth="1"/>
    <col min="792" max="792" width="9.28515625" style="226" customWidth="1"/>
    <col min="793" max="797" width="10.28515625" style="226" customWidth="1"/>
    <col min="798" max="1024" width="9.28515625" style="226"/>
    <col min="1025" max="1025" width="13.28515625" style="226" customWidth="1"/>
    <col min="1026" max="1026" width="13" style="226" customWidth="1"/>
    <col min="1027" max="1027" width="10.7109375" style="226" customWidth="1"/>
    <col min="1028" max="1028" width="6.85546875" style="226" customWidth="1"/>
    <col min="1029" max="1029" width="8.140625" style="226" customWidth="1"/>
    <col min="1030" max="1030" width="7.85546875" style="226" customWidth="1"/>
    <col min="1031" max="1035" width="4.5703125" style="226" customWidth="1"/>
    <col min="1036" max="1036" width="9.28515625" style="226" customWidth="1"/>
    <col min="1037" max="1037" width="9.28515625" style="226"/>
    <col min="1038" max="1038" width="5.28515625" style="226" customWidth="1"/>
    <col min="1039" max="1039" width="9.28515625" style="226" customWidth="1"/>
    <col min="1040" max="1040" width="9.28515625" style="226"/>
    <col min="1041" max="1041" width="9.28515625" style="226" customWidth="1"/>
    <col min="1042" max="1044" width="9.28515625" style="226"/>
    <col min="1045" max="1045" width="10.28515625" style="226" customWidth="1"/>
    <col min="1046" max="1046" width="9.28515625" style="226"/>
    <col min="1047" max="1047" width="10" style="226" customWidth="1"/>
    <col min="1048" max="1048" width="9.28515625" style="226" customWidth="1"/>
    <col min="1049" max="1053" width="10.28515625" style="226" customWidth="1"/>
    <col min="1054" max="1280" width="9.28515625" style="226"/>
    <col min="1281" max="1281" width="13.28515625" style="226" customWidth="1"/>
    <col min="1282" max="1282" width="13" style="226" customWidth="1"/>
    <col min="1283" max="1283" width="10.7109375" style="226" customWidth="1"/>
    <col min="1284" max="1284" width="6.85546875" style="226" customWidth="1"/>
    <col min="1285" max="1285" width="8.140625" style="226" customWidth="1"/>
    <col min="1286" max="1286" width="7.85546875" style="226" customWidth="1"/>
    <col min="1287" max="1291" width="4.5703125" style="226" customWidth="1"/>
    <col min="1292" max="1292" width="9.28515625" style="226" customWidth="1"/>
    <col min="1293" max="1293" width="9.28515625" style="226"/>
    <col min="1294" max="1294" width="5.28515625" style="226" customWidth="1"/>
    <col min="1295" max="1295" width="9.28515625" style="226" customWidth="1"/>
    <col min="1296" max="1296" width="9.28515625" style="226"/>
    <col min="1297" max="1297" width="9.28515625" style="226" customWidth="1"/>
    <col min="1298" max="1300" width="9.28515625" style="226"/>
    <col min="1301" max="1301" width="10.28515625" style="226" customWidth="1"/>
    <col min="1302" max="1302" width="9.28515625" style="226"/>
    <col min="1303" max="1303" width="10" style="226" customWidth="1"/>
    <col min="1304" max="1304" width="9.28515625" style="226" customWidth="1"/>
    <col min="1305" max="1309" width="10.28515625" style="226" customWidth="1"/>
    <col min="1310" max="1536" width="9.28515625" style="226"/>
    <col min="1537" max="1537" width="13.28515625" style="226" customWidth="1"/>
    <col min="1538" max="1538" width="13" style="226" customWidth="1"/>
    <col min="1539" max="1539" width="10.7109375" style="226" customWidth="1"/>
    <col min="1540" max="1540" width="6.85546875" style="226" customWidth="1"/>
    <col min="1541" max="1541" width="8.140625" style="226" customWidth="1"/>
    <col min="1542" max="1542" width="7.85546875" style="226" customWidth="1"/>
    <col min="1543" max="1547" width="4.5703125" style="226" customWidth="1"/>
    <col min="1548" max="1548" width="9.28515625" style="226" customWidth="1"/>
    <col min="1549" max="1549" width="9.28515625" style="226"/>
    <col min="1550" max="1550" width="5.28515625" style="226" customWidth="1"/>
    <col min="1551" max="1551" width="9.28515625" style="226" customWidth="1"/>
    <col min="1552" max="1552" width="9.28515625" style="226"/>
    <col min="1553" max="1553" width="9.28515625" style="226" customWidth="1"/>
    <col min="1554" max="1556" width="9.28515625" style="226"/>
    <col min="1557" max="1557" width="10.28515625" style="226" customWidth="1"/>
    <col min="1558" max="1558" width="9.28515625" style="226"/>
    <col min="1559" max="1559" width="10" style="226" customWidth="1"/>
    <col min="1560" max="1560" width="9.28515625" style="226" customWidth="1"/>
    <col min="1561" max="1565" width="10.28515625" style="226" customWidth="1"/>
    <col min="1566" max="1792" width="9.28515625" style="226"/>
    <col min="1793" max="1793" width="13.28515625" style="226" customWidth="1"/>
    <col min="1794" max="1794" width="13" style="226" customWidth="1"/>
    <col min="1795" max="1795" width="10.7109375" style="226" customWidth="1"/>
    <col min="1796" max="1796" width="6.85546875" style="226" customWidth="1"/>
    <col min="1797" max="1797" width="8.140625" style="226" customWidth="1"/>
    <col min="1798" max="1798" width="7.85546875" style="226" customWidth="1"/>
    <col min="1799" max="1803" width="4.5703125" style="226" customWidth="1"/>
    <col min="1804" max="1804" width="9.28515625" style="226" customWidth="1"/>
    <col min="1805" max="1805" width="9.28515625" style="226"/>
    <col min="1806" max="1806" width="5.28515625" style="226" customWidth="1"/>
    <col min="1807" max="1807" width="9.28515625" style="226" customWidth="1"/>
    <col min="1808" max="1808" width="9.28515625" style="226"/>
    <col min="1809" max="1809" width="9.28515625" style="226" customWidth="1"/>
    <col min="1810" max="1812" width="9.28515625" style="226"/>
    <col min="1813" max="1813" width="10.28515625" style="226" customWidth="1"/>
    <col min="1814" max="1814" width="9.28515625" style="226"/>
    <col min="1815" max="1815" width="10" style="226" customWidth="1"/>
    <col min="1816" max="1816" width="9.28515625" style="226" customWidth="1"/>
    <col min="1817" max="1821" width="10.28515625" style="226" customWidth="1"/>
    <col min="1822" max="2048" width="9.28515625" style="226"/>
    <col min="2049" max="2049" width="13.28515625" style="226" customWidth="1"/>
    <col min="2050" max="2050" width="13" style="226" customWidth="1"/>
    <col min="2051" max="2051" width="10.7109375" style="226" customWidth="1"/>
    <col min="2052" max="2052" width="6.85546875" style="226" customWidth="1"/>
    <col min="2053" max="2053" width="8.140625" style="226" customWidth="1"/>
    <col min="2054" max="2054" width="7.85546875" style="226" customWidth="1"/>
    <col min="2055" max="2059" width="4.5703125" style="226" customWidth="1"/>
    <col min="2060" max="2060" width="9.28515625" style="226" customWidth="1"/>
    <col min="2061" max="2061" width="9.28515625" style="226"/>
    <col min="2062" max="2062" width="5.28515625" style="226" customWidth="1"/>
    <col min="2063" max="2063" width="9.28515625" style="226" customWidth="1"/>
    <col min="2064" max="2064" width="9.28515625" style="226"/>
    <col min="2065" max="2065" width="9.28515625" style="226" customWidth="1"/>
    <col min="2066" max="2068" width="9.28515625" style="226"/>
    <col min="2069" max="2069" width="10.28515625" style="226" customWidth="1"/>
    <col min="2070" max="2070" width="9.28515625" style="226"/>
    <col min="2071" max="2071" width="10" style="226" customWidth="1"/>
    <col min="2072" max="2072" width="9.28515625" style="226" customWidth="1"/>
    <col min="2073" max="2077" width="10.28515625" style="226" customWidth="1"/>
    <col min="2078" max="2304" width="9.28515625" style="226"/>
    <col min="2305" max="2305" width="13.28515625" style="226" customWidth="1"/>
    <col min="2306" max="2306" width="13" style="226" customWidth="1"/>
    <col min="2307" max="2307" width="10.7109375" style="226" customWidth="1"/>
    <col min="2308" max="2308" width="6.85546875" style="226" customWidth="1"/>
    <col min="2309" max="2309" width="8.140625" style="226" customWidth="1"/>
    <col min="2310" max="2310" width="7.85546875" style="226" customWidth="1"/>
    <col min="2311" max="2315" width="4.5703125" style="226" customWidth="1"/>
    <col min="2316" max="2316" width="9.28515625" style="226" customWidth="1"/>
    <col min="2317" max="2317" width="9.28515625" style="226"/>
    <col min="2318" max="2318" width="5.28515625" style="226" customWidth="1"/>
    <col min="2319" max="2319" width="9.28515625" style="226" customWidth="1"/>
    <col min="2320" max="2320" width="9.28515625" style="226"/>
    <col min="2321" max="2321" width="9.28515625" style="226" customWidth="1"/>
    <col min="2322" max="2324" width="9.28515625" style="226"/>
    <col min="2325" max="2325" width="10.28515625" style="226" customWidth="1"/>
    <col min="2326" max="2326" width="9.28515625" style="226"/>
    <col min="2327" max="2327" width="10" style="226" customWidth="1"/>
    <col min="2328" max="2328" width="9.28515625" style="226" customWidth="1"/>
    <col min="2329" max="2333" width="10.28515625" style="226" customWidth="1"/>
    <col min="2334" max="2560" width="9.28515625" style="226"/>
    <col min="2561" max="2561" width="13.28515625" style="226" customWidth="1"/>
    <col min="2562" max="2562" width="13" style="226" customWidth="1"/>
    <col min="2563" max="2563" width="10.7109375" style="226" customWidth="1"/>
    <col min="2564" max="2564" width="6.85546875" style="226" customWidth="1"/>
    <col min="2565" max="2565" width="8.140625" style="226" customWidth="1"/>
    <col min="2566" max="2566" width="7.85546875" style="226" customWidth="1"/>
    <col min="2567" max="2571" width="4.5703125" style="226" customWidth="1"/>
    <col min="2572" max="2572" width="9.28515625" style="226" customWidth="1"/>
    <col min="2573" max="2573" width="9.28515625" style="226"/>
    <col min="2574" max="2574" width="5.28515625" style="226" customWidth="1"/>
    <col min="2575" max="2575" width="9.28515625" style="226" customWidth="1"/>
    <col min="2576" max="2576" width="9.28515625" style="226"/>
    <col min="2577" max="2577" width="9.28515625" style="226" customWidth="1"/>
    <col min="2578" max="2580" width="9.28515625" style="226"/>
    <col min="2581" max="2581" width="10.28515625" style="226" customWidth="1"/>
    <col min="2582" max="2582" width="9.28515625" style="226"/>
    <col min="2583" max="2583" width="10" style="226" customWidth="1"/>
    <col min="2584" max="2584" width="9.28515625" style="226" customWidth="1"/>
    <col min="2585" max="2589" width="10.28515625" style="226" customWidth="1"/>
    <col min="2590" max="2816" width="9.28515625" style="226"/>
    <col min="2817" max="2817" width="13.28515625" style="226" customWidth="1"/>
    <col min="2818" max="2818" width="13" style="226" customWidth="1"/>
    <col min="2819" max="2819" width="10.7109375" style="226" customWidth="1"/>
    <col min="2820" max="2820" width="6.85546875" style="226" customWidth="1"/>
    <col min="2821" max="2821" width="8.140625" style="226" customWidth="1"/>
    <col min="2822" max="2822" width="7.85546875" style="226" customWidth="1"/>
    <col min="2823" max="2827" width="4.5703125" style="226" customWidth="1"/>
    <col min="2828" max="2828" width="9.28515625" style="226" customWidth="1"/>
    <col min="2829" max="2829" width="9.28515625" style="226"/>
    <col min="2830" max="2830" width="5.28515625" style="226" customWidth="1"/>
    <col min="2831" max="2831" width="9.28515625" style="226" customWidth="1"/>
    <col min="2832" max="2832" width="9.28515625" style="226"/>
    <col min="2833" max="2833" width="9.28515625" style="226" customWidth="1"/>
    <col min="2834" max="2836" width="9.28515625" style="226"/>
    <col min="2837" max="2837" width="10.28515625" style="226" customWidth="1"/>
    <col min="2838" max="2838" width="9.28515625" style="226"/>
    <col min="2839" max="2839" width="10" style="226" customWidth="1"/>
    <col min="2840" max="2840" width="9.28515625" style="226" customWidth="1"/>
    <col min="2841" max="2845" width="10.28515625" style="226" customWidth="1"/>
    <col min="2846" max="3072" width="9.28515625" style="226"/>
    <col min="3073" max="3073" width="13.28515625" style="226" customWidth="1"/>
    <col min="3074" max="3074" width="13" style="226" customWidth="1"/>
    <col min="3075" max="3075" width="10.7109375" style="226" customWidth="1"/>
    <col min="3076" max="3076" width="6.85546875" style="226" customWidth="1"/>
    <col min="3077" max="3077" width="8.140625" style="226" customWidth="1"/>
    <col min="3078" max="3078" width="7.85546875" style="226" customWidth="1"/>
    <col min="3079" max="3083" width="4.5703125" style="226" customWidth="1"/>
    <col min="3084" max="3084" width="9.28515625" style="226" customWidth="1"/>
    <col min="3085" max="3085" width="9.28515625" style="226"/>
    <col min="3086" max="3086" width="5.28515625" style="226" customWidth="1"/>
    <col min="3087" max="3087" width="9.28515625" style="226" customWidth="1"/>
    <col min="3088" max="3088" width="9.28515625" style="226"/>
    <col min="3089" max="3089" width="9.28515625" style="226" customWidth="1"/>
    <col min="3090" max="3092" width="9.28515625" style="226"/>
    <col min="3093" max="3093" width="10.28515625" style="226" customWidth="1"/>
    <col min="3094" max="3094" width="9.28515625" style="226"/>
    <col min="3095" max="3095" width="10" style="226" customWidth="1"/>
    <col min="3096" max="3096" width="9.28515625" style="226" customWidth="1"/>
    <col min="3097" max="3101" width="10.28515625" style="226" customWidth="1"/>
    <col min="3102" max="3328" width="9.28515625" style="226"/>
    <col min="3329" max="3329" width="13.28515625" style="226" customWidth="1"/>
    <col min="3330" max="3330" width="13" style="226" customWidth="1"/>
    <col min="3331" max="3331" width="10.7109375" style="226" customWidth="1"/>
    <col min="3332" max="3332" width="6.85546875" style="226" customWidth="1"/>
    <col min="3333" max="3333" width="8.140625" style="226" customWidth="1"/>
    <col min="3334" max="3334" width="7.85546875" style="226" customWidth="1"/>
    <col min="3335" max="3339" width="4.5703125" style="226" customWidth="1"/>
    <col min="3340" max="3340" width="9.28515625" style="226" customWidth="1"/>
    <col min="3341" max="3341" width="9.28515625" style="226"/>
    <col min="3342" max="3342" width="5.28515625" style="226" customWidth="1"/>
    <col min="3343" max="3343" width="9.28515625" style="226" customWidth="1"/>
    <col min="3344" max="3344" width="9.28515625" style="226"/>
    <col min="3345" max="3345" width="9.28515625" style="226" customWidth="1"/>
    <col min="3346" max="3348" width="9.28515625" style="226"/>
    <col min="3349" max="3349" width="10.28515625" style="226" customWidth="1"/>
    <col min="3350" max="3350" width="9.28515625" style="226"/>
    <col min="3351" max="3351" width="10" style="226" customWidth="1"/>
    <col min="3352" max="3352" width="9.28515625" style="226" customWidth="1"/>
    <col min="3353" max="3357" width="10.28515625" style="226" customWidth="1"/>
    <col min="3358" max="3584" width="9.28515625" style="226"/>
    <col min="3585" max="3585" width="13.28515625" style="226" customWidth="1"/>
    <col min="3586" max="3586" width="13" style="226" customWidth="1"/>
    <col min="3587" max="3587" width="10.7109375" style="226" customWidth="1"/>
    <col min="3588" max="3588" width="6.85546875" style="226" customWidth="1"/>
    <col min="3589" max="3589" width="8.140625" style="226" customWidth="1"/>
    <col min="3590" max="3590" width="7.85546875" style="226" customWidth="1"/>
    <col min="3591" max="3595" width="4.5703125" style="226" customWidth="1"/>
    <col min="3596" max="3596" width="9.28515625" style="226" customWidth="1"/>
    <col min="3597" max="3597" width="9.28515625" style="226"/>
    <col min="3598" max="3598" width="5.28515625" style="226" customWidth="1"/>
    <col min="3599" max="3599" width="9.28515625" style="226" customWidth="1"/>
    <col min="3600" max="3600" width="9.28515625" style="226"/>
    <col min="3601" max="3601" width="9.28515625" style="226" customWidth="1"/>
    <col min="3602" max="3604" width="9.28515625" style="226"/>
    <col min="3605" max="3605" width="10.28515625" style="226" customWidth="1"/>
    <col min="3606" max="3606" width="9.28515625" style="226"/>
    <col min="3607" max="3607" width="10" style="226" customWidth="1"/>
    <col min="3608" max="3608" width="9.28515625" style="226" customWidth="1"/>
    <col min="3609" max="3613" width="10.28515625" style="226" customWidth="1"/>
    <col min="3614" max="3840" width="9.28515625" style="226"/>
    <col min="3841" max="3841" width="13.28515625" style="226" customWidth="1"/>
    <col min="3842" max="3842" width="13" style="226" customWidth="1"/>
    <col min="3843" max="3843" width="10.7109375" style="226" customWidth="1"/>
    <col min="3844" max="3844" width="6.85546875" style="226" customWidth="1"/>
    <col min="3845" max="3845" width="8.140625" style="226" customWidth="1"/>
    <col min="3846" max="3846" width="7.85546875" style="226" customWidth="1"/>
    <col min="3847" max="3851" width="4.5703125" style="226" customWidth="1"/>
    <col min="3852" max="3852" width="9.28515625" style="226" customWidth="1"/>
    <col min="3853" max="3853" width="9.28515625" style="226"/>
    <col min="3854" max="3854" width="5.28515625" style="226" customWidth="1"/>
    <col min="3855" max="3855" width="9.28515625" style="226" customWidth="1"/>
    <col min="3856" max="3856" width="9.28515625" style="226"/>
    <col min="3857" max="3857" width="9.28515625" style="226" customWidth="1"/>
    <col min="3858" max="3860" width="9.28515625" style="226"/>
    <col min="3861" max="3861" width="10.28515625" style="226" customWidth="1"/>
    <col min="3862" max="3862" width="9.28515625" style="226"/>
    <col min="3863" max="3863" width="10" style="226" customWidth="1"/>
    <col min="3864" max="3864" width="9.28515625" style="226" customWidth="1"/>
    <col min="3865" max="3869" width="10.28515625" style="226" customWidth="1"/>
    <col min="3870" max="4096" width="9.28515625" style="226"/>
    <col min="4097" max="4097" width="13.28515625" style="226" customWidth="1"/>
    <col min="4098" max="4098" width="13" style="226" customWidth="1"/>
    <col min="4099" max="4099" width="10.7109375" style="226" customWidth="1"/>
    <col min="4100" max="4100" width="6.85546875" style="226" customWidth="1"/>
    <col min="4101" max="4101" width="8.140625" style="226" customWidth="1"/>
    <col min="4102" max="4102" width="7.85546875" style="226" customWidth="1"/>
    <col min="4103" max="4107" width="4.5703125" style="226" customWidth="1"/>
    <col min="4108" max="4108" width="9.28515625" style="226" customWidth="1"/>
    <col min="4109" max="4109" width="9.28515625" style="226"/>
    <col min="4110" max="4110" width="5.28515625" style="226" customWidth="1"/>
    <col min="4111" max="4111" width="9.28515625" style="226" customWidth="1"/>
    <col min="4112" max="4112" width="9.28515625" style="226"/>
    <col min="4113" max="4113" width="9.28515625" style="226" customWidth="1"/>
    <col min="4114" max="4116" width="9.28515625" style="226"/>
    <col min="4117" max="4117" width="10.28515625" style="226" customWidth="1"/>
    <col min="4118" max="4118" width="9.28515625" style="226"/>
    <col min="4119" max="4119" width="10" style="226" customWidth="1"/>
    <col min="4120" max="4120" width="9.28515625" style="226" customWidth="1"/>
    <col min="4121" max="4125" width="10.28515625" style="226" customWidth="1"/>
    <col min="4126" max="4352" width="9.28515625" style="226"/>
    <col min="4353" max="4353" width="13.28515625" style="226" customWidth="1"/>
    <col min="4354" max="4354" width="13" style="226" customWidth="1"/>
    <col min="4355" max="4355" width="10.7109375" style="226" customWidth="1"/>
    <col min="4356" max="4356" width="6.85546875" style="226" customWidth="1"/>
    <col min="4357" max="4357" width="8.140625" style="226" customWidth="1"/>
    <col min="4358" max="4358" width="7.85546875" style="226" customWidth="1"/>
    <col min="4359" max="4363" width="4.5703125" style="226" customWidth="1"/>
    <col min="4364" max="4364" width="9.28515625" style="226" customWidth="1"/>
    <col min="4365" max="4365" width="9.28515625" style="226"/>
    <col min="4366" max="4366" width="5.28515625" style="226" customWidth="1"/>
    <col min="4367" max="4367" width="9.28515625" style="226" customWidth="1"/>
    <col min="4368" max="4368" width="9.28515625" style="226"/>
    <col min="4369" max="4369" width="9.28515625" style="226" customWidth="1"/>
    <col min="4370" max="4372" width="9.28515625" style="226"/>
    <col min="4373" max="4373" width="10.28515625" style="226" customWidth="1"/>
    <col min="4374" max="4374" width="9.28515625" style="226"/>
    <col min="4375" max="4375" width="10" style="226" customWidth="1"/>
    <col min="4376" max="4376" width="9.28515625" style="226" customWidth="1"/>
    <col min="4377" max="4381" width="10.28515625" style="226" customWidth="1"/>
    <col min="4382" max="4608" width="9.28515625" style="226"/>
    <col min="4609" max="4609" width="13.28515625" style="226" customWidth="1"/>
    <col min="4610" max="4610" width="13" style="226" customWidth="1"/>
    <col min="4611" max="4611" width="10.7109375" style="226" customWidth="1"/>
    <col min="4612" max="4612" width="6.85546875" style="226" customWidth="1"/>
    <col min="4613" max="4613" width="8.140625" style="226" customWidth="1"/>
    <col min="4614" max="4614" width="7.85546875" style="226" customWidth="1"/>
    <col min="4615" max="4619" width="4.5703125" style="226" customWidth="1"/>
    <col min="4620" max="4620" width="9.28515625" style="226" customWidth="1"/>
    <col min="4621" max="4621" width="9.28515625" style="226"/>
    <col min="4622" max="4622" width="5.28515625" style="226" customWidth="1"/>
    <col min="4623" max="4623" width="9.28515625" style="226" customWidth="1"/>
    <col min="4624" max="4624" width="9.28515625" style="226"/>
    <col min="4625" max="4625" width="9.28515625" style="226" customWidth="1"/>
    <col min="4626" max="4628" width="9.28515625" style="226"/>
    <col min="4629" max="4629" width="10.28515625" style="226" customWidth="1"/>
    <col min="4630" max="4630" width="9.28515625" style="226"/>
    <col min="4631" max="4631" width="10" style="226" customWidth="1"/>
    <col min="4632" max="4632" width="9.28515625" style="226" customWidth="1"/>
    <col min="4633" max="4637" width="10.28515625" style="226" customWidth="1"/>
    <col min="4638" max="4864" width="9.28515625" style="226"/>
    <col min="4865" max="4865" width="13.28515625" style="226" customWidth="1"/>
    <col min="4866" max="4866" width="13" style="226" customWidth="1"/>
    <col min="4867" max="4867" width="10.7109375" style="226" customWidth="1"/>
    <col min="4868" max="4868" width="6.85546875" style="226" customWidth="1"/>
    <col min="4869" max="4869" width="8.140625" style="226" customWidth="1"/>
    <col min="4870" max="4870" width="7.85546875" style="226" customWidth="1"/>
    <col min="4871" max="4875" width="4.5703125" style="226" customWidth="1"/>
    <col min="4876" max="4876" width="9.28515625" style="226" customWidth="1"/>
    <col min="4877" max="4877" width="9.28515625" style="226"/>
    <col min="4878" max="4878" width="5.28515625" style="226" customWidth="1"/>
    <col min="4879" max="4879" width="9.28515625" style="226" customWidth="1"/>
    <col min="4880" max="4880" width="9.28515625" style="226"/>
    <col min="4881" max="4881" width="9.28515625" style="226" customWidth="1"/>
    <col min="4882" max="4884" width="9.28515625" style="226"/>
    <col min="4885" max="4885" width="10.28515625" style="226" customWidth="1"/>
    <col min="4886" max="4886" width="9.28515625" style="226"/>
    <col min="4887" max="4887" width="10" style="226" customWidth="1"/>
    <col min="4888" max="4888" width="9.28515625" style="226" customWidth="1"/>
    <col min="4889" max="4893" width="10.28515625" style="226" customWidth="1"/>
    <col min="4894" max="5120" width="9.28515625" style="226"/>
    <col min="5121" max="5121" width="13.28515625" style="226" customWidth="1"/>
    <col min="5122" max="5122" width="13" style="226" customWidth="1"/>
    <col min="5123" max="5123" width="10.7109375" style="226" customWidth="1"/>
    <col min="5124" max="5124" width="6.85546875" style="226" customWidth="1"/>
    <col min="5125" max="5125" width="8.140625" style="226" customWidth="1"/>
    <col min="5126" max="5126" width="7.85546875" style="226" customWidth="1"/>
    <col min="5127" max="5131" width="4.5703125" style="226" customWidth="1"/>
    <col min="5132" max="5132" width="9.28515625" style="226" customWidth="1"/>
    <col min="5133" max="5133" width="9.28515625" style="226"/>
    <col min="5134" max="5134" width="5.28515625" style="226" customWidth="1"/>
    <col min="5135" max="5135" width="9.28515625" style="226" customWidth="1"/>
    <col min="5136" max="5136" width="9.28515625" style="226"/>
    <col min="5137" max="5137" width="9.28515625" style="226" customWidth="1"/>
    <col min="5138" max="5140" width="9.28515625" style="226"/>
    <col min="5141" max="5141" width="10.28515625" style="226" customWidth="1"/>
    <col min="5142" max="5142" width="9.28515625" style="226"/>
    <col min="5143" max="5143" width="10" style="226" customWidth="1"/>
    <col min="5144" max="5144" width="9.28515625" style="226" customWidth="1"/>
    <col min="5145" max="5149" width="10.28515625" style="226" customWidth="1"/>
    <col min="5150" max="5376" width="9.28515625" style="226"/>
    <col min="5377" max="5377" width="13.28515625" style="226" customWidth="1"/>
    <col min="5378" max="5378" width="13" style="226" customWidth="1"/>
    <col min="5379" max="5379" width="10.7109375" style="226" customWidth="1"/>
    <col min="5380" max="5380" width="6.85546875" style="226" customWidth="1"/>
    <col min="5381" max="5381" width="8.140625" style="226" customWidth="1"/>
    <col min="5382" max="5382" width="7.85546875" style="226" customWidth="1"/>
    <col min="5383" max="5387" width="4.5703125" style="226" customWidth="1"/>
    <col min="5388" max="5388" width="9.28515625" style="226" customWidth="1"/>
    <col min="5389" max="5389" width="9.28515625" style="226"/>
    <col min="5390" max="5390" width="5.28515625" style="226" customWidth="1"/>
    <col min="5391" max="5391" width="9.28515625" style="226" customWidth="1"/>
    <col min="5392" max="5392" width="9.28515625" style="226"/>
    <col min="5393" max="5393" width="9.28515625" style="226" customWidth="1"/>
    <col min="5394" max="5396" width="9.28515625" style="226"/>
    <col min="5397" max="5397" width="10.28515625" style="226" customWidth="1"/>
    <col min="5398" max="5398" width="9.28515625" style="226"/>
    <col min="5399" max="5399" width="10" style="226" customWidth="1"/>
    <col min="5400" max="5400" width="9.28515625" style="226" customWidth="1"/>
    <col min="5401" max="5405" width="10.28515625" style="226" customWidth="1"/>
    <col min="5406" max="5632" width="9.28515625" style="226"/>
    <col min="5633" max="5633" width="13.28515625" style="226" customWidth="1"/>
    <col min="5634" max="5634" width="13" style="226" customWidth="1"/>
    <col min="5635" max="5635" width="10.7109375" style="226" customWidth="1"/>
    <col min="5636" max="5636" width="6.85546875" style="226" customWidth="1"/>
    <col min="5637" max="5637" width="8.140625" style="226" customWidth="1"/>
    <col min="5638" max="5638" width="7.85546875" style="226" customWidth="1"/>
    <col min="5639" max="5643" width="4.5703125" style="226" customWidth="1"/>
    <col min="5644" max="5644" width="9.28515625" style="226" customWidth="1"/>
    <col min="5645" max="5645" width="9.28515625" style="226"/>
    <col min="5646" max="5646" width="5.28515625" style="226" customWidth="1"/>
    <col min="5647" max="5647" width="9.28515625" style="226" customWidth="1"/>
    <col min="5648" max="5648" width="9.28515625" style="226"/>
    <col min="5649" max="5649" width="9.28515625" style="226" customWidth="1"/>
    <col min="5650" max="5652" width="9.28515625" style="226"/>
    <col min="5653" max="5653" width="10.28515625" style="226" customWidth="1"/>
    <col min="5654" max="5654" width="9.28515625" style="226"/>
    <col min="5655" max="5655" width="10" style="226" customWidth="1"/>
    <col min="5656" max="5656" width="9.28515625" style="226" customWidth="1"/>
    <col min="5657" max="5661" width="10.28515625" style="226" customWidth="1"/>
    <col min="5662" max="5888" width="9.28515625" style="226"/>
    <col min="5889" max="5889" width="13.28515625" style="226" customWidth="1"/>
    <col min="5890" max="5890" width="13" style="226" customWidth="1"/>
    <col min="5891" max="5891" width="10.7109375" style="226" customWidth="1"/>
    <col min="5892" max="5892" width="6.85546875" style="226" customWidth="1"/>
    <col min="5893" max="5893" width="8.140625" style="226" customWidth="1"/>
    <col min="5894" max="5894" width="7.85546875" style="226" customWidth="1"/>
    <col min="5895" max="5899" width="4.5703125" style="226" customWidth="1"/>
    <col min="5900" max="5900" width="9.28515625" style="226" customWidth="1"/>
    <col min="5901" max="5901" width="9.28515625" style="226"/>
    <col min="5902" max="5902" width="5.28515625" style="226" customWidth="1"/>
    <col min="5903" max="5903" width="9.28515625" style="226" customWidth="1"/>
    <col min="5904" max="5904" width="9.28515625" style="226"/>
    <col min="5905" max="5905" width="9.28515625" style="226" customWidth="1"/>
    <col min="5906" max="5908" width="9.28515625" style="226"/>
    <col min="5909" max="5909" width="10.28515625" style="226" customWidth="1"/>
    <col min="5910" max="5910" width="9.28515625" style="226"/>
    <col min="5911" max="5911" width="10" style="226" customWidth="1"/>
    <col min="5912" max="5912" width="9.28515625" style="226" customWidth="1"/>
    <col min="5913" max="5917" width="10.28515625" style="226" customWidth="1"/>
    <col min="5918" max="6144" width="9.28515625" style="226"/>
    <col min="6145" max="6145" width="13.28515625" style="226" customWidth="1"/>
    <col min="6146" max="6146" width="13" style="226" customWidth="1"/>
    <col min="6147" max="6147" width="10.7109375" style="226" customWidth="1"/>
    <col min="6148" max="6148" width="6.85546875" style="226" customWidth="1"/>
    <col min="6149" max="6149" width="8.140625" style="226" customWidth="1"/>
    <col min="6150" max="6150" width="7.85546875" style="226" customWidth="1"/>
    <col min="6151" max="6155" width="4.5703125" style="226" customWidth="1"/>
    <col min="6156" max="6156" width="9.28515625" style="226" customWidth="1"/>
    <col min="6157" max="6157" width="9.28515625" style="226"/>
    <col min="6158" max="6158" width="5.28515625" style="226" customWidth="1"/>
    <col min="6159" max="6159" width="9.28515625" style="226" customWidth="1"/>
    <col min="6160" max="6160" width="9.28515625" style="226"/>
    <col min="6161" max="6161" width="9.28515625" style="226" customWidth="1"/>
    <col min="6162" max="6164" width="9.28515625" style="226"/>
    <col min="6165" max="6165" width="10.28515625" style="226" customWidth="1"/>
    <col min="6166" max="6166" width="9.28515625" style="226"/>
    <col min="6167" max="6167" width="10" style="226" customWidth="1"/>
    <col min="6168" max="6168" width="9.28515625" style="226" customWidth="1"/>
    <col min="6169" max="6173" width="10.28515625" style="226" customWidth="1"/>
    <col min="6174" max="6400" width="9.28515625" style="226"/>
    <col min="6401" max="6401" width="13.28515625" style="226" customWidth="1"/>
    <col min="6402" max="6402" width="13" style="226" customWidth="1"/>
    <col min="6403" max="6403" width="10.7109375" style="226" customWidth="1"/>
    <col min="6404" max="6404" width="6.85546875" style="226" customWidth="1"/>
    <col min="6405" max="6405" width="8.140625" style="226" customWidth="1"/>
    <col min="6406" max="6406" width="7.85546875" style="226" customWidth="1"/>
    <col min="6407" max="6411" width="4.5703125" style="226" customWidth="1"/>
    <col min="6412" max="6412" width="9.28515625" style="226" customWidth="1"/>
    <col min="6413" max="6413" width="9.28515625" style="226"/>
    <col min="6414" max="6414" width="5.28515625" style="226" customWidth="1"/>
    <col min="6415" max="6415" width="9.28515625" style="226" customWidth="1"/>
    <col min="6416" max="6416" width="9.28515625" style="226"/>
    <col min="6417" max="6417" width="9.28515625" style="226" customWidth="1"/>
    <col min="6418" max="6420" width="9.28515625" style="226"/>
    <col min="6421" max="6421" width="10.28515625" style="226" customWidth="1"/>
    <col min="6422" max="6422" width="9.28515625" style="226"/>
    <col min="6423" max="6423" width="10" style="226" customWidth="1"/>
    <col min="6424" max="6424" width="9.28515625" style="226" customWidth="1"/>
    <col min="6425" max="6429" width="10.28515625" style="226" customWidth="1"/>
    <col min="6430" max="6656" width="9.28515625" style="226"/>
    <col min="6657" max="6657" width="13.28515625" style="226" customWidth="1"/>
    <col min="6658" max="6658" width="13" style="226" customWidth="1"/>
    <col min="6659" max="6659" width="10.7109375" style="226" customWidth="1"/>
    <col min="6660" max="6660" width="6.85546875" style="226" customWidth="1"/>
    <col min="6661" max="6661" width="8.140625" style="226" customWidth="1"/>
    <col min="6662" max="6662" width="7.85546875" style="226" customWidth="1"/>
    <col min="6663" max="6667" width="4.5703125" style="226" customWidth="1"/>
    <col min="6668" max="6668" width="9.28515625" style="226" customWidth="1"/>
    <col min="6669" max="6669" width="9.28515625" style="226"/>
    <col min="6670" max="6670" width="5.28515625" style="226" customWidth="1"/>
    <col min="6671" max="6671" width="9.28515625" style="226" customWidth="1"/>
    <col min="6672" max="6672" width="9.28515625" style="226"/>
    <col min="6673" max="6673" width="9.28515625" style="226" customWidth="1"/>
    <col min="6674" max="6676" width="9.28515625" style="226"/>
    <col min="6677" max="6677" width="10.28515625" style="226" customWidth="1"/>
    <col min="6678" max="6678" width="9.28515625" style="226"/>
    <col min="6679" max="6679" width="10" style="226" customWidth="1"/>
    <col min="6680" max="6680" width="9.28515625" style="226" customWidth="1"/>
    <col min="6681" max="6685" width="10.28515625" style="226" customWidth="1"/>
    <col min="6686" max="6912" width="9.28515625" style="226"/>
    <col min="6913" max="6913" width="13.28515625" style="226" customWidth="1"/>
    <col min="6914" max="6914" width="13" style="226" customWidth="1"/>
    <col min="6915" max="6915" width="10.7109375" style="226" customWidth="1"/>
    <col min="6916" max="6916" width="6.85546875" style="226" customWidth="1"/>
    <col min="6917" max="6917" width="8.140625" style="226" customWidth="1"/>
    <col min="6918" max="6918" width="7.85546875" style="226" customWidth="1"/>
    <col min="6919" max="6923" width="4.5703125" style="226" customWidth="1"/>
    <col min="6924" max="6924" width="9.28515625" style="226" customWidth="1"/>
    <col min="6925" max="6925" width="9.28515625" style="226"/>
    <col min="6926" max="6926" width="5.28515625" style="226" customWidth="1"/>
    <col min="6927" max="6927" width="9.28515625" style="226" customWidth="1"/>
    <col min="6928" max="6928" width="9.28515625" style="226"/>
    <col min="6929" max="6929" width="9.28515625" style="226" customWidth="1"/>
    <col min="6930" max="6932" width="9.28515625" style="226"/>
    <col min="6933" max="6933" width="10.28515625" style="226" customWidth="1"/>
    <col min="6934" max="6934" width="9.28515625" style="226"/>
    <col min="6935" max="6935" width="10" style="226" customWidth="1"/>
    <col min="6936" max="6936" width="9.28515625" style="226" customWidth="1"/>
    <col min="6937" max="6941" width="10.28515625" style="226" customWidth="1"/>
    <col min="6942" max="7168" width="9.28515625" style="226"/>
    <col min="7169" max="7169" width="13.28515625" style="226" customWidth="1"/>
    <col min="7170" max="7170" width="13" style="226" customWidth="1"/>
    <col min="7171" max="7171" width="10.7109375" style="226" customWidth="1"/>
    <col min="7172" max="7172" width="6.85546875" style="226" customWidth="1"/>
    <col min="7173" max="7173" width="8.140625" style="226" customWidth="1"/>
    <col min="7174" max="7174" width="7.85546875" style="226" customWidth="1"/>
    <col min="7175" max="7179" width="4.5703125" style="226" customWidth="1"/>
    <col min="7180" max="7180" width="9.28515625" style="226" customWidth="1"/>
    <col min="7181" max="7181" width="9.28515625" style="226"/>
    <col min="7182" max="7182" width="5.28515625" style="226" customWidth="1"/>
    <col min="7183" max="7183" width="9.28515625" style="226" customWidth="1"/>
    <col min="7184" max="7184" width="9.28515625" style="226"/>
    <col min="7185" max="7185" width="9.28515625" style="226" customWidth="1"/>
    <col min="7186" max="7188" width="9.28515625" style="226"/>
    <col min="7189" max="7189" width="10.28515625" style="226" customWidth="1"/>
    <col min="7190" max="7190" width="9.28515625" style="226"/>
    <col min="7191" max="7191" width="10" style="226" customWidth="1"/>
    <col min="7192" max="7192" width="9.28515625" style="226" customWidth="1"/>
    <col min="7193" max="7197" width="10.28515625" style="226" customWidth="1"/>
    <col min="7198" max="7424" width="9.28515625" style="226"/>
    <col min="7425" max="7425" width="13.28515625" style="226" customWidth="1"/>
    <col min="7426" max="7426" width="13" style="226" customWidth="1"/>
    <col min="7427" max="7427" width="10.7109375" style="226" customWidth="1"/>
    <col min="7428" max="7428" width="6.85546875" style="226" customWidth="1"/>
    <col min="7429" max="7429" width="8.140625" style="226" customWidth="1"/>
    <col min="7430" max="7430" width="7.85546875" style="226" customWidth="1"/>
    <col min="7431" max="7435" width="4.5703125" style="226" customWidth="1"/>
    <col min="7436" max="7436" width="9.28515625" style="226" customWidth="1"/>
    <col min="7437" max="7437" width="9.28515625" style="226"/>
    <col min="7438" max="7438" width="5.28515625" style="226" customWidth="1"/>
    <col min="7439" max="7439" width="9.28515625" style="226" customWidth="1"/>
    <col min="7440" max="7440" width="9.28515625" style="226"/>
    <col min="7441" max="7441" width="9.28515625" style="226" customWidth="1"/>
    <col min="7442" max="7444" width="9.28515625" style="226"/>
    <col min="7445" max="7445" width="10.28515625" style="226" customWidth="1"/>
    <col min="7446" max="7446" width="9.28515625" style="226"/>
    <col min="7447" max="7447" width="10" style="226" customWidth="1"/>
    <col min="7448" max="7448" width="9.28515625" style="226" customWidth="1"/>
    <col min="7449" max="7453" width="10.28515625" style="226" customWidth="1"/>
    <col min="7454" max="7680" width="9.28515625" style="226"/>
    <col min="7681" max="7681" width="13.28515625" style="226" customWidth="1"/>
    <col min="7682" max="7682" width="13" style="226" customWidth="1"/>
    <col min="7683" max="7683" width="10.7109375" style="226" customWidth="1"/>
    <col min="7684" max="7684" width="6.85546875" style="226" customWidth="1"/>
    <col min="7685" max="7685" width="8.140625" style="226" customWidth="1"/>
    <col min="7686" max="7686" width="7.85546875" style="226" customWidth="1"/>
    <col min="7687" max="7691" width="4.5703125" style="226" customWidth="1"/>
    <col min="7692" max="7692" width="9.28515625" style="226" customWidth="1"/>
    <col min="7693" max="7693" width="9.28515625" style="226"/>
    <col min="7694" max="7694" width="5.28515625" style="226" customWidth="1"/>
    <col min="7695" max="7695" width="9.28515625" style="226" customWidth="1"/>
    <col min="7696" max="7696" width="9.28515625" style="226"/>
    <col min="7697" max="7697" width="9.28515625" style="226" customWidth="1"/>
    <col min="7698" max="7700" width="9.28515625" style="226"/>
    <col min="7701" max="7701" width="10.28515625" style="226" customWidth="1"/>
    <col min="7702" max="7702" width="9.28515625" style="226"/>
    <col min="7703" max="7703" width="10" style="226" customWidth="1"/>
    <col min="7704" max="7704" width="9.28515625" style="226" customWidth="1"/>
    <col min="7705" max="7709" width="10.28515625" style="226" customWidth="1"/>
    <col min="7710" max="7936" width="9.28515625" style="226"/>
    <col min="7937" max="7937" width="13.28515625" style="226" customWidth="1"/>
    <col min="7938" max="7938" width="13" style="226" customWidth="1"/>
    <col min="7939" max="7939" width="10.7109375" style="226" customWidth="1"/>
    <col min="7940" max="7940" width="6.85546875" style="226" customWidth="1"/>
    <col min="7941" max="7941" width="8.140625" style="226" customWidth="1"/>
    <col min="7942" max="7942" width="7.85546875" style="226" customWidth="1"/>
    <col min="7943" max="7947" width="4.5703125" style="226" customWidth="1"/>
    <col min="7948" max="7948" width="9.28515625" style="226" customWidth="1"/>
    <col min="7949" max="7949" width="9.28515625" style="226"/>
    <col min="7950" max="7950" width="5.28515625" style="226" customWidth="1"/>
    <col min="7951" max="7951" width="9.28515625" style="226" customWidth="1"/>
    <col min="7952" max="7952" width="9.28515625" style="226"/>
    <col min="7953" max="7953" width="9.28515625" style="226" customWidth="1"/>
    <col min="7954" max="7956" width="9.28515625" style="226"/>
    <col min="7957" max="7957" width="10.28515625" style="226" customWidth="1"/>
    <col min="7958" max="7958" width="9.28515625" style="226"/>
    <col min="7959" max="7959" width="10" style="226" customWidth="1"/>
    <col min="7960" max="7960" width="9.28515625" style="226" customWidth="1"/>
    <col min="7961" max="7965" width="10.28515625" style="226" customWidth="1"/>
    <col min="7966" max="8192" width="9.28515625" style="226"/>
    <col min="8193" max="8193" width="13.28515625" style="226" customWidth="1"/>
    <col min="8194" max="8194" width="13" style="226" customWidth="1"/>
    <col min="8195" max="8195" width="10.7109375" style="226" customWidth="1"/>
    <col min="8196" max="8196" width="6.85546875" style="226" customWidth="1"/>
    <col min="8197" max="8197" width="8.140625" style="226" customWidth="1"/>
    <col min="8198" max="8198" width="7.85546875" style="226" customWidth="1"/>
    <col min="8199" max="8203" width="4.5703125" style="226" customWidth="1"/>
    <col min="8204" max="8204" width="9.28515625" style="226" customWidth="1"/>
    <col min="8205" max="8205" width="9.28515625" style="226"/>
    <col min="8206" max="8206" width="5.28515625" style="226" customWidth="1"/>
    <col min="8207" max="8207" width="9.28515625" style="226" customWidth="1"/>
    <col min="8208" max="8208" width="9.28515625" style="226"/>
    <col min="8209" max="8209" width="9.28515625" style="226" customWidth="1"/>
    <col min="8210" max="8212" width="9.28515625" style="226"/>
    <col min="8213" max="8213" width="10.28515625" style="226" customWidth="1"/>
    <col min="8214" max="8214" width="9.28515625" style="226"/>
    <col min="8215" max="8215" width="10" style="226" customWidth="1"/>
    <col min="8216" max="8216" width="9.28515625" style="226" customWidth="1"/>
    <col min="8217" max="8221" width="10.28515625" style="226" customWidth="1"/>
    <col min="8222" max="8448" width="9.28515625" style="226"/>
    <col min="8449" max="8449" width="13.28515625" style="226" customWidth="1"/>
    <col min="8450" max="8450" width="13" style="226" customWidth="1"/>
    <col min="8451" max="8451" width="10.7109375" style="226" customWidth="1"/>
    <col min="8452" max="8452" width="6.85546875" style="226" customWidth="1"/>
    <col min="8453" max="8453" width="8.140625" style="226" customWidth="1"/>
    <col min="8454" max="8454" width="7.85546875" style="226" customWidth="1"/>
    <col min="8455" max="8459" width="4.5703125" style="226" customWidth="1"/>
    <col min="8460" max="8460" width="9.28515625" style="226" customWidth="1"/>
    <col min="8461" max="8461" width="9.28515625" style="226"/>
    <col min="8462" max="8462" width="5.28515625" style="226" customWidth="1"/>
    <col min="8463" max="8463" width="9.28515625" style="226" customWidth="1"/>
    <col min="8464" max="8464" width="9.28515625" style="226"/>
    <col min="8465" max="8465" width="9.28515625" style="226" customWidth="1"/>
    <col min="8466" max="8468" width="9.28515625" style="226"/>
    <col min="8469" max="8469" width="10.28515625" style="226" customWidth="1"/>
    <col min="8470" max="8470" width="9.28515625" style="226"/>
    <col min="8471" max="8471" width="10" style="226" customWidth="1"/>
    <col min="8472" max="8472" width="9.28515625" style="226" customWidth="1"/>
    <col min="8473" max="8477" width="10.28515625" style="226" customWidth="1"/>
    <col min="8478" max="8704" width="9.28515625" style="226"/>
    <col min="8705" max="8705" width="13.28515625" style="226" customWidth="1"/>
    <col min="8706" max="8706" width="13" style="226" customWidth="1"/>
    <col min="8707" max="8707" width="10.7109375" style="226" customWidth="1"/>
    <col min="8708" max="8708" width="6.85546875" style="226" customWidth="1"/>
    <col min="8709" max="8709" width="8.140625" style="226" customWidth="1"/>
    <col min="8710" max="8710" width="7.85546875" style="226" customWidth="1"/>
    <col min="8711" max="8715" width="4.5703125" style="226" customWidth="1"/>
    <col min="8716" max="8716" width="9.28515625" style="226" customWidth="1"/>
    <col min="8717" max="8717" width="9.28515625" style="226"/>
    <col min="8718" max="8718" width="5.28515625" style="226" customWidth="1"/>
    <col min="8719" max="8719" width="9.28515625" style="226" customWidth="1"/>
    <col min="8720" max="8720" width="9.28515625" style="226"/>
    <col min="8721" max="8721" width="9.28515625" style="226" customWidth="1"/>
    <col min="8722" max="8724" width="9.28515625" style="226"/>
    <col min="8725" max="8725" width="10.28515625" style="226" customWidth="1"/>
    <col min="8726" max="8726" width="9.28515625" style="226"/>
    <col min="8727" max="8727" width="10" style="226" customWidth="1"/>
    <col min="8728" max="8728" width="9.28515625" style="226" customWidth="1"/>
    <col min="8729" max="8733" width="10.28515625" style="226" customWidth="1"/>
    <col min="8734" max="8960" width="9.28515625" style="226"/>
    <col min="8961" max="8961" width="13.28515625" style="226" customWidth="1"/>
    <col min="8962" max="8962" width="13" style="226" customWidth="1"/>
    <col min="8963" max="8963" width="10.7109375" style="226" customWidth="1"/>
    <col min="8964" max="8964" width="6.85546875" style="226" customWidth="1"/>
    <col min="8965" max="8965" width="8.140625" style="226" customWidth="1"/>
    <col min="8966" max="8966" width="7.85546875" style="226" customWidth="1"/>
    <col min="8967" max="8971" width="4.5703125" style="226" customWidth="1"/>
    <col min="8972" max="8972" width="9.28515625" style="226" customWidth="1"/>
    <col min="8973" max="8973" width="9.28515625" style="226"/>
    <col min="8974" max="8974" width="5.28515625" style="226" customWidth="1"/>
    <col min="8975" max="8975" width="9.28515625" style="226" customWidth="1"/>
    <col min="8976" max="8976" width="9.28515625" style="226"/>
    <col min="8977" max="8977" width="9.28515625" style="226" customWidth="1"/>
    <col min="8978" max="8980" width="9.28515625" style="226"/>
    <col min="8981" max="8981" width="10.28515625" style="226" customWidth="1"/>
    <col min="8982" max="8982" width="9.28515625" style="226"/>
    <col min="8983" max="8983" width="10" style="226" customWidth="1"/>
    <col min="8984" max="8984" width="9.28515625" style="226" customWidth="1"/>
    <col min="8985" max="8989" width="10.28515625" style="226" customWidth="1"/>
    <col min="8990" max="9216" width="9.28515625" style="226"/>
    <col min="9217" max="9217" width="13.28515625" style="226" customWidth="1"/>
    <col min="9218" max="9218" width="13" style="226" customWidth="1"/>
    <col min="9219" max="9219" width="10.7109375" style="226" customWidth="1"/>
    <col min="9220" max="9220" width="6.85546875" style="226" customWidth="1"/>
    <col min="9221" max="9221" width="8.140625" style="226" customWidth="1"/>
    <col min="9222" max="9222" width="7.85546875" style="226" customWidth="1"/>
    <col min="9223" max="9227" width="4.5703125" style="226" customWidth="1"/>
    <col min="9228" max="9228" width="9.28515625" style="226" customWidth="1"/>
    <col min="9229" max="9229" width="9.28515625" style="226"/>
    <col min="9230" max="9230" width="5.28515625" style="226" customWidth="1"/>
    <col min="9231" max="9231" width="9.28515625" style="226" customWidth="1"/>
    <col min="9232" max="9232" width="9.28515625" style="226"/>
    <col min="9233" max="9233" width="9.28515625" style="226" customWidth="1"/>
    <col min="9234" max="9236" width="9.28515625" style="226"/>
    <col min="9237" max="9237" width="10.28515625" style="226" customWidth="1"/>
    <col min="9238" max="9238" width="9.28515625" style="226"/>
    <col min="9239" max="9239" width="10" style="226" customWidth="1"/>
    <col min="9240" max="9240" width="9.28515625" style="226" customWidth="1"/>
    <col min="9241" max="9245" width="10.28515625" style="226" customWidth="1"/>
    <col min="9246" max="9472" width="9.28515625" style="226"/>
    <col min="9473" max="9473" width="13.28515625" style="226" customWidth="1"/>
    <col min="9474" max="9474" width="13" style="226" customWidth="1"/>
    <col min="9475" max="9475" width="10.7109375" style="226" customWidth="1"/>
    <col min="9476" max="9476" width="6.85546875" style="226" customWidth="1"/>
    <col min="9477" max="9477" width="8.140625" style="226" customWidth="1"/>
    <col min="9478" max="9478" width="7.85546875" style="226" customWidth="1"/>
    <col min="9479" max="9483" width="4.5703125" style="226" customWidth="1"/>
    <col min="9484" max="9484" width="9.28515625" style="226" customWidth="1"/>
    <col min="9485" max="9485" width="9.28515625" style="226"/>
    <col min="9486" max="9486" width="5.28515625" style="226" customWidth="1"/>
    <col min="9487" max="9487" width="9.28515625" style="226" customWidth="1"/>
    <col min="9488" max="9488" width="9.28515625" style="226"/>
    <col min="9489" max="9489" width="9.28515625" style="226" customWidth="1"/>
    <col min="9490" max="9492" width="9.28515625" style="226"/>
    <col min="9493" max="9493" width="10.28515625" style="226" customWidth="1"/>
    <col min="9494" max="9494" width="9.28515625" style="226"/>
    <col min="9495" max="9495" width="10" style="226" customWidth="1"/>
    <col min="9496" max="9496" width="9.28515625" style="226" customWidth="1"/>
    <col min="9497" max="9501" width="10.28515625" style="226" customWidth="1"/>
    <col min="9502" max="9728" width="9.28515625" style="226"/>
    <col min="9729" max="9729" width="13.28515625" style="226" customWidth="1"/>
    <col min="9730" max="9730" width="13" style="226" customWidth="1"/>
    <col min="9731" max="9731" width="10.7109375" style="226" customWidth="1"/>
    <col min="9732" max="9732" width="6.85546875" style="226" customWidth="1"/>
    <col min="9733" max="9733" width="8.140625" style="226" customWidth="1"/>
    <col min="9734" max="9734" width="7.85546875" style="226" customWidth="1"/>
    <col min="9735" max="9739" width="4.5703125" style="226" customWidth="1"/>
    <col min="9740" max="9740" width="9.28515625" style="226" customWidth="1"/>
    <col min="9741" max="9741" width="9.28515625" style="226"/>
    <col min="9742" max="9742" width="5.28515625" style="226" customWidth="1"/>
    <col min="9743" max="9743" width="9.28515625" style="226" customWidth="1"/>
    <col min="9744" max="9744" width="9.28515625" style="226"/>
    <col min="9745" max="9745" width="9.28515625" style="226" customWidth="1"/>
    <col min="9746" max="9748" width="9.28515625" style="226"/>
    <col min="9749" max="9749" width="10.28515625" style="226" customWidth="1"/>
    <col min="9750" max="9750" width="9.28515625" style="226"/>
    <col min="9751" max="9751" width="10" style="226" customWidth="1"/>
    <col min="9752" max="9752" width="9.28515625" style="226" customWidth="1"/>
    <col min="9753" max="9757" width="10.28515625" style="226" customWidth="1"/>
    <col min="9758" max="9984" width="9.28515625" style="226"/>
    <col min="9985" max="9985" width="13.28515625" style="226" customWidth="1"/>
    <col min="9986" max="9986" width="13" style="226" customWidth="1"/>
    <col min="9987" max="9987" width="10.7109375" style="226" customWidth="1"/>
    <col min="9988" max="9988" width="6.85546875" style="226" customWidth="1"/>
    <col min="9989" max="9989" width="8.140625" style="226" customWidth="1"/>
    <col min="9990" max="9990" width="7.85546875" style="226" customWidth="1"/>
    <col min="9991" max="9995" width="4.5703125" style="226" customWidth="1"/>
    <col min="9996" max="9996" width="9.28515625" style="226" customWidth="1"/>
    <col min="9997" max="9997" width="9.28515625" style="226"/>
    <col min="9998" max="9998" width="5.28515625" style="226" customWidth="1"/>
    <col min="9999" max="9999" width="9.28515625" style="226" customWidth="1"/>
    <col min="10000" max="10000" width="9.28515625" style="226"/>
    <col min="10001" max="10001" width="9.28515625" style="226" customWidth="1"/>
    <col min="10002" max="10004" width="9.28515625" style="226"/>
    <col min="10005" max="10005" width="10.28515625" style="226" customWidth="1"/>
    <col min="10006" max="10006" width="9.28515625" style="226"/>
    <col min="10007" max="10007" width="10" style="226" customWidth="1"/>
    <col min="10008" max="10008" width="9.28515625" style="226" customWidth="1"/>
    <col min="10009" max="10013" width="10.28515625" style="226" customWidth="1"/>
    <col min="10014" max="10240" width="9.28515625" style="226"/>
    <col min="10241" max="10241" width="13.28515625" style="226" customWidth="1"/>
    <col min="10242" max="10242" width="13" style="226" customWidth="1"/>
    <col min="10243" max="10243" width="10.7109375" style="226" customWidth="1"/>
    <col min="10244" max="10244" width="6.85546875" style="226" customWidth="1"/>
    <col min="10245" max="10245" width="8.140625" style="226" customWidth="1"/>
    <col min="10246" max="10246" width="7.85546875" style="226" customWidth="1"/>
    <col min="10247" max="10251" width="4.5703125" style="226" customWidth="1"/>
    <col min="10252" max="10252" width="9.28515625" style="226" customWidth="1"/>
    <col min="10253" max="10253" width="9.28515625" style="226"/>
    <col min="10254" max="10254" width="5.28515625" style="226" customWidth="1"/>
    <col min="10255" max="10255" width="9.28515625" style="226" customWidth="1"/>
    <col min="10256" max="10256" width="9.28515625" style="226"/>
    <col min="10257" max="10257" width="9.28515625" style="226" customWidth="1"/>
    <col min="10258" max="10260" width="9.28515625" style="226"/>
    <col min="10261" max="10261" width="10.28515625" style="226" customWidth="1"/>
    <col min="10262" max="10262" width="9.28515625" style="226"/>
    <col min="10263" max="10263" width="10" style="226" customWidth="1"/>
    <col min="10264" max="10264" width="9.28515625" style="226" customWidth="1"/>
    <col min="10265" max="10269" width="10.28515625" style="226" customWidth="1"/>
    <col min="10270" max="10496" width="9.28515625" style="226"/>
    <col min="10497" max="10497" width="13.28515625" style="226" customWidth="1"/>
    <col min="10498" max="10498" width="13" style="226" customWidth="1"/>
    <col min="10499" max="10499" width="10.7109375" style="226" customWidth="1"/>
    <col min="10500" max="10500" width="6.85546875" style="226" customWidth="1"/>
    <col min="10501" max="10501" width="8.140625" style="226" customWidth="1"/>
    <col min="10502" max="10502" width="7.85546875" style="226" customWidth="1"/>
    <col min="10503" max="10507" width="4.5703125" style="226" customWidth="1"/>
    <col min="10508" max="10508" width="9.28515625" style="226" customWidth="1"/>
    <col min="10509" max="10509" width="9.28515625" style="226"/>
    <col min="10510" max="10510" width="5.28515625" style="226" customWidth="1"/>
    <col min="10511" max="10511" width="9.28515625" style="226" customWidth="1"/>
    <col min="10512" max="10512" width="9.28515625" style="226"/>
    <col min="10513" max="10513" width="9.28515625" style="226" customWidth="1"/>
    <col min="10514" max="10516" width="9.28515625" style="226"/>
    <col min="10517" max="10517" width="10.28515625" style="226" customWidth="1"/>
    <col min="10518" max="10518" width="9.28515625" style="226"/>
    <col min="10519" max="10519" width="10" style="226" customWidth="1"/>
    <col min="10520" max="10520" width="9.28515625" style="226" customWidth="1"/>
    <col min="10521" max="10525" width="10.28515625" style="226" customWidth="1"/>
    <col min="10526" max="10752" width="9.28515625" style="226"/>
    <col min="10753" max="10753" width="13.28515625" style="226" customWidth="1"/>
    <col min="10754" max="10754" width="13" style="226" customWidth="1"/>
    <col min="10755" max="10755" width="10.7109375" style="226" customWidth="1"/>
    <col min="10756" max="10756" width="6.85546875" style="226" customWidth="1"/>
    <col min="10757" max="10757" width="8.140625" style="226" customWidth="1"/>
    <col min="10758" max="10758" width="7.85546875" style="226" customWidth="1"/>
    <col min="10759" max="10763" width="4.5703125" style="226" customWidth="1"/>
    <col min="10764" max="10764" width="9.28515625" style="226" customWidth="1"/>
    <col min="10765" max="10765" width="9.28515625" style="226"/>
    <col min="10766" max="10766" width="5.28515625" style="226" customWidth="1"/>
    <col min="10767" max="10767" width="9.28515625" style="226" customWidth="1"/>
    <col min="10768" max="10768" width="9.28515625" style="226"/>
    <col min="10769" max="10769" width="9.28515625" style="226" customWidth="1"/>
    <col min="10770" max="10772" width="9.28515625" style="226"/>
    <col min="10773" max="10773" width="10.28515625" style="226" customWidth="1"/>
    <col min="10774" max="10774" width="9.28515625" style="226"/>
    <col min="10775" max="10775" width="10" style="226" customWidth="1"/>
    <col min="10776" max="10776" width="9.28515625" style="226" customWidth="1"/>
    <col min="10777" max="10781" width="10.28515625" style="226" customWidth="1"/>
    <col min="10782" max="11008" width="9.28515625" style="226"/>
    <col min="11009" max="11009" width="13.28515625" style="226" customWidth="1"/>
    <col min="11010" max="11010" width="13" style="226" customWidth="1"/>
    <col min="11011" max="11011" width="10.7109375" style="226" customWidth="1"/>
    <col min="11012" max="11012" width="6.85546875" style="226" customWidth="1"/>
    <col min="11013" max="11013" width="8.140625" style="226" customWidth="1"/>
    <col min="11014" max="11014" width="7.85546875" style="226" customWidth="1"/>
    <col min="11015" max="11019" width="4.5703125" style="226" customWidth="1"/>
    <col min="11020" max="11020" width="9.28515625" style="226" customWidth="1"/>
    <col min="11021" max="11021" width="9.28515625" style="226"/>
    <col min="11022" max="11022" width="5.28515625" style="226" customWidth="1"/>
    <col min="11023" max="11023" width="9.28515625" style="226" customWidth="1"/>
    <col min="11024" max="11024" width="9.28515625" style="226"/>
    <col min="11025" max="11025" width="9.28515625" style="226" customWidth="1"/>
    <col min="11026" max="11028" width="9.28515625" style="226"/>
    <col min="11029" max="11029" width="10.28515625" style="226" customWidth="1"/>
    <col min="11030" max="11030" width="9.28515625" style="226"/>
    <col min="11031" max="11031" width="10" style="226" customWidth="1"/>
    <col min="11032" max="11032" width="9.28515625" style="226" customWidth="1"/>
    <col min="11033" max="11037" width="10.28515625" style="226" customWidth="1"/>
    <col min="11038" max="11264" width="9.28515625" style="226"/>
    <col min="11265" max="11265" width="13.28515625" style="226" customWidth="1"/>
    <col min="11266" max="11266" width="13" style="226" customWidth="1"/>
    <col min="11267" max="11267" width="10.7109375" style="226" customWidth="1"/>
    <col min="11268" max="11268" width="6.85546875" style="226" customWidth="1"/>
    <col min="11269" max="11269" width="8.140625" style="226" customWidth="1"/>
    <col min="11270" max="11270" width="7.85546875" style="226" customWidth="1"/>
    <col min="11271" max="11275" width="4.5703125" style="226" customWidth="1"/>
    <col min="11276" max="11276" width="9.28515625" style="226" customWidth="1"/>
    <col min="11277" max="11277" width="9.28515625" style="226"/>
    <col min="11278" max="11278" width="5.28515625" style="226" customWidth="1"/>
    <col min="11279" max="11279" width="9.28515625" style="226" customWidth="1"/>
    <col min="11280" max="11280" width="9.28515625" style="226"/>
    <col min="11281" max="11281" width="9.28515625" style="226" customWidth="1"/>
    <col min="11282" max="11284" width="9.28515625" style="226"/>
    <col min="11285" max="11285" width="10.28515625" style="226" customWidth="1"/>
    <col min="11286" max="11286" width="9.28515625" style="226"/>
    <col min="11287" max="11287" width="10" style="226" customWidth="1"/>
    <col min="11288" max="11288" width="9.28515625" style="226" customWidth="1"/>
    <col min="11289" max="11293" width="10.28515625" style="226" customWidth="1"/>
    <col min="11294" max="11520" width="9.28515625" style="226"/>
    <col min="11521" max="11521" width="13.28515625" style="226" customWidth="1"/>
    <col min="11522" max="11522" width="13" style="226" customWidth="1"/>
    <col min="11523" max="11523" width="10.7109375" style="226" customWidth="1"/>
    <col min="11524" max="11524" width="6.85546875" style="226" customWidth="1"/>
    <col min="11525" max="11525" width="8.140625" style="226" customWidth="1"/>
    <col min="11526" max="11526" width="7.85546875" style="226" customWidth="1"/>
    <col min="11527" max="11531" width="4.5703125" style="226" customWidth="1"/>
    <col min="11532" max="11532" width="9.28515625" style="226" customWidth="1"/>
    <col min="11533" max="11533" width="9.28515625" style="226"/>
    <col min="11534" max="11534" width="5.28515625" style="226" customWidth="1"/>
    <col min="11535" max="11535" width="9.28515625" style="226" customWidth="1"/>
    <col min="11536" max="11536" width="9.28515625" style="226"/>
    <col min="11537" max="11537" width="9.28515625" style="226" customWidth="1"/>
    <col min="11538" max="11540" width="9.28515625" style="226"/>
    <col min="11541" max="11541" width="10.28515625" style="226" customWidth="1"/>
    <col min="11542" max="11542" width="9.28515625" style="226"/>
    <col min="11543" max="11543" width="10" style="226" customWidth="1"/>
    <col min="11544" max="11544" width="9.28515625" style="226" customWidth="1"/>
    <col min="11545" max="11549" width="10.28515625" style="226" customWidth="1"/>
    <col min="11550" max="11776" width="9.28515625" style="226"/>
    <col min="11777" max="11777" width="13.28515625" style="226" customWidth="1"/>
    <col min="11778" max="11778" width="13" style="226" customWidth="1"/>
    <col min="11779" max="11779" width="10.7109375" style="226" customWidth="1"/>
    <col min="11780" max="11780" width="6.85546875" style="226" customWidth="1"/>
    <col min="11781" max="11781" width="8.140625" style="226" customWidth="1"/>
    <col min="11782" max="11782" width="7.85546875" style="226" customWidth="1"/>
    <col min="11783" max="11787" width="4.5703125" style="226" customWidth="1"/>
    <col min="11788" max="11788" width="9.28515625" style="226" customWidth="1"/>
    <col min="11789" max="11789" width="9.28515625" style="226"/>
    <col min="11790" max="11790" width="5.28515625" style="226" customWidth="1"/>
    <col min="11791" max="11791" width="9.28515625" style="226" customWidth="1"/>
    <col min="11792" max="11792" width="9.28515625" style="226"/>
    <col min="11793" max="11793" width="9.28515625" style="226" customWidth="1"/>
    <col min="11794" max="11796" width="9.28515625" style="226"/>
    <col min="11797" max="11797" width="10.28515625" style="226" customWidth="1"/>
    <col min="11798" max="11798" width="9.28515625" style="226"/>
    <col min="11799" max="11799" width="10" style="226" customWidth="1"/>
    <col min="11800" max="11800" width="9.28515625" style="226" customWidth="1"/>
    <col min="11801" max="11805" width="10.28515625" style="226" customWidth="1"/>
    <col min="11806" max="12032" width="9.28515625" style="226"/>
    <col min="12033" max="12033" width="13.28515625" style="226" customWidth="1"/>
    <col min="12034" max="12034" width="13" style="226" customWidth="1"/>
    <col min="12035" max="12035" width="10.7109375" style="226" customWidth="1"/>
    <col min="12036" max="12036" width="6.85546875" style="226" customWidth="1"/>
    <col min="12037" max="12037" width="8.140625" style="226" customWidth="1"/>
    <col min="12038" max="12038" width="7.85546875" style="226" customWidth="1"/>
    <col min="12039" max="12043" width="4.5703125" style="226" customWidth="1"/>
    <col min="12044" max="12044" width="9.28515625" style="226" customWidth="1"/>
    <col min="12045" max="12045" width="9.28515625" style="226"/>
    <col min="12046" max="12046" width="5.28515625" style="226" customWidth="1"/>
    <col min="12047" max="12047" width="9.28515625" style="226" customWidth="1"/>
    <col min="12048" max="12048" width="9.28515625" style="226"/>
    <col min="12049" max="12049" width="9.28515625" style="226" customWidth="1"/>
    <col min="12050" max="12052" width="9.28515625" style="226"/>
    <col min="12053" max="12053" width="10.28515625" style="226" customWidth="1"/>
    <col min="12054" max="12054" width="9.28515625" style="226"/>
    <col min="12055" max="12055" width="10" style="226" customWidth="1"/>
    <col min="12056" max="12056" width="9.28515625" style="226" customWidth="1"/>
    <col min="12057" max="12061" width="10.28515625" style="226" customWidth="1"/>
    <col min="12062" max="12288" width="9.28515625" style="226"/>
    <col min="12289" max="12289" width="13.28515625" style="226" customWidth="1"/>
    <col min="12290" max="12290" width="13" style="226" customWidth="1"/>
    <col min="12291" max="12291" width="10.7109375" style="226" customWidth="1"/>
    <col min="12292" max="12292" width="6.85546875" style="226" customWidth="1"/>
    <col min="12293" max="12293" width="8.140625" style="226" customWidth="1"/>
    <col min="12294" max="12294" width="7.85546875" style="226" customWidth="1"/>
    <col min="12295" max="12299" width="4.5703125" style="226" customWidth="1"/>
    <col min="12300" max="12300" width="9.28515625" style="226" customWidth="1"/>
    <col min="12301" max="12301" width="9.28515625" style="226"/>
    <col min="12302" max="12302" width="5.28515625" style="226" customWidth="1"/>
    <col min="12303" max="12303" width="9.28515625" style="226" customWidth="1"/>
    <col min="12304" max="12304" width="9.28515625" style="226"/>
    <col min="12305" max="12305" width="9.28515625" style="226" customWidth="1"/>
    <col min="12306" max="12308" width="9.28515625" style="226"/>
    <col min="12309" max="12309" width="10.28515625" style="226" customWidth="1"/>
    <col min="12310" max="12310" width="9.28515625" style="226"/>
    <col min="12311" max="12311" width="10" style="226" customWidth="1"/>
    <col min="12312" max="12312" width="9.28515625" style="226" customWidth="1"/>
    <col min="12313" max="12317" width="10.28515625" style="226" customWidth="1"/>
    <col min="12318" max="12544" width="9.28515625" style="226"/>
    <col min="12545" max="12545" width="13.28515625" style="226" customWidth="1"/>
    <col min="12546" max="12546" width="13" style="226" customWidth="1"/>
    <col min="12547" max="12547" width="10.7109375" style="226" customWidth="1"/>
    <col min="12548" max="12548" width="6.85546875" style="226" customWidth="1"/>
    <col min="12549" max="12549" width="8.140625" style="226" customWidth="1"/>
    <col min="12550" max="12550" width="7.85546875" style="226" customWidth="1"/>
    <col min="12551" max="12555" width="4.5703125" style="226" customWidth="1"/>
    <col min="12556" max="12556" width="9.28515625" style="226" customWidth="1"/>
    <col min="12557" max="12557" width="9.28515625" style="226"/>
    <col min="12558" max="12558" width="5.28515625" style="226" customWidth="1"/>
    <col min="12559" max="12559" width="9.28515625" style="226" customWidth="1"/>
    <col min="12560" max="12560" width="9.28515625" style="226"/>
    <col min="12561" max="12561" width="9.28515625" style="226" customWidth="1"/>
    <col min="12562" max="12564" width="9.28515625" style="226"/>
    <col min="12565" max="12565" width="10.28515625" style="226" customWidth="1"/>
    <col min="12566" max="12566" width="9.28515625" style="226"/>
    <col min="12567" max="12567" width="10" style="226" customWidth="1"/>
    <col min="12568" max="12568" width="9.28515625" style="226" customWidth="1"/>
    <col min="12569" max="12573" width="10.28515625" style="226" customWidth="1"/>
    <col min="12574" max="12800" width="9.28515625" style="226"/>
    <col min="12801" max="12801" width="13.28515625" style="226" customWidth="1"/>
    <col min="12802" max="12802" width="13" style="226" customWidth="1"/>
    <col min="12803" max="12803" width="10.7109375" style="226" customWidth="1"/>
    <col min="12804" max="12804" width="6.85546875" style="226" customWidth="1"/>
    <col min="12805" max="12805" width="8.140625" style="226" customWidth="1"/>
    <col min="12806" max="12806" width="7.85546875" style="226" customWidth="1"/>
    <col min="12807" max="12811" width="4.5703125" style="226" customWidth="1"/>
    <col min="12812" max="12812" width="9.28515625" style="226" customWidth="1"/>
    <col min="12813" max="12813" width="9.28515625" style="226"/>
    <col min="12814" max="12814" width="5.28515625" style="226" customWidth="1"/>
    <col min="12815" max="12815" width="9.28515625" style="226" customWidth="1"/>
    <col min="12816" max="12816" width="9.28515625" style="226"/>
    <col min="12817" max="12817" width="9.28515625" style="226" customWidth="1"/>
    <col min="12818" max="12820" width="9.28515625" style="226"/>
    <col min="12821" max="12821" width="10.28515625" style="226" customWidth="1"/>
    <col min="12822" max="12822" width="9.28515625" style="226"/>
    <col min="12823" max="12823" width="10" style="226" customWidth="1"/>
    <col min="12824" max="12824" width="9.28515625" style="226" customWidth="1"/>
    <col min="12825" max="12829" width="10.28515625" style="226" customWidth="1"/>
    <col min="12830" max="13056" width="9.28515625" style="226"/>
    <col min="13057" max="13057" width="13.28515625" style="226" customWidth="1"/>
    <col min="13058" max="13058" width="13" style="226" customWidth="1"/>
    <col min="13059" max="13059" width="10.7109375" style="226" customWidth="1"/>
    <col min="13060" max="13060" width="6.85546875" style="226" customWidth="1"/>
    <col min="13061" max="13061" width="8.140625" style="226" customWidth="1"/>
    <col min="13062" max="13062" width="7.85546875" style="226" customWidth="1"/>
    <col min="13063" max="13067" width="4.5703125" style="226" customWidth="1"/>
    <col min="13068" max="13068" width="9.28515625" style="226" customWidth="1"/>
    <col min="13069" max="13069" width="9.28515625" style="226"/>
    <col min="13070" max="13070" width="5.28515625" style="226" customWidth="1"/>
    <col min="13071" max="13071" width="9.28515625" style="226" customWidth="1"/>
    <col min="13072" max="13072" width="9.28515625" style="226"/>
    <col min="13073" max="13073" width="9.28515625" style="226" customWidth="1"/>
    <col min="13074" max="13076" width="9.28515625" style="226"/>
    <col min="13077" max="13077" width="10.28515625" style="226" customWidth="1"/>
    <col min="13078" max="13078" width="9.28515625" style="226"/>
    <col min="13079" max="13079" width="10" style="226" customWidth="1"/>
    <col min="13080" max="13080" width="9.28515625" style="226" customWidth="1"/>
    <col min="13081" max="13085" width="10.28515625" style="226" customWidth="1"/>
    <col min="13086" max="13312" width="9.28515625" style="226"/>
    <col min="13313" max="13313" width="13.28515625" style="226" customWidth="1"/>
    <col min="13314" max="13314" width="13" style="226" customWidth="1"/>
    <col min="13315" max="13315" width="10.7109375" style="226" customWidth="1"/>
    <col min="13316" max="13316" width="6.85546875" style="226" customWidth="1"/>
    <col min="13317" max="13317" width="8.140625" style="226" customWidth="1"/>
    <col min="13318" max="13318" width="7.85546875" style="226" customWidth="1"/>
    <col min="13319" max="13323" width="4.5703125" style="226" customWidth="1"/>
    <col min="13324" max="13324" width="9.28515625" style="226" customWidth="1"/>
    <col min="13325" max="13325" width="9.28515625" style="226"/>
    <col min="13326" max="13326" width="5.28515625" style="226" customWidth="1"/>
    <col min="13327" max="13327" width="9.28515625" style="226" customWidth="1"/>
    <col min="13328" max="13328" width="9.28515625" style="226"/>
    <col min="13329" max="13329" width="9.28515625" style="226" customWidth="1"/>
    <col min="13330" max="13332" width="9.28515625" style="226"/>
    <col min="13333" max="13333" width="10.28515625" style="226" customWidth="1"/>
    <col min="13334" max="13334" width="9.28515625" style="226"/>
    <col min="13335" max="13335" width="10" style="226" customWidth="1"/>
    <col min="13336" max="13336" width="9.28515625" style="226" customWidth="1"/>
    <col min="13337" max="13341" width="10.28515625" style="226" customWidth="1"/>
    <col min="13342" max="13568" width="9.28515625" style="226"/>
    <col min="13569" max="13569" width="13.28515625" style="226" customWidth="1"/>
    <col min="13570" max="13570" width="13" style="226" customWidth="1"/>
    <col min="13571" max="13571" width="10.7109375" style="226" customWidth="1"/>
    <col min="13572" max="13572" width="6.85546875" style="226" customWidth="1"/>
    <col min="13573" max="13573" width="8.140625" style="226" customWidth="1"/>
    <col min="13574" max="13574" width="7.85546875" style="226" customWidth="1"/>
    <col min="13575" max="13579" width="4.5703125" style="226" customWidth="1"/>
    <col min="13580" max="13580" width="9.28515625" style="226" customWidth="1"/>
    <col min="13581" max="13581" width="9.28515625" style="226"/>
    <col min="13582" max="13582" width="5.28515625" style="226" customWidth="1"/>
    <col min="13583" max="13583" width="9.28515625" style="226" customWidth="1"/>
    <col min="13584" max="13584" width="9.28515625" style="226"/>
    <col min="13585" max="13585" width="9.28515625" style="226" customWidth="1"/>
    <col min="13586" max="13588" width="9.28515625" style="226"/>
    <col min="13589" max="13589" width="10.28515625" style="226" customWidth="1"/>
    <col min="13590" max="13590" width="9.28515625" style="226"/>
    <col min="13591" max="13591" width="10" style="226" customWidth="1"/>
    <col min="13592" max="13592" width="9.28515625" style="226" customWidth="1"/>
    <col min="13593" max="13597" width="10.28515625" style="226" customWidth="1"/>
    <col min="13598" max="13824" width="9.28515625" style="226"/>
    <col min="13825" max="13825" width="13.28515625" style="226" customWidth="1"/>
    <col min="13826" max="13826" width="13" style="226" customWidth="1"/>
    <col min="13827" max="13827" width="10.7109375" style="226" customWidth="1"/>
    <col min="13828" max="13828" width="6.85546875" style="226" customWidth="1"/>
    <col min="13829" max="13829" width="8.140625" style="226" customWidth="1"/>
    <col min="13830" max="13830" width="7.85546875" style="226" customWidth="1"/>
    <col min="13831" max="13835" width="4.5703125" style="226" customWidth="1"/>
    <col min="13836" max="13836" width="9.28515625" style="226" customWidth="1"/>
    <col min="13837" max="13837" width="9.28515625" style="226"/>
    <col min="13838" max="13838" width="5.28515625" style="226" customWidth="1"/>
    <col min="13839" max="13839" width="9.28515625" style="226" customWidth="1"/>
    <col min="13840" max="13840" width="9.28515625" style="226"/>
    <col min="13841" max="13841" width="9.28515625" style="226" customWidth="1"/>
    <col min="13842" max="13844" width="9.28515625" style="226"/>
    <col min="13845" max="13845" width="10.28515625" style="226" customWidth="1"/>
    <col min="13846" max="13846" width="9.28515625" style="226"/>
    <col min="13847" max="13847" width="10" style="226" customWidth="1"/>
    <col min="13848" max="13848" width="9.28515625" style="226" customWidth="1"/>
    <col min="13849" max="13853" width="10.28515625" style="226" customWidth="1"/>
    <col min="13854" max="14080" width="9.28515625" style="226"/>
    <col min="14081" max="14081" width="13.28515625" style="226" customWidth="1"/>
    <col min="14082" max="14082" width="13" style="226" customWidth="1"/>
    <col min="14083" max="14083" width="10.7109375" style="226" customWidth="1"/>
    <col min="14084" max="14084" width="6.85546875" style="226" customWidth="1"/>
    <col min="14085" max="14085" width="8.140625" style="226" customWidth="1"/>
    <col min="14086" max="14086" width="7.85546875" style="226" customWidth="1"/>
    <col min="14087" max="14091" width="4.5703125" style="226" customWidth="1"/>
    <col min="14092" max="14092" width="9.28515625" style="226" customWidth="1"/>
    <col min="14093" max="14093" width="9.28515625" style="226"/>
    <col min="14094" max="14094" width="5.28515625" style="226" customWidth="1"/>
    <col min="14095" max="14095" width="9.28515625" style="226" customWidth="1"/>
    <col min="14096" max="14096" width="9.28515625" style="226"/>
    <col min="14097" max="14097" width="9.28515625" style="226" customWidth="1"/>
    <col min="14098" max="14100" width="9.28515625" style="226"/>
    <col min="14101" max="14101" width="10.28515625" style="226" customWidth="1"/>
    <col min="14102" max="14102" width="9.28515625" style="226"/>
    <col min="14103" max="14103" width="10" style="226" customWidth="1"/>
    <col min="14104" max="14104" width="9.28515625" style="226" customWidth="1"/>
    <col min="14105" max="14109" width="10.28515625" style="226" customWidth="1"/>
    <col min="14110" max="14336" width="9.28515625" style="226"/>
    <col min="14337" max="14337" width="13.28515625" style="226" customWidth="1"/>
    <col min="14338" max="14338" width="13" style="226" customWidth="1"/>
    <col min="14339" max="14339" width="10.7109375" style="226" customWidth="1"/>
    <col min="14340" max="14340" width="6.85546875" style="226" customWidth="1"/>
    <col min="14341" max="14341" width="8.140625" style="226" customWidth="1"/>
    <col min="14342" max="14342" width="7.85546875" style="226" customWidth="1"/>
    <col min="14343" max="14347" width="4.5703125" style="226" customWidth="1"/>
    <col min="14348" max="14348" width="9.28515625" style="226" customWidth="1"/>
    <col min="14349" max="14349" width="9.28515625" style="226"/>
    <col min="14350" max="14350" width="5.28515625" style="226" customWidth="1"/>
    <col min="14351" max="14351" width="9.28515625" style="226" customWidth="1"/>
    <col min="14352" max="14352" width="9.28515625" style="226"/>
    <col min="14353" max="14353" width="9.28515625" style="226" customWidth="1"/>
    <col min="14354" max="14356" width="9.28515625" style="226"/>
    <col min="14357" max="14357" width="10.28515625" style="226" customWidth="1"/>
    <col min="14358" max="14358" width="9.28515625" style="226"/>
    <col min="14359" max="14359" width="10" style="226" customWidth="1"/>
    <col min="14360" max="14360" width="9.28515625" style="226" customWidth="1"/>
    <col min="14361" max="14365" width="10.28515625" style="226" customWidth="1"/>
    <col min="14366" max="14592" width="9.28515625" style="226"/>
    <col min="14593" max="14593" width="13.28515625" style="226" customWidth="1"/>
    <col min="14594" max="14594" width="13" style="226" customWidth="1"/>
    <col min="14595" max="14595" width="10.7109375" style="226" customWidth="1"/>
    <col min="14596" max="14596" width="6.85546875" style="226" customWidth="1"/>
    <col min="14597" max="14597" width="8.140625" style="226" customWidth="1"/>
    <col min="14598" max="14598" width="7.85546875" style="226" customWidth="1"/>
    <col min="14599" max="14603" width="4.5703125" style="226" customWidth="1"/>
    <col min="14604" max="14604" width="9.28515625" style="226" customWidth="1"/>
    <col min="14605" max="14605" width="9.28515625" style="226"/>
    <col min="14606" max="14606" width="5.28515625" style="226" customWidth="1"/>
    <col min="14607" max="14607" width="9.28515625" style="226" customWidth="1"/>
    <col min="14608" max="14608" width="9.28515625" style="226"/>
    <col min="14609" max="14609" width="9.28515625" style="226" customWidth="1"/>
    <col min="14610" max="14612" width="9.28515625" style="226"/>
    <col min="14613" max="14613" width="10.28515625" style="226" customWidth="1"/>
    <col min="14614" max="14614" width="9.28515625" style="226"/>
    <col min="14615" max="14615" width="10" style="226" customWidth="1"/>
    <col min="14616" max="14616" width="9.28515625" style="226" customWidth="1"/>
    <col min="14617" max="14621" width="10.28515625" style="226" customWidth="1"/>
    <col min="14622" max="14848" width="9.28515625" style="226"/>
    <col min="14849" max="14849" width="13.28515625" style="226" customWidth="1"/>
    <col min="14850" max="14850" width="13" style="226" customWidth="1"/>
    <col min="14851" max="14851" width="10.7109375" style="226" customWidth="1"/>
    <col min="14852" max="14852" width="6.85546875" style="226" customWidth="1"/>
    <col min="14853" max="14853" width="8.140625" style="226" customWidth="1"/>
    <col min="14854" max="14854" width="7.85546875" style="226" customWidth="1"/>
    <col min="14855" max="14859" width="4.5703125" style="226" customWidth="1"/>
    <col min="14860" max="14860" width="9.28515625" style="226" customWidth="1"/>
    <col min="14861" max="14861" width="9.28515625" style="226"/>
    <col min="14862" max="14862" width="5.28515625" style="226" customWidth="1"/>
    <col min="14863" max="14863" width="9.28515625" style="226" customWidth="1"/>
    <col min="14864" max="14864" width="9.28515625" style="226"/>
    <col min="14865" max="14865" width="9.28515625" style="226" customWidth="1"/>
    <col min="14866" max="14868" width="9.28515625" style="226"/>
    <col min="14869" max="14869" width="10.28515625" style="226" customWidth="1"/>
    <col min="14870" max="14870" width="9.28515625" style="226"/>
    <col min="14871" max="14871" width="10" style="226" customWidth="1"/>
    <col min="14872" max="14872" width="9.28515625" style="226" customWidth="1"/>
    <col min="14873" max="14877" width="10.28515625" style="226" customWidth="1"/>
    <col min="14878" max="15104" width="9.28515625" style="226"/>
    <col min="15105" max="15105" width="13.28515625" style="226" customWidth="1"/>
    <col min="15106" max="15106" width="13" style="226" customWidth="1"/>
    <col min="15107" max="15107" width="10.7109375" style="226" customWidth="1"/>
    <col min="15108" max="15108" width="6.85546875" style="226" customWidth="1"/>
    <col min="15109" max="15109" width="8.140625" style="226" customWidth="1"/>
    <col min="15110" max="15110" width="7.85546875" style="226" customWidth="1"/>
    <col min="15111" max="15115" width="4.5703125" style="226" customWidth="1"/>
    <col min="15116" max="15116" width="9.28515625" style="226" customWidth="1"/>
    <col min="15117" max="15117" width="9.28515625" style="226"/>
    <col min="15118" max="15118" width="5.28515625" style="226" customWidth="1"/>
    <col min="15119" max="15119" width="9.28515625" style="226" customWidth="1"/>
    <col min="15120" max="15120" width="9.28515625" style="226"/>
    <col min="15121" max="15121" width="9.28515625" style="226" customWidth="1"/>
    <col min="15122" max="15124" width="9.28515625" style="226"/>
    <col min="15125" max="15125" width="10.28515625" style="226" customWidth="1"/>
    <col min="15126" max="15126" width="9.28515625" style="226"/>
    <col min="15127" max="15127" width="10" style="226" customWidth="1"/>
    <col min="15128" max="15128" width="9.28515625" style="226" customWidth="1"/>
    <col min="15129" max="15133" width="10.28515625" style="226" customWidth="1"/>
    <col min="15134" max="15360" width="9.28515625" style="226"/>
    <col min="15361" max="15361" width="13.28515625" style="226" customWidth="1"/>
    <col min="15362" max="15362" width="13" style="226" customWidth="1"/>
    <col min="15363" max="15363" width="10.7109375" style="226" customWidth="1"/>
    <col min="15364" max="15364" width="6.85546875" style="226" customWidth="1"/>
    <col min="15365" max="15365" width="8.140625" style="226" customWidth="1"/>
    <col min="15366" max="15366" width="7.85546875" style="226" customWidth="1"/>
    <col min="15367" max="15371" width="4.5703125" style="226" customWidth="1"/>
    <col min="15372" max="15372" width="9.28515625" style="226" customWidth="1"/>
    <col min="15373" max="15373" width="9.28515625" style="226"/>
    <col min="15374" max="15374" width="5.28515625" style="226" customWidth="1"/>
    <col min="15375" max="15375" width="9.28515625" style="226" customWidth="1"/>
    <col min="15376" max="15376" width="9.28515625" style="226"/>
    <col min="15377" max="15377" width="9.28515625" style="226" customWidth="1"/>
    <col min="15378" max="15380" width="9.28515625" style="226"/>
    <col min="15381" max="15381" width="10.28515625" style="226" customWidth="1"/>
    <col min="15382" max="15382" width="9.28515625" style="226"/>
    <col min="15383" max="15383" width="10" style="226" customWidth="1"/>
    <col min="15384" max="15384" width="9.28515625" style="226" customWidth="1"/>
    <col min="15385" max="15389" width="10.28515625" style="226" customWidth="1"/>
    <col min="15390" max="15616" width="9.28515625" style="226"/>
    <col min="15617" max="15617" width="13.28515625" style="226" customWidth="1"/>
    <col min="15618" max="15618" width="13" style="226" customWidth="1"/>
    <col min="15619" max="15619" width="10.7109375" style="226" customWidth="1"/>
    <col min="15620" max="15620" width="6.85546875" style="226" customWidth="1"/>
    <col min="15621" max="15621" width="8.140625" style="226" customWidth="1"/>
    <col min="15622" max="15622" width="7.85546875" style="226" customWidth="1"/>
    <col min="15623" max="15627" width="4.5703125" style="226" customWidth="1"/>
    <col min="15628" max="15628" width="9.28515625" style="226" customWidth="1"/>
    <col min="15629" max="15629" width="9.28515625" style="226"/>
    <col min="15630" max="15630" width="5.28515625" style="226" customWidth="1"/>
    <col min="15631" max="15631" width="9.28515625" style="226" customWidth="1"/>
    <col min="15632" max="15632" width="9.28515625" style="226"/>
    <col min="15633" max="15633" width="9.28515625" style="226" customWidth="1"/>
    <col min="15634" max="15636" width="9.28515625" style="226"/>
    <col min="15637" max="15637" width="10.28515625" style="226" customWidth="1"/>
    <col min="15638" max="15638" width="9.28515625" style="226"/>
    <col min="15639" max="15639" width="10" style="226" customWidth="1"/>
    <col min="15640" max="15640" width="9.28515625" style="226" customWidth="1"/>
    <col min="15641" max="15645" width="10.28515625" style="226" customWidth="1"/>
    <col min="15646" max="15872" width="9.28515625" style="226"/>
    <col min="15873" max="15873" width="13.28515625" style="226" customWidth="1"/>
    <col min="15874" max="15874" width="13" style="226" customWidth="1"/>
    <col min="15875" max="15875" width="10.7109375" style="226" customWidth="1"/>
    <col min="15876" max="15876" width="6.85546875" style="226" customWidth="1"/>
    <col min="15877" max="15877" width="8.140625" style="226" customWidth="1"/>
    <col min="15878" max="15878" width="7.85546875" style="226" customWidth="1"/>
    <col min="15879" max="15883" width="4.5703125" style="226" customWidth="1"/>
    <col min="15884" max="15884" width="9.28515625" style="226" customWidth="1"/>
    <col min="15885" max="15885" width="9.28515625" style="226"/>
    <col min="15886" max="15886" width="5.28515625" style="226" customWidth="1"/>
    <col min="15887" max="15887" width="9.28515625" style="226" customWidth="1"/>
    <col min="15888" max="15888" width="9.28515625" style="226"/>
    <col min="15889" max="15889" width="9.28515625" style="226" customWidth="1"/>
    <col min="15890" max="15892" width="9.28515625" style="226"/>
    <col min="15893" max="15893" width="10.28515625" style="226" customWidth="1"/>
    <col min="15894" max="15894" width="9.28515625" style="226"/>
    <col min="15895" max="15895" width="10" style="226" customWidth="1"/>
    <col min="15896" max="15896" width="9.28515625" style="226" customWidth="1"/>
    <col min="15897" max="15901" width="10.28515625" style="226" customWidth="1"/>
    <col min="15902" max="16128" width="9.28515625" style="226"/>
    <col min="16129" max="16129" width="13.28515625" style="226" customWidth="1"/>
    <col min="16130" max="16130" width="13" style="226" customWidth="1"/>
    <col min="16131" max="16131" width="10.7109375" style="226" customWidth="1"/>
    <col min="16132" max="16132" width="6.85546875" style="226" customWidth="1"/>
    <col min="16133" max="16133" width="8.140625" style="226" customWidth="1"/>
    <col min="16134" max="16134" width="7.85546875" style="226" customWidth="1"/>
    <col min="16135" max="16139" width="4.5703125" style="226" customWidth="1"/>
    <col min="16140" max="16140" width="9.28515625" style="226" customWidth="1"/>
    <col min="16141" max="16141" width="9.28515625" style="226"/>
    <col min="16142" max="16142" width="5.28515625" style="226" customWidth="1"/>
    <col min="16143" max="16143" width="9.28515625" style="226" customWidth="1"/>
    <col min="16144" max="16144" width="9.28515625" style="226"/>
    <col min="16145" max="16145" width="9.28515625" style="226" customWidth="1"/>
    <col min="16146" max="16148" width="9.28515625" style="226"/>
    <col min="16149" max="16149" width="10.28515625" style="226" customWidth="1"/>
    <col min="16150" max="16150" width="9.28515625" style="226"/>
    <col min="16151" max="16151" width="10" style="226" customWidth="1"/>
    <col min="16152" max="16152" width="9.28515625" style="226" customWidth="1"/>
    <col min="16153" max="16157" width="10.28515625" style="226" customWidth="1"/>
    <col min="16158" max="16384" width="9.28515625" style="226"/>
  </cols>
  <sheetData>
    <row r="1" spans="1:29" ht="35.1" customHeight="1">
      <c r="A1" s="1061" t="str">
        <f>+Títulos!$B$2&amp;"
INDICADORES DE RESULTADOS
DEL 01 DE ENERO AL "&amp;Títulos!$B$3</f>
        <v>TRIBUNAL DE JUSTICIA ADMINISTRATIVA
INDICADORES DE RESULTADOS
DEL 01 DE ENERO AL 31 DE DICIEMBRE DE 2017</v>
      </c>
      <c r="B1" s="1062"/>
      <c r="C1" s="1062"/>
      <c r="D1" s="1062"/>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c r="AC1" s="1062"/>
    </row>
    <row r="2" spans="1:29" ht="56.25">
      <c r="A2" s="695" t="s">
        <v>1542</v>
      </c>
      <c r="B2" s="695" t="s">
        <v>1707</v>
      </c>
      <c r="C2" s="695" t="s">
        <v>1543</v>
      </c>
      <c r="D2" s="695" t="s">
        <v>1544</v>
      </c>
      <c r="E2" s="695" t="s">
        <v>1545</v>
      </c>
      <c r="F2" s="695" t="s">
        <v>1546</v>
      </c>
      <c r="G2" s="695" t="s">
        <v>1547</v>
      </c>
      <c r="H2" s="274" t="s">
        <v>1548</v>
      </c>
      <c r="I2" s="274" t="s">
        <v>1549</v>
      </c>
      <c r="J2" s="274" t="s">
        <v>1550</v>
      </c>
      <c r="K2" s="274" t="s">
        <v>1551</v>
      </c>
      <c r="L2" s="274" t="s">
        <v>1552</v>
      </c>
      <c r="M2" s="274" t="s">
        <v>1553</v>
      </c>
      <c r="N2" s="274" t="s">
        <v>1708</v>
      </c>
      <c r="O2" s="274" t="s">
        <v>1554</v>
      </c>
      <c r="P2" s="274" t="s">
        <v>1555</v>
      </c>
      <c r="Q2" s="274" t="s">
        <v>1556</v>
      </c>
      <c r="R2" s="286" t="s">
        <v>1557</v>
      </c>
      <c r="S2" s="287" t="s">
        <v>1558</v>
      </c>
      <c r="T2" s="274" t="s">
        <v>1559</v>
      </c>
      <c r="U2" s="274" t="s">
        <v>1560</v>
      </c>
      <c r="V2" s="274" t="s">
        <v>1561</v>
      </c>
      <c r="W2" s="274" t="s">
        <v>1562</v>
      </c>
      <c r="X2" s="287" t="s">
        <v>1563</v>
      </c>
      <c r="Y2" s="288" t="s">
        <v>1564</v>
      </c>
      <c r="Z2" s="288" t="s">
        <v>1565</v>
      </c>
      <c r="AA2" s="288" t="s">
        <v>1566</v>
      </c>
      <c r="AB2" s="287" t="s">
        <v>1567</v>
      </c>
      <c r="AC2" s="287" t="s">
        <v>1568</v>
      </c>
    </row>
    <row r="3" spans="1:29" ht="22.5" customHeight="1">
      <c r="A3" s="289" t="s">
        <v>2186</v>
      </c>
      <c r="B3" s="696" t="s">
        <v>1569</v>
      </c>
      <c r="C3" s="290"/>
      <c r="D3" s="290"/>
      <c r="E3" s="290"/>
      <c r="F3" s="290"/>
      <c r="G3" s="291"/>
      <c r="H3" s="291"/>
      <c r="I3" s="291"/>
      <c r="J3" s="291" t="s">
        <v>2186</v>
      </c>
      <c r="K3" s="291"/>
      <c r="L3" s="292"/>
      <c r="M3" s="292"/>
      <c r="N3" s="290"/>
      <c r="O3" s="291"/>
      <c r="P3" s="291"/>
      <c r="Q3" s="293"/>
      <c r="R3" s="293"/>
      <c r="S3" s="293"/>
      <c r="T3" s="293"/>
      <c r="U3" s="293"/>
      <c r="V3" s="293"/>
      <c r="W3" s="290"/>
      <c r="X3" s="290"/>
      <c r="Y3" s="913">
        <f>+'0322_CTG'!C3</f>
        <v>80405840.50999999</v>
      </c>
      <c r="Z3" s="913">
        <f>+'0322_CTG'!E3</f>
        <v>88863744.319999978</v>
      </c>
      <c r="AA3" s="913">
        <f>+'0322_CTG'!F3</f>
        <v>86193205.110000029</v>
      </c>
      <c r="AB3" s="914">
        <f>+AA3/Y3</f>
        <v>1.0719769181354466</v>
      </c>
      <c r="AC3" s="915">
        <f>+AA3/Z3</f>
        <v>0.96994793286693737</v>
      </c>
    </row>
    <row r="4" spans="1:29" ht="22.5" customHeight="1">
      <c r="A4" s="289"/>
      <c r="B4" s="696" t="s">
        <v>1570</v>
      </c>
      <c r="C4" s="290"/>
      <c r="D4" s="290"/>
      <c r="E4" s="290"/>
      <c r="F4" s="290"/>
      <c r="G4" s="291"/>
      <c r="H4" s="291"/>
      <c r="I4" s="291"/>
      <c r="J4" s="291"/>
      <c r="K4" s="291"/>
      <c r="L4" s="292"/>
      <c r="M4" s="292"/>
      <c r="N4" s="290"/>
      <c r="O4" s="291"/>
      <c r="P4" s="291"/>
      <c r="Q4" s="293"/>
      <c r="R4" s="293"/>
      <c r="S4" s="293"/>
      <c r="T4" s="293"/>
      <c r="U4" s="293"/>
      <c r="V4" s="293"/>
      <c r="W4" s="290"/>
      <c r="X4" s="290"/>
      <c r="Y4" s="912"/>
      <c r="Z4" s="912"/>
      <c r="AA4" s="912"/>
      <c r="AB4" s="916"/>
      <c r="AC4" s="917"/>
    </row>
    <row r="5" spans="1:29" ht="22.5" customHeight="1">
      <c r="A5" s="289"/>
      <c r="B5" s="695"/>
      <c r="C5" s="290"/>
      <c r="D5" s="290"/>
      <c r="E5" s="290"/>
      <c r="F5" s="290"/>
      <c r="G5" s="291"/>
      <c r="H5" s="291"/>
      <c r="I5" s="291"/>
      <c r="J5" s="291" t="s">
        <v>2188</v>
      </c>
      <c r="K5" s="291"/>
      <c r="L5" s="292"/>
      <c r="M5" s="292"/>
      <c r="N5" s="290"/>
      <c r="O5" s="291"/>
      <c r="P5" s="291"/>
      <c r="Q5" s="293"/>
      <c r="R5" s="293"/>
      <c r="S5" s="293"/>
      <c r="T5" s="293"/>
      <c r="U5" s="293"/>
      <c r="V5" s="293"/>
      <c r="W5" s="290"/>
      <c r="X5" s="290"/>
      <c r="Y5" s="913">
        <f t="shared" ref="Y5:Y10" si="0">SUMIF(PE_Clave,"*"&amp;+J5&amp;"*",PE_A)</f>
        <v>1312000</v>
      </c>
      <c r="Z5" s="913">
        <f t="shared" ref="Z5:Z10" si="1">SUMIF(PE_Clave,"*"&amp;+J5&amp;"*",PE_A)+SUMIF(PE_Clave,"*"&amp;+J5&amp;"*",PE_M)</f>
        <v>2670534.31</v>
      </c>
      <c r="AA5" s="913">
        <f t="shared" ref="AA5:AA10" si="2">SUMIF(PE_Clave,"*"&amp;+J5&amp;"*",PE_D)</f>
        <v>0</v>
      </c>
      <c r="AB5" s="914">
        <f t="shared" ref="AB5:AB10" si="3">+AA5/Y5</f>
        <v>0</v>
      </c>
      <c r="AC5" s="915">
        <f t="shared" ref="AC5:AC10" si="4">+AA5/Z5</f>
        <v>0</v>
      </c>
    </row>
    <row r="6" spans="1:29" ht="22.5" customHeight="1">
      <c r="A6" s="289"/>
      <c r="B6" s="697"/>
      <c r="C6" s="290"/>
      <c r="D6" s="290"/>
      <c r="E6" s="290"/>
      <c r="F6" s="290"/>
      <c r="G6" s="291"/>
      <c r="H6" s="291"/>
      <c r="I6" s="291"/>
      <c r="J6" s="291" t="s">
        <v>2190</v>
      </c>
      <c r="K6" s="291"/>
      <c r="L6" s="292"/>
      <c r="M6" s="292"/>
      <c r="N6" s="290"/>
      <c r="O6" s="291"/>
      <c r="P6" s="291"/>
      <c r="Q6" s="293"/>
      <c r="R6" s="293"/>
      <c r="S6" s="293"/>
      <c r="T6" s="293"/>
      <c r="U6" s="293"/>
      <c r="V6" s="293"/>
      <c r="W6" s="290"/>
      <c r="X6" s="290"/>
      <c r="Y6" s="913">
        <f t="shared" si="0"/>
        <v>16083331.420000002</v>
      </c>
      <c r="Z6" s="913">
        <f t="shared" si="1"/>
        <v>17509469.890000001</v>
      </c>
      <c r="AA6" s="913">
        <f t="shared" si="2"/>
        <v>17509464.99000001</v>
      </c>
      <c r="AB6" s="914">
        <f t="shared" si="3"/>
        <v>1.0886715278543957</v>
      </c>
      <c r="AC6" s="915">
        <f t="shared" si="4"/>
        <v>0.99999972015143679</v>
      </c>
    </row>
    <row r="7" spans="1:29" ht="22.5" customHeight="1">
      <c r="A7" s="289"/>
      <c r="B7" s="697"/>
      <c r="C7" s="290"/>
      <c r="D7" s="290"/>
      <c r="E7" s="290"/>
      <c r="F7" s="290"/>
      <c r="G7" s="291"/>
      <c r="H7" s="291"/>
      <c r="I7" s="291"/>
      <c r="J7" s="291" t="s">
        <v>2265</v>
      </c>
      <c r="K7" s="291"/>
      <c r="L7" s="292"/>
      <c r="M7" s="292"/>
      <c r="N7" s="290"/>
      <c r="O7" s="291"/>
      <c r="P7" s="291"/>
      <c r="Q7" s="293"/>
      <c r="R7" s="293"/>
      <c r="S7" s="293"/>
      <c r="T7" s="293"/>
      <c r="U7" s="293"/>
      <c r="V7" s="293"/>
      <c r="W7" s="290"/>
      <c r="X7" s="290"/>
      <c r="Y7" s="913">
        <f t="shared" si="0"/>
        <v>3308984.8499999996</v>
      </c>
      <c r="Z7" s="913">
        <f t="shared" si="1"/>
        <v>3709539.7699999996</v>
      </c>
      <c r="AA7" s="913">
        <f t="shared" si="2"/>
        <v>3709539.77</v>
      </c>
      <c r="AB7" s="914">
        <f t="shared" si="3"/>
        <v>1.1210506962580988</v>
      </c>
      <c r="AC7" s="915">
        <f t="shared" si="4"/>
        <v>1.0000000000000002</v>
      </c>
    </row>
    <row r="8" spans="1:29" ht="22.5" customHeight="1">
      <c r="A8" s="289"/>
      <c r="B8" s="697" t="s">
        <v>708</v>
      </c>
      <c r="C8" s="290"/>
      <c r="D8" s="290"/>
      <c r="E8" s="290"/>
      <c r="F8" s="290"/>
      <c r="G8" s="291"/>
      <c r="H8" s="291"/>
      <c r="I8" s="291"/>
      <c r="J8" s="291" t="s">
        <v>2267</v>
      </c>
      <c r="K8" s="291"/>
      <c r="L8" s="292"/>
      <c r="M8" s="292"/>
      <c r="N8" s="290"/>
      <c r="O8" s="291"/>
      <c r="P8" s="291"/>
      <c r="Q8" s="293"/>
      <c r="R8" s="293"/>
      <c r="S8" s="293"/>
      <c r="T8" s="293"/>
      <c r="U8" s="293"/>
      <c r="V8" s="293"/>
      <c r="W8" s="290"/>
      <c r="X8" s="290"/>
      <c r="Y8" s="913">
        <f t="shared" si="0"/>
        <v>1599803.36</v>
      </c>
      <c r="Z8" s="913">
        <f t="shared" si="1"/>
        <v>1400284.7000000002</v>
      </c>
      <c r="AA8" s="913">
        <f t="shared" si="2"/>
        <v>1400284.7000000002</v>
      </c>
      <c r="AB8" s="914">
        <f t="shared" si="3"/>
        <v>0.87528551008918998</v>
      </c>
      <c r="AC8" s="915">
        <f t="shared" si="4"/>
        <v>1</v>
      </c>
    </row>
    <row r="9" spans="1:29" ht="22.5" customHeight="1">
      <c r="A9" s="289"/>
      <c r="B9" s="697"/>
      <c r="C9" s="290"/>
      <c r="D9" s="290"/>
      <c r="E9" s="290"/>
      <c r="F9" s="290"/>
      <c r="G9" s="291"/>
      <c r="H9" s="291"/>
      <c r="I9" s="291"/>
      <c r="J9" s="291" t="s">
        <v>2269</v>
      </c>
      <c r="K9" s="291"/>
      <c r="L9" s="292"/>
      <c r="M9" s="292"/>
      <c r="N9" s="290"/>
      <c r="O9" s="291"/>
      <c r="P9" s="291"/>
      <c r="Q9" s="293"/>
      <c r="R9" s="293"/>
      <c r="S9" s="293"/>
      <c r="T9" s="293"/>
      <c r="U9" s="293"/>
      <c r="V9" s="293"/>
      <c r="W9" s="290"/>
      <c r="X9" s="290"/>
      <c r="Y9" s="913">
        <f t="shared" si="0"/>
        <v>49888057.919999994</v>
      </c>
      <c r="Z9" s="913">
        <f t="shared" si="1"/>
        <v>55670517.569999993</v>
      </c>
      <c r="AA9" s="913">
        <f t="shared" si="2"/>
        <v>55670517.57</v>
      </c>
      <c r="AB9" s="914">
        <f t="shared" si="3"/>
        <v>1.1159086942063912</v>
      </c>
      <c r="AC9" s="915">
        <f t="shared" si="4"/>
        <v>1.0000000000000002</v>
      </c>
    </row>
    <row r="10" spans="1:29" ht="22.5" customHeight="1">
      <c r="A10" s="289"/>
      <c r="B10" s="698" t="s">
        <v>1571</v>
      </c>
      <c r="C10" s="290"/>
      <c r="D10" s="290"/>
      <c r="E10" s="290"/>
      <c r="F10" s="290"/>
      <c r="G10" s="291"/>
      <c r="H10" s="291"/>
      <c r="I10" s="291"/>
      <c r="J10" s="291" t="s">
        <v>2275</v>
      </c>
      <c r="K10" s="291"/>
      <c r="L10" s="292"/>
      <c r="M10" s="292"/>
      <c r="N10" s="290"/>
      <c r="O10" s="291"/>
      <c r="P10" s="291"/>
      <c r="Q10" s="293"/>
      <c r="R10" s="293"/>
      <c r="S10" s="293"/>
      <c r="T10" s="293"/>
      <c r="U10" s="293"/>
      <c r="V10" s="293"/>
      <c r="W10" s="290"/>
      <c r="X10" s="290"/>
      <c r="Y10" s="913">
        <f t="shared" si="0"/>
        <v>8213662.959999999</v>
      </c>
      <c r="Z10" s="913">
        <f t="shared" si="1"/>
        <v>7903398.0799999991</v>
      </c>
      <c r="AA10" s="913">
        <f t="shared" si="2"/>
        <v>7903398.080000001</v>
      </c>
      <c r="AB10" s="914">
        <f t="shared" si="3"/>
        <v>0.96222575950450273</v>
      </c>
      <c r="AC10" s="915">
        <f t="shared" si="4"/>
        <v>1.0000000000000002</v>
      </c>
    </row>
    <row r="11" spans="1:29" ht="22.5" customHeight="1">
      <c r="A11" s="289"/>
      <c r="B11" s="695"/>
      <c r="C11" s="290"/>
      <c r="D11" s="290"/>
      <c r="E11" s="290"/>
      <c r="F11" s="290"/>
      <c r="G11" s="291"/>
      <c r="H11" s="291"/>
      <c r="I11" s="291"/>
      <c r="J11" s="291"/>
      <c r="K11" s="291"/>
      <c r="L11" s="292"/>
      <c r="M11" s="292"/>
      <c r="N11" s="290"/>
      <c r="O11" s="291"/>
      <c r="P11" s="291"/>
      <c r="Q11" s="293"/>
      <c r="R11" s="293"/>
      <c r="S11" s="293"/>
      <c r="T11" s="293"/>
      <c r="U11" s="293"/>
      <c r="V11" s="293"/>
      <c r="W11" s="290"/>
      <c r="X11" s="290"/>
      <c r="Y11" s="293"/>
      <c r="Z11" s="293"/>
      <c r="AA11" s="293"/>
      <c r="AB11" s="293"/>
      <c r="AC11" s="294"/>
    </row>
    <row r="12" spans="1:29" ht="22.5" customHeight="1">
      <c r="A12" s="289"/>
      <c r="B12" s="697" t="s">
        <v>709</v>
      </c>
      <c r="C12" s="290"/>
      <c r="D12" s="290"/>
      <c r="E12" s="290"/>
      <c r="F12" s="290"/>
      <c r="G12" s="291"/>
      <c r="H12" s="291"/>
      <c r="I12" s="291"/>
      <c r="J12" s="291"/>
      <c r="K12" s="291"/>
      <c r="L12" s="292"/>
      <c r="M12" s="292"/>
      <c r="N12" s="290"/>
      <c r="O12" s="291"/>
      <c r="P12" s="291"/>
      <c r="Q12" s="293"/>
      <c r="R12" s="293"/>
      <c r="S12" s="293"/>
      <c r="T12" s="293"/>
      <c r="U12" s="293"/>
      <c r="V12" s="293"/>
      <c r="W12" s="290"/>
      <c r="X12" s="290"/>
      <c r="Y12" s="293"/>
      <c r="Z12" s="293"/>
      <c r="AA12" s="293"/>
      <c r="AB12" s="293"/>
      <c r="AC12" s="294"/>
    </row>
    <row r="13" spans="1:29" ht="22.5" customHeight="1">
      <c r="A13" s="289"/>
      <c r="B13" s="698" t="s">
        <v>1572</v>
      </c>
      <c r="C13" s="290"/>
      <c r="D13" s="290"/>
      <c r="E13" s="290"/>
      <c r="F13" s="290"/>
      <c r="G13" s="291"/>
      <c r="H13" s="291"/>
      <c r="I13" s="291"/>
      <c r="J13" s="291"/>
      <c r="K13" s="291"/>
      <c r="L13" s="292"/>
      <c r="M13" s="292"/>
      <c r="N13" s="290"/>
      <c r="O13" s="291"/>
      <c r="P13" s="291"/>
      <c r="Q13" s="293"/>
      <c r="R13" s="293"/>
      <c r="S13" s="293"/>
      <c r="T13" s="293"/>
      <c r="U13" s="293"/>
      <c r="V13" s="293"/>
      <c r="W13" s="290"/>
      <c r="X13" s="290"/>
      <c r="Y13" s="293"/>
      <c r="Z13" s="293"/>
      <c r="AA13" s="293"/>
      <c r="AB13" s="293"/>
      <c r="AC13" s="294"/>
    </row>
  </sheetData>
  <sheetProtection formatCells="0" formatColumns="0" formatRows="0" insertRows="0" deleteRows="0" autoFilter="0"/>
  <mergeCells count="1">
    <mergeCell ref="A1:AC1"/>
  </mergeCells>
  <pageMargins left="0.7" right="0.7" top="0.75" bottom="0.75" header="0.3" footer="0.3"/>
  <pageSetup scale="57" orientation="landscape" r:id="rId1"/>
  <ignoredErrors>
    <ignoredError sqref="Y3:AC3" unlockedFormula="1"/>
  </ignoredError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N1086"/>
  <sheetViews>
    <sheetView topLeftCell="H1" workbookViewId="0">
      <pane ySplit="2" topLeftCell="A1057" activePane="bottomLeft" state="frozen"/>
      <selection pane="bottomLeft" activeCell="A3" sqref="A3:N1086"/>
    </sheetView>
  </sheetViews>
  <sheetFormatPr baseColWidth="10" defaultRowHeight="15"/>
  <cols>
    <col min="1" max="1" width="13.7109375" bestFit="1" customWidth="1"/>
    <col min="3" max="3" width="11.5703125" style="447"/>
    <col min="10" max="10" width="13.28515625" bestFit="1" customWidth="1"/>
    <col min="11" max="11" width="15.7109375" bestFit="1" customWidth="1"/>
  </cols>
  <sheetData>
    <row r="1" spans="1:14">
      <c r="C1" s="447">
        <f>SUM(C3:C2346)</f>
        <v>0</v>
      </c>
      <c r="I1" s="447">
        <f t="shared" ref="I1:K1" si="0">SUM(I3:I2346)</f>
        <v>0</v>
      </c>
      <c r="J1" s="447">
        <f t="shared" si="0"/>
        <v>0</v>
      </c>
      <c r="K1" s="447">
        <f t="shared" si="0"/>
        <v>0</v>
      </c>
    </row>
    <row r="2" spans="1:14">
      <c r="A2" s="445" t="s">
        <v>711</v>
      </c>
      <c r="B2" s="445" t="s">
        <v>820</v>
      </c>
      <c r="C2" s="446" t="s">
        <v>821</v>
      </c>
      <c r="D2" s="445" t="s">
        <v>822</v>
      </c>
      <c r="E2" s="445"/>
      <c r="F2" s="433" t="s">
        <v>811</v>
      </c>
      <c r="G2" s="433" t="s">
        <v>812</v>
      </c>
      <c r="H2" s="433" t="s">
        <v>813</v>
      </c>
      <c r="I2" s="433" t="s">
        <v>814</v>
      </c>
      <c r="J2" s="433" t="s">
        <v>815</v>
      </c>
      <c r="K2" s="433" t="s">
        <v>816</v>
      </c>
      <c r="L2" s="433" t="s">
        <v>817</v>
      </c>
      <c r="M2" s="433" t="s">
        <v>818</v>
      </c>
      <c r="N2" s="433" t="s">
        <v>819</v>
      </c>
    </row>
    <row r="3" spans="1:14">
      <c r="B3" s="444"/>
      <c r="F3" s="434"/>
      <c r="G3" s="435"/>
      <c r="H3" s="434"/>
      <c r="I3" s="437"/>
      <c r="J3" s="437"/>
      <c r="K3" s="436"/>
      <c r="L3" s="434"/>
      <c r="M3" s="434"/>
      <c r="N3" s="438"/>
    </row>
    <row r="4" spans="1:14">
      <c r="B4" s="444"/>
      <c r="F4" s="439"/>
      <c r="G4" s="440"/>
      <c r="H4" s="439"/>
      <c r="I4" s="442"/>
      <c r="J4" s="442"/>
      <c r="K4" s="441"/>
      <c r="L4" s="439"/>
      <c r="M4" s="439"/>
      <c r="N4" s="443"/>
    </row>
    <row r="5" spans="1:14">
      <c r="B5" s="444"/>
      <c r="F5" s="439"/>
      <c r="G5" s="440"/>
      <c r="H5" s="439"/>
      <c r="I5" s="441"/>
      <c r="J5" s="441"/>
      <c r="K5" s="441"/>
      <c r="L5" s="439"/>
      <c r="M5" s="439"/>
      <c r="N5" s="443"/>
    </row>
    <row r="6" spans="1:14">
      <c r="B6" s="444"/>
      <c r="F6" s="439"/>
      <c r="G6" s="440"/>
      <c r="H6" s="439"/>
      <c r="I6" s="441"/>
      <c r="J6" s="441"/>
      <c r="K6" s="441"/>
      <c r="L6" s="439"/>
      <c r="M6" s="439"/>
      <c r="N6" s="443"/>
    </row>
    <row r="7" spans="1:14">
      <c r="B7" s="444"/>
      <c r="F7" s="439"/>
      <c r="G7" s="440"/>
      <c r="H7" s="439"/>
      <c r="I7" s="441"/>
      <c r="J7" s="442"/>
      <c r="K7" s="442"/>
      <c r="L7" s="439"/>
      <c r="M7" s="439"/>
      <c r="N7" s="443"/>
    </row>
    <row r="8" spans="1:14">
      <c r="B8" s="444"/>
      <c r="F8" s="439"/>
      <c r="G8" s="440"/>
      <c r="H8" s="439"/>
      <c r="I8" s="441"/>
      <c r="J8" s="442"/>
      <c r="K8" s="442"/>
      <c r="L8" s="439"/>
      <c r="M8" s="439"/>
      <c r="N8" s="443"/>
    </row>
    <row r="9" spans="1:14">
      <c r="B9" s="444"/>
      <c r="F9" s="439"/>
      <c r="G9" s="440"/>
      <c r="H9" s="439"/>
      <c r="I9" s="441"/>
      <c r="J9" s="441"/>
      <c r="K9" s="441"/>
      <c r="L9" s="439"/>
      <c r="M9" s="439"/>
      <c r="N9" s="443"/>
    </row>
    <row r="10" spans="1:14">
      <c r="B10" s="444"/>
      <c r="F10" s="439"/>
      <c r="G10" s="440"/>
      <c r="H10" s="439"/>
      <c r="I10" s="441"/>
      <c r="J10" s="442"/>
      <c r="K10" s="442"/>
      <c r="L10" s="439"/>
      <c r="M10" s="439"/>
      <c r="N10" s="443"/>
    </row>
    <row r="11" spans="1:14">
      <c r="B11" s="444"/>
      <c r="F11" s="439"/>
      <c r="G11" s="440"/>
      <c r="H11" s="439"/>
      <c r="I11" s="441"/>
      <c r="J11" s="442"/>
      <c r="K11" s="442"/>
      <c r="L11" s="439"/>
      <c r="M11" s="439"/>
      <c r="N11" s="443"/>
    </row>
    <row r="12" spans="1:14">
      <c r="B12" s="444"/>
      <c r="F12" s="439"/>
      <c r="G12" s="440"/>
      <c r="H12" s="439"/>
      <c r="I12" s="441"/>
      <c r="J12" s="442"/>
      <c r="K12" s="442"/>
      <c r="L12" s="439"/>
      <c r="M12" s="439"/>
      <c r="N12" s="443"/>
    </row>
    <row r="13" spans="1:14">
      <c r="B13" s="444"/>
      <c r="F13" s="439"/>
      <c r="G13" s="440"/>
      <c r="H13" s="439"/>
      <c r="I13" s="441"/>
      <c r="J13" s="442"/>
      <c r="K13" s="442"/>
      <c r="L13" s="439"/>
      <c r="M13" s="439"/>
      <c r="N13" s="443"/>
    </row>
    <row r="14" spans="1:14">
      <c r="B14" s="444"/>
      <c r="F14" s="439"/>
      <c r="G14" s="440"/>
      <c r="H14" s="439"/>
      <c r="I14" s="441"/>
      <c r="J14" s="442"/>
      <c r="K14" s="442"/>
      <c r="L14" s="439"/>
      <c r="M14" s="439"/>
      <c r="N14" s="443"/>
    </row>
    <row r="15" spans="1:14">
      <c r="B15" s="444"/>
      <c r="F15" s="439"/>
      <c r="G15" s="440"/>
      <c r="H15" s="439"/>
      <c r="I15" s="441"/>
      <c r="J15" s="442"/>
      <c r="K15" s="442"/>
      <c r="L15" s="439"/>
      <c r="M15" s="439"/>
      <c r="N15" s="443"/>
    </row>
    <row r="16" spans="1:14">
      <c r="B16" s="444"/>
      <c r="F16" s="439"/>
      <c r="G16" s="440"/>
      <c r="H16" s="439"/>
      <c r="I16" s="441"/>
      <c r="J16" s="442"/>
      <c r="K16" s="442"/>
      <c r="L16" s="439"/>
      <c r="M16" s="439"/>
      <c r="N16" s="443"/>
    </row>
    <row r="17" spans="2:14">
      <c r="B17" s="444"/>
      <c r="F17" s="439"/>
      <c r="G17" s="440"/>
      <c r="H17" s="439"/>
      <c r="I17" s="441"/>
      <c r="J17" s="442"/>
      <c r="K17" s="442"/>
      <c r="L17" s="439"/>
      <c r="M17" s="439"/>
      <c r="N17" s="443"/>
    </row>
    <row r="18" spans="2:14">
      <c r="B18" s="444"/>
      <c r="F18" s="439"/>
      <c r="G18" s="440"/>
      <c r="H18" s="439"/>
      <c r="I18" s="441"/>
      <c r="J18" s="442"/>
      <c r="K18" s="442"/>
      <c r="L18" s="439"/>
      <c r="M18" s="439"/>
      <c r="N18" s="443"/>
    </row>
    <row r="19" spans="2:14">
      <c r="B19" s="444"/>
      <c r="F19" s="439"/>
      <c r="G19" s="440"/>
      <c r="H19" s="439"/>
      <c r="I19" s="441"/>
      <c r="J19" s="442"/>
      <c r="K19" s="442"/>
      <c r="L19" s="439"/>
      <c r="M19" s="439"/>
      <c r="N19" s="443"/>
    </row>
    <row r="20" spans="2:14">
      <c r="B20" s="444"/>
      <c r="F20" s="439"/>
      <c r="G20" s="440"/>
      <c r="H20" s="439"/>
      <c r="I20" s="441"/>
      <c r="J20" s="442"/>
      <c r="K20" s="442"/>
      <c r="L20" s="439"/>
      <c r="M20" s="439"/>
      <c r="N20" s="443"/>
    </row>
    <row r="21" spans="2:14">
      <c r="B21" s="444"/>
      <c r="F21" s="439"/>
      <c r="G21" s="440"/>
      <c r="H21" s="439"/>
      <c r="I21" s="441"/>
      <c r="J21" s="442"/>
      <c r="K21" s="442"/>
      <c r="L21" s="439"/>
      <c r="M21" s="439"/>
      <c r="N21" s="443"/>
    </row>
    <row r="22" spans="2:14">
      <c r="B22" s="444"/>
      <c r="F22" s="439"/>
      <c r="G22" s="440"/>
      <c r="H22" s="439"/>
      <c r="I22" s="441"/>
      <c r="J22" s="442"/>
      <c r="K22" s="442"/>
      <c r="L22" s="439"/>
      <c r="M22" s="439"/>
      <c r="N22" s="443"/>
    </row>
    <row r="23" spans="2:14">
      <c r="B23" s="444"/>
      <c r="F23" s="439"/>
      <c r="G23" s="440"/>
      <c r="H23" s="439"/>
      <c r="I23" s="441"/>
      <c r="J23" s="442"/>
      <c r="K23" s="442"/>
      <c r="L23" s="439"/>
      <c r="M23" s="439"/>
      <c r="N23" s="443"/>
    </row>
    <row r="24" spans="2:14">
      <c r="B24" s="444"/>
      <c r="F24" s="439"/>
      <c r="G24" s="440"/>
      <c r="H24" s="439"/>
      <c r="I24" s="441"/>
      <c r="J24" s="442"/>
      <c r="K24" s="442"/>
      <c r="L24" s="439"/>
      <c r="M24" s="439"/>
      <c r="N24" s="443"/>
    </row>
    <row r="25" spans="2:14">
      <c r="B25" s="444"/>
      <c r="F25" s="439"/>
      <c r="G25" s="440"/>
      <c r="H25" s="439"/>
      <c r="I25" s="441"/>
      <c r="J25" s="442"/>
      <c r="K25" s="442"/>
      <c r="L25" s="439"/>
      <c r="M25" s="439"/>
      <c r="N25" s="443"/>
    </row>
    <row r="26" spans="2:14">
      <c r="B26" s="444"/>
      <c r="F26" s="439"/>
      <c r="G26" s="440"/>
      <c r="H26" s="439"/>
      <c r="I26" s="441"/>
      <c r="J26" s="441"/>
      <c r="K26" s="441"/>
      <c r="L26" s="439"/>
      <c r="M26" s="439"/>
      <c r="N26" s="443"/>
    </row>
    <row r="27" spans="2:14">
      <c r="B27" s="444"/>
      <c r="F27" s="439"/>
      <c r="G27" s="440"/>
      <c r="H27" s="439"/>
      <c r="I27" s="441"/>
      <c r="J27" s="441"/>
      <c r="K27" s="441"/>
      <c r="L27" s="439"/>
      <c r="M27" s="439"/>
      <c r="N27" s="443"/>
    </row>
    <row r="28" spans="2:14">
      <c r="B28" s="444"/>
      <c r="F28" s="439"/>
      <c r="G28" s="440"/>
      <c r="H28" s="439"/>
      <c r="I28" s="441"/>
      <c r="J28" s="441"/>
      <c r="K28" s="441"/>
      <c r="L28" s="439"/>
      <c r="M28" s="439"/>
      <c r="N28" s="443"/>
    </row>
    <row r="29" spans="2:14">
      <c r="B29" s="444"/>
      <c r="F29" s="439"/>
      <c r="G29" s="440"/>
      <c r="H29" s="439"/>
      <c r="I29" s="441"/>
      <c r="J29" s="441"/>
      <c r="K29" s="441"/>
      <c r="L29" s="439"/>
      <c r="M29" s="439"/>
      <c r="N29" s="443"/>
    </row>
    <row r="30" spans="2:14">
      <c r="B30" s="444"/>
      <c r="F30" s="439"/>
      <c r="G30" s="440"/>
      <c r="H30" s="439"/>
      <c r="I30" s="441"/>
      <c r="J30" s="441"/>
      <c r="K30" s="441"/>
      <c r="L30" s="439"/>
      <c r="M30" s="439"/>
      <c r="N30" s="443"/>
    </row>
    <row r="31" spans="2:14">
      <c r="B31" s="444"/>
      <c r="F31" s="439"/>
      <c r="G31" s="440"/>
      <c r="H31" s="439"/>
      <c r="I31" s="441"/>
      <c r="J31" s="441"/>
      <c r="K31" s="441"/>
      <c r="L31" s="439"/>
      <c r="M31" s="439"/>
      <c r="N31" s="443"/>
    </row>
    <row r="32" spans="2:14">
      <c r="B32" s="444"/>
      <c r="F32" s="439"/>
      <c r="G32" s="440"/>
      <c r="H32" s="439"/>
      <c r="I32" s="441"/>
      <c r="J32" s="441"/>
      <c r="K32" s="441"/>
      <c r="L32" s="439"/>
      <c r="M32" s="439"/>
      <c r="N32" s="443"/>
    </row>
    <row r="33" spans="2:14">
      <c r="B33" s="444"/>
      <c r="F33" s="439"/>
      <c r="G33" s="440"/>
      <c r="H33" s="439"/>
      <c r="I33" s="441"/>
      <c r="J33" s="441"/>
      <c r="K33" s="441"/>
      <c r="L33" s="439"/>
      <c r="M33" s="439"/>
      <c r="N33" s="443"/>
    </row>
    <row r="34" spans="2:14">
      <c r="B34" s="444"/>
      <c r="F34" s="439"/>
      <c r="G34" s="440"/>
      <c r="H34" s="439"/>
      <c r="I34" s="441"/>
      <c r="J34" s="441"/>
      <c r="K34" s="441"/>
      <c r="L34" s="439"/>
      <c r="M34" s="439"/>
      <c r="N34" s="443"/>
    </row>
    <row r="35" spans="2:14">
      <c r="B35" s="444"/>
      <c r="F35" s="439"/>
      <c r="G35" s="440"/>
      <c r="H35" s="439"/>
      <c r="I35" s="441"/>
      <c r="J35" s="441"/>
      <c r="K35" s="441"/>
      <c r="L35" s="439"/>
      <c r="M35" s="439"/>
      <c r="N35" s="443"/>
    </row>
    <row r="36" spans="2:14">
      <c r="B36" s="444"/>
      <c r="F36" s="439"/>
      <c r="G36" s="440"/>
      <c r="H36" s="439"/>
      <c r="I36" s="441"/>
      <c r="J36" s="441"/>
      <c r="K36" s="441"/>
      <c r="L36" s="439"/>
      <c r="M36" s="439"/>
      <c r="N36" s="443"/>
    </row>
    <row r="37" spans="2:14">
      <c r="B37" s="444"/>
      <c r="F37" s="439"/>
      <c r="G37" s="440"/>
      <c r="H37" s="439"/>
      <c r="I37" s="441"/>
      <c r="J37" s="441"/>
      <c r="K37" s="441"/>
      <c r="L37" s="439"/>
      <c r="M37" s="439"/>
      <c r="N37" s="443"/>
    </row>
    <row r="38" spans="2:14">
      <c r="B38" s="444"/>
      <c r="F38" s="439"/>
      <c r="G38" s="440"/>
      <c r="H38" s="439"/>
      <c r="I38" s="441"/>
      <c r="J38" s="441"/>
      <c r="K38" s="441"/>
      <c r="L38" s="439"/>
      <c r="M38" s="439"/>
      <c r="N38" s="443"/>
    </row>
    <row r="39" spans="2:14">
      <c r="B39" s="444"/>
      <c r="F39" s="439"/>
      <c r="G39" s="440"/>
      <c r="H39" s="439"/>
      <c r="I39" s="441"/>
      <c r="J39" s="441"/>
      <c r="K39" s="441"/>
      <c r="L39" s="439"/>
      <c r="M39" s="439"/>
      <c r="N39" s="443"/>
    </row>
    <row r="40" spans="2:14">
      <c r="B40" s="444"/>
      <c r="F40" s="439"/>
      <c r="G40" s="440"/>
      <c r="H40" s="439"/>
      <c r="I40" s="441"/>
      <c r="J40" s="441"/>
      <c r="K40" s="441"/>
      <c r="L40" s="439"/>
      <c r="M40" s="439"/>
      <c r="N40" s="443"/>
    </row>
    <row r="41" spans="2:14">
      <c r="B41" s="444"/>
      <c r="F41" s="439"/>
      <c r="G41" s="440"/>
      <c r="H41" s="439"/>
      <c r="I41" s="441"/>
      <c r="J41" s="441"/>
      <c r="K41" s="441"/>
      <c r="L41" s="439"/>
      <c r="M41" s="439"/>
      <c r="N41" s="443"/>
    </row>
    <row r="42" spans="2:14">
      <c r="B42" s="444"/>
      <c r="F42" s="439"/>
      <c r="G42" s="440"/>
      <c r="H42" s="439"/>
      <c r="I42" s="441"/>
      <c r="J42" s="441"/>
      <c r="K42" s="441"/>
      <c r="L42" s="439"/>
      <c r="M42" s="439"/>
      <c r="N42" s="443"/>
    </row>
    <row r="43" spans="2:14">
      <c r="B43" s="444"/>
      <c r="F43" s="439"/>
      <c r="G43" s="440"/>
      <c r="H43" s="439"/>
      <c r="I43" s="441"/>
      <c r="J43" s="441"/>
      <c r="K43" s="441"/>
      <c r="L43" s="439"/>
      <c r="M43" s="439"/>
      <c r="N43" s="443"/>
    </row>
    <row r="44" spans="2:14">
      <c r="B44" s="444"/>
      <c r="F44" s="439"/>
      <c r="G44" s="440"/>
      <c r="H44" s="439"/>
      <c r="I44" s="441"/>
      <c r="J44" s="441"/>
      <c r="K44" s="441"/>
      <c r="L44" s="439"/>
      <c r="M44" s="439"/>
      <c r="N44" s="443"/>
    </row>
    <row r="45" spans="2:14">
      <c r="B45" s="444"/>
      <c r="F45" s="439"/>
      <c r="G45" s="440"/>
      <c r="H45" s="439"/>
      <c r="I45" s="441"/>
      <c r="J45" s="441"/>
      <c r="K45" s="441"/>
      <c r="L45" s="439"/>
      <c r="M45" s="439"/>
      <c r="N45" s="443"/>
    </row>
    <row r="46" spans="2:14">
      <c r="B46" s="444"/>
      <c r="F46" s="439"/>
      <c r="G46" s="440"/>
      <c r="H46" s="439"/>
      <c r="I46" s="441"/>
      <c r="J46" s="441"/>
      <c r="K46" s="441"/>
      <c r="L46" s="439"/>
      <c r="M46" s="439"/>
      <c r="N46" s="443"/>
    </row>
    <row r="47" spans="2:14">
      <c r="B47" s="444"/>
      <c r="F47" s="439"/>
      <c r="G47" s="440"/>
      <c r="H47" s="439"/>
      <c r="I47" s="441"/>
      <c r="J47" s="441"/>
      <c r="K47" s="441"/>
      <c r="L47" s="439"/>
      <c r="M47" s="439"/>
      <c r="N47" s="443"/>
    </row>
    <row r="48" spans="2:14">
      <c r="B48" s="444"/>
      <c r="F48" s="439"/>
      <c r="G48" s="440"/>
      <c r="H48" s="439"/>
      <c r="I48" s="441"/>
      <c r="J48" s="441"/>
      <c r="K48" s="441"/>
      <c r="L48" s="439"/>
      <c r="M48" s="439"/>
      <c r="N48" s="443"/>
    </row>
    <row r="49" spans="2:14">
      <c r="B49" s="444"/>
      <c r="F49" s="439"/>
      <c r="G49" s="440"/>
      <c r="H49" s="439"/>
      <c r="I49" s="441"/>
      <c r="J49" s="441"/>
      <c r="K49" s="441"/>
      <c r="L49" s="439"/>
      <c r="M49" s="439"/>
      <c r="N49" s="443"/>
    </row>
    <row r="50" spans="2:14">
      <c r="B50" s="444"/>
      <c r="F50" s="439"/>
      <c r="G50" s="440"/>
      <c r="H50" s="439"/>
      <c r="I50" s="441"/>
      <c r="J50" s="441"/>
      <c r="K50" s="441"/>
      <c r="L50" s="439"/>
      <c r="M50" s="439"/>
      <c r="N50" s="443"/>
    </row>
    <row r="51" spans="2:14">
      <c r="B51" s="444"/>
      <c r="F51" s="439"/>
      <c r="G51" s="440"/>
      <c r="H51" s="439"/>
      <c r="I51" s="441"/>
      <c r="J51" s="441"/>
      <c r="K51" s="441"/>
      <c r="L51" s="439"/>
      <c r="M51" s="439"/>
      <c r="N51" s="443"/>
    </row>
    <row r="52" spans="2:14">
      <c r="B52" s="444"/>
      <c r="F52" s="439"/>
      <c r="G52" s="440"/>
      <c r="H52" s="439"/>
      <c r="I52" s="441"/>
      <c r="J52" s="441"/>
      <c r="K52" s="441"/>
      <c r="L52" s="439"/>
      <c r="M52" s="439"/>
      <c r="N52" s="443"/>
    </row>
    <row r="53" spans="2:14">
      <c r="B53" s="444"/>
      <c r="F53" s="439"/>
      <c r="G53" s="440"/>
      <c r="H53" s="439"/>
      <c r="I53" s="441"/>
      <c r="J53" s="441"/>
      <c r="K53" s="441"/>
      <c r="L53" s="439"/>
      <c r="M53" s="439"/>
      <c r="N53" s="443"/>
    </row>
    <row r="54" spans="2:14">
      <c r="B54" s="444"/>
      <c r="F54" s="439"/>
      <c r="G54" s="440"/>
      <c r="H54" s="439"/>
      <c r="I54" s="441"/>
      <c r="J54" s="441"/>
      <c r="K54" s="441"/>
      <c r="L54" s="439"/>
      <c r="M54" s="439"/>
      <c r="N54" s="443"/>
    </row>
    <row r="55" spans="2:14">
      <c r="B55" s="444"/>
      <c r="F55" s="439"/>
      <c r="G55" s="440"/>
      <c r="H55" s="439"/>
      <c r="I55" s="441"/>
      <c r="J55" s="441"/>
      <c r="K55" s="441"/>
      <c r="L55" s="439"/>
      <c r="M55" s="439"/>
      <c r="N55" s="443"/>
    </row>
    <row r="56" spans="2:14">
      <c r="B56" s="444"/>
      <c r="F56" s="439"/>
      <c r="G56" s="440"/>
      <c r="H56" s="439"/>
      <c r="I56" s="441"/>
      <c r="J56" s="441"/>
      <c r="K56" s="441"/>
      <c r="L56" s="439"/>
      <c r="M56" s="439"/>
      <c r="N56" s="443"/>
    </row>
    <row r="57" spans="2:14">
      <c r="B57" s="444"/>
      <c r="F57" s="439"/>
      <c r="G57" s="440"/>
      <c r="H57" s="439"/>
      <c r="I57" s="441"/>
      <c r="J57" s="442"/>
      <c r="K57" s="442"/>
      <c r="L57" s="439"/>
      <c r="M57" s="439"/>
      <c r="N57" s="443"/>
    </row>
    <row r="58" spans="2:14">
      <c r="B58" s="444"/>
      <c r="F58" s="439"/>
      <c r="G58" s="440"/>
      <c r="H58" s="439"/>
      <c r="I58" s="441"/>
      <c r="J58" s="441"/>
      <c r="K58" s="441"/>
      <c r="L58" s="439"/>
      <c r="M58" s="439"/>
      <c r="N58" s="443"/>
    </row>
    <row r="59" spans="2:14">
      <c r="B59" s="444"/>
      <c r="F59" s="439"/>
      <c r="G59" s="440"/>
      <c r="H59" s="439"/>
      <c r="I59" s="441"/>
      <c r="J59" s="441"/>
      <c r="K59" s="441"/>
      <c r="L59" s="439"/>
      <c r="M59" s="439"/>
      <c r="N59" s="443"/>
    </row>
    <row r="60" spans="2:14">
      <c r="B60" s="444"/>
      <c r="F60" s="439"/>
      <c r="G60" s="440"/>
      <c r="H60" s="439"/>
      <c r="I60" s="441"/>
      <c r="J60" s="441"/>
      <c r="K60" s="441"/>
      <c r="L60" s="439"/>
      <c r="M60" s="439"/>
      <c r="N60" s="443"/>
    </row>
    <row r="61" spans="2:14">
      <c r="B61" s="444"/>
      <c r="F61" s="439"/>
      <c r="G61" s="440"/>
      <c r="H61" s="439"/>
      <c r="I61" s="441"/>
      <c r="J61" s="441"/>
      <c r="K61" s="441"/>
      <c r="L61" s="439"/>
      <c r="M61" s="439"/>
      <c r="N61" s="443"/>
    </row>
    <row r="62" spans="2:14">
      <c r="B62" s="444"/>
      <c r="F62" s="439"/>
      <c r="G62" s="440"/>
      <c r="H62" s="439"/>
      <c r="I62" s="441"/>
      <c r="J62" s="441"/>
      <c r="K62" s="441"/>
      <c r="L62" s="439"/>
      <c r="M62" s="439"/>
      <c r="N62" s="443"/>
    </row>
    <row r="63" spans="2:14">
      <c r="B63" s="444"/>
      <c r="F63" s="439"/>
      <c r="G63" s="440"/>
      <c r="H63" s="439"/>
      <c r="I63" s="441"/>
      <c r="J63" s="441"/>
      <c r="K63" s="441"/>
      <c r="L63" s="439"/>
      <c r="M63" s="439"/>
      <c r="N63" s="443"/>
    </row>
    <row r="64" spans="2:14">
      <c r="B64" s="444"/>
      <c r="F64" s="439"/>
      <c r="G64" s="440"/>
      <c r="H64" s="439"/>
      <c r="I64" s="441"/>
      <c r="J64" s="442"/>
      <c r="K64" s="442"/>
      <c r="L64" s="439"/>
      <c r="M64" s="439"/>
      <c r="N64" s="443"/>
    </row>
    <row r="65" spans="2:14">
      <c r="B65" s="444"/>
      <c r="F65" s="439"/>
      <c r="G65" s="440"/>
      <c r="H65" s="439"/>
      <c r="I65" s="441"/>
      <c r="J65" s="442"/>
      <c r="K65" s="442"/>
      <c r="L65" s="439"/>
      <c r="M65" s="439"/>
      <c r="N65" s="443"/>
    </row>
    <row r="66" spans="2:14">
      <c r="B66" s="444"/>
      <c r="F66" s="439"/>
      <c r="G66" s="440"/>
      <c r="H66" s="439"/>
      <c r="I66" s="441"/>
      <c r="J66" s="442"/>
      <c r="K66" s="442"/>
      <c r="L66" s="439"/>
      <c r="M66" s="439"/>
      <c r="N66" s="443"/>
    </row>
    <row r="67" spans="2:14">
      <c r="B67" s="444"/>
      <c r="F67" s="439"/>
      <c r="G67" s="440"/>
      <c r="H67" s="439"/>
      <c r="I67" s="441"/>
      <c r="J67" s="441"/>
      <c r="K67" s="441"/>
      <c r="L67" s="439"/>
      <c r="M67" s="439"/>
      <c r="N67" s="443"/>
    </row>
    <row r="68" spans="2:14">
      <c r="B68" s="444"/>
      <c r="F68" s="439"/>
      <c r="G68" s="440"/>
      <c r="H68" s="439"/>
      <c r="I68" s="441"/>
      <c r="J68" s="441"/>
      <c r="K68" s="441"/>
      <c r="L68" s="439"/>
      <c r="M68" s="439"/>
      <c r="N68" s="443"/>
    </row>
    <row r="69" spans="2:14">
      <c r="B69" s="444"/>
      <c r="F69" s="439"/>
      <c r="G69" s="440"/>
      <c r="H69" s="439"/>
      <c r="I69" s="441"/>
      <c r="J69" s="441"/>
      <c r="K69" s="441"/>
      <c r="L69" s="439"/>
      <c r="M69" s="439"/>
      <c r="N69" s="443"/>
    </row>
    <row r="70" spans="2:14">
      <c r="B70" s="444"/>
      <c r="F70" s="439"/>
      <c r="G70" s="440"/>
      <c r="H70" s="439"/>
      <c r="I70" s="441"/>
      <c r="J70" s="441"/>
      <c r="K70" s="441"/>
      <c r="L70" s="439"/>
      <c r="M70" s="439"/>
      <c r="N70" s="443"/>
    </row>
    <row r="71" spans="2:14">
      <c r="B71" s="444"/>
      <c r="F71" s="439"/>
      <c r="G71" s="440"/>
      <c r="H71" s="439"/>
      <c r="I71" s="441"/>
      <c r="J71" s="441"/>
      <c r="K71" s="441"/>
      <c r="L71" s="439"/>
      <c r="M71" s="439"/>
      <c r="N71" s="443"/>
    </row>
    <row r="72" spans="2:14">
      <c r="B72" s="444"/>
      <c r="F72" s="439"/>
      <c r="G72" s="440"/>
      <c r="H72" s="439"/>
      <c r="I72" s="441"/>
      <c r="J72" s="441"/>
      <c r="K72" s="441"/>
      <c r="L72" s="439"/>
      <c r="M72" s="439"/>
      <c r="N72" s="443"/>
    </row>
    <row r="73" spans="2:14">
      <c r="B73" s="444"/>
      <c r="F73" s="439"/>
      <c r="G73" s="440"/>
      <c r="H73" s="439"/>
      <c r="I73" s="441"/>
      <c r="J73" s="441"/>
      <c r="K73" s="441"/>
      <c r="L73" s="439"/>
      <c r="M73" s="439"/>
      <c r="N73" s="443"/>
    </row>
    <row r="74" spans="2:14">
      <c r="B74" s="444"/>
      <c r="F74" s="439"/>
      <c r="G74" s="440"/>
      <c r="H74" s="439"/>
      <c r="I74" s="441"/>
      <c r="J74" s="441"/>
      <c r="K74" s="441"/>
      <c r="L74" s="439"/>
      <c r="M74" s="439"/>
      <c r="N74" s="443"/>
    </row>
    <row r="75" spans="2:14">
      <c r="B75" s="444"/>
      <c r="F75" s="439"/>
      <c r="G75" s="440"/>
      <c r="H75" s="439"/>
      <c r="I75" s="441"/>
      <c r="J75" s="441"/>
      <c r="K75" s="441"/>
      <c r="L75" s="439"/>
      <c r="M75" s="439"/>
      <c r="N75" s="443"/>
    </row>
    <row r="76" spans="2:14">
      <c r="B76" s="444"/>
      <c r="F76" s="439"/>
      <c r="G76" s="440"/>
      <c r="H76" s="439"/>
      <c r="I76" s="441"/>
      <c r="J76" s="441"/>
      <c r="K76" s="441"/>
      <c r="L76" s="439"/>
      <c r="M76" s="439"/>
      <c r="N76" s="443"/>
    </row>
    <row r="77" spans="2:14">
      <c r="B77" s="444"/>
      <c r="F77" s="439"/>
      <c r="G77" s="440"/>
      <c r="H77" s="439"/>
      <c r="I77" s="441"/>
      <c r="J77" s="441"/>
      <c r="K77" s="441"/>
      <c r="L77" s="439"/>
      <c r="M77" s="439"/>
      <c r="N77" s="443"/>
    </row>
    <row r="78" spans="2:14">
      <c r="B78" s="444"/>
      <c r="F78" s="439"/>
      <c r="G78" s="440"/>
      <c r="H78" s="439"/>
      <c r="I78" s="441"/>
      <c r="J78" s="442"/>
      <c r="K78" s="442"/>
      <c r="L78" s="439"/>
      <c r="M78" s="439"/>
      <c r="N78" s="443"/>
    </row>
    <row r="79" spans="2:14">
      <c r="B79" s="444"/>
      <c r="F79" s="439"/>
      <c r="G79" s="440"/>
      <c r="H79" s="439"/>
      <c r="I79" s="441"/>
      <c r="J79" s="441"/>
      <c r="K79" s="441"/>
      <c r="L79" s="439"/>
      <c r="M79" s="439"/>
      <c r="N79" s="443"/>
    </row>
    <row r="80" spans="2:14">
      <c r="B80" s="444"/>
      <c r="F80" s="439"/>
      <c r="G80" s="440"/>
      <c r="H80" s="439"/>
      <c r="I80" s="441"/>
      <c r="J80" s="442"/>
      <c r="K80" s="442"/>
      <c r="L80" s="439"/>
      <c r="M80" s="439"/>
      <c r="N80" s="443"/>
    </row>
    <row r="81" spans="2:14">
      <c r="B81" s="444"/>
      <c r="F81" s="439"/>
      <c r="G81" s="440"/>
      <c r="H81" s="439"/>
      <c r="I81" s="441"/>
      <c r="J81" s="441"/>
      <c r="K81" s="441"/>
      <c r="L81" s="439"/>
      <c r="M81" s="439"/>
      <c r="N81" s="443"/>
    </row>
    <row r="82" spans="2:14">
      <c r="B82" s="444"/>
      <c r="F82" s="439"/>
      <c r="G82" s="440"/>
      <c r="H82" s="439"/>
      <c r="I82" s="441"/>
      <c r="J82" s="441"/>
      <c r="K82" s="441"/>
      <c r="L82" s="439"/>
      <c r="M82" s="439"/>
      <c r="N82" s="443"/>
    </row>
    <row r="83" spans="2:14">
      <c r="B83" s="444"/>
      <c r="F83" s="439"/>
      <c r="G83" s="440"/>
      <c r="H83" s="439"/>
      <c r="I83" s="441"/>
      <c r="J83" s="441"/>
      <c r="K83" s="441"/>
      <c r="L83" s="439"/>
      <c r="M83" s="439"/>
      <c r="N83" s="443"/>
    </row>
    <row r="84" spans="2:14">
      <c r="B84" s="444"/>
      <c r="F84" s="439"/>
      <c r="G84" s="440"/>
      <c r="H84" s="439"/>
      <c r="I84" s="441"/>
      <c r="J84" s="441"/>
      <c r="K84" s="441"/>
      <c r="L84" s="439"/>
      <c r="M84" s="439"/>
      <c r="N84" s="443"/>
    </row>
    <row r="85" spans="2:14">
      <c r="B85" s="444"/>
      <c r="F85" s="439"/>
      <c r="G85" s="440"/>
      <c r="H85" s="439"/>
      <c r="I85" s="441"/>
      <c r="J85" s="441"/>
      <c r="K85" s="441"/>
      <c r="L85" s="439"/>
      <c r="M85" s="439"/>
      <c r="N85" s="443"/>
    </row>
    <row r="86" spans="2:14">
      <c r="B86" s="444"/>
      <c r="F86" s="439"/>
      <c r="G86" s="440"/>
      <c r="H86" s="439"/>
      <c r="I86" s="441"/>
      <c r="J86" s="441"/>
      <c r="K86" s="441"/>
      <c r="L86" s="439"/>
      <c r="M86" s="439"/>
      <c r="N86" s="443"/>
    </row>
    <row r="87" spans="2:14">
      <c r="B87" s="444"/>
      <c r="F87" s="439"/>
      <c r="G87" s="440"/>
      <c r="H87" s="439"/>
      <c r="I87" s="441"/>
      <c r="J87" s="441"/>
      <c r="K87" s="441"/>
      <c r="L87" s="439"/>
      <c r="M87" s="439"/>
      <c r="N87" s="443"/>
    </row>
    <row r="88" spans="2:14">
      <c r="B88" s="444"/>
      <c r="F88" s="439"/>
      <c r="G88" s="440"/>
      <c r="H88" s="439"/>
      <c r="I88" s="441"/>
      <c r="J88" s="441"/>
      <c r="K88" s="441"/>
      <c r="L88" s="439"/>
      <c r="M88" s="439"/>
      <c r="N88" s="443"/>
    </row>
    <row r="89" spans="2:14">
      <c r="B89" s="444"/>
      <c r="F89" s="439"/>
      <c r="G89" s="440"/>
      <c r="H89" s="439"/>
      <c r="I89" s="441"/>
      <c r="J89" s="441"/>
      <c r="K89" s="441"/>
      <c r="L89" s="439"/>
      <c r="M89" s="439"/>
      <c r="N89" s="443"/>
    </row>
    <row r="90" spans="2:14">
      <c r="B90" s="444"/>
      <c r="F90" s="439"/>
      <c r="G90" s="440"/>
      <c r="H90" s="439"/>
      <c r="I90" s="441"/>
      <c r="J90" s="441"/>
      <c r="K90" s="441"/>
      <c r="L90" s="439"/>
      <c r="M90" s="439"/>
      <c r="N90" s="443"/>
    </row>
    <row r="91" spans="2:14">
      <c r="B91" s="444"/>
      <c r="F91" s="439"/>
      <c r="G91" s="440"/>
      <c r="H91" s="439"/>
      <c r="I91" s="441"/>
      <c r="J91" s="441"/>
      <c r="K91" s="441"/>
      <c r="L91" s="439"/>
      <c r="M91" s="439"/>
      <c r="N91" s="443"/>
    </row>
    <row r="92" spans="2:14">
      <c r="B92" s="444"/>
      <c r="F92" s="439"/>
      <c r="G92" s="440"/>
      <c r="H92" s="439"/>
      <c r="I92" s="441"/>
      <c r="J92" s="441"/>
      <c r="K92" s="441"/>
      <c r="L92" s="439"/>
      <c r="M92" s="439"/>
      <c r="N92" s="443"/>
    </row>
    <row r="93" spans="2:14">
      <c r="B93" s="444"/>
      <c r="F93" s="439"/>
      <c r="G93" s="440"/>
      <c r="H93" s="439"/>
      <c r="I93" s="441"/>
      <c r="J93" s="441"/>
      <c r="K93" s="441"/>
      <c r="L93" s="439"/>
      <c r="M93" s="439"/>
      <c r="N93" s="443"/>
    </row>
    <row r="94" spans="2:14">
      <c r="B94" s="444"/>
      <c r="F94" s="439"/>
      <c r="G94" s="440"/>
      <c r="H94" s="439"/>
      <c r="I94" s="441"/>
      <c r="J94" s="441"/>
      <c r="K94" s="441"/>
      <c r="L94" s="439"/>
      <c r="M94" s="439"/>
      <c r="N94" s="443"/>
    </row>
    <row r="95" spans="2:14">
      <c r="B95" s="444"/>
      <c r="F95" s="439"/>
      <c r="G95" s="440"/>
      <c r="H95" s="439"/>
      <c r="I95" s="441"/>
      <c r="J95" s="441"/>
      <c r="K95" s="441"/>
      <c r="L95" s="439"/>
      <c r="M95" s="439"/>
      <c r="N95" s="443"/>
    </row>
    <row r="96" spans="2:14">
      <c r="B96" s="444"/>
      <c r="F96" s="439"/>
      <c r="G96" s="440"/>
      <c r="H96" s="439"/>
      <c r="I96" s="441"/>
      <c r="J96" s="441"/>
      <c r="K96" s="441"/>
      <c r="L96" s="439"/>
      <c r="M96" s="439"/>
      <c r="N96" s="443"/>
    </row>
    <row r="97" spans="2:14">
      <c r="B97" s="444"/>
      <c r="F97" s="439"/>
      <c r="G97" s="440"/>
      <c r="H97" s="439"/>
      <c r="I97" s="441"/>
      <c r="J97" s="441"/>
      <c r="K97" s="441"/>
      <c r="L97" s="439"/>
      <c r="M97" s="439"/>
      <c r="N97" s="443"/>
    </row>
    <row r="98" spans="2:14">
      <c r="B98" s="444"/>
      <c r="F98" s="439"/>
      <c r="G98" s="440"/>
      <c r="H98" s="439"/>
      <c r="I98" s="441"/>
      <c r="J98" s="441"/>
      <c r="K98" s="441"/>
      <c r="L98" s="439"/>
      <c r="M98" s="439"/>
      <c r="N98" s="443"/>
    </row>
    <row r="99" spans="2:14">
      <c r="B99" s="444"/>
      <c r="F99" s="439"/>
      <c r="G99" s="440"/>
      <c r="H99" s="439"/>
      <c r="I99" s="441"/>
      <c r="J99" s="441"/>
      <c r="K99" s="441"/>
      <c r="L99" s="439"/>
      <c r="M99" s="439"/>
      <c r="N99" s="443"/>
    </row>
    <row r="100" spans="2:14">
      <c r="B100" s="444"/>
      <c r="F100" s="439"/>
      <c r="G100" s="440"/>
      <c r="H100" s="439"/>
      <c r="I100" s="441"/>
      <c r="J100" s="441"/>
      <c r="K100" s="441"/>
      <c r="L100" s="439"/>
      <c r="M100" s="439"/>
      <c r="N100" s="443"/>
    </row>
    <row r="101" spans="2:14">
      <c r="B101" s="444"/>
      <c r="F101" s="439"/>
      <c r="G101" s="440"/>
      <c r="H101" s="439"/>
      <c r="I101" s="441"/>
      <c r="J101" s="441"/>
      <c r="K101" s="441"/>
      <c r="L101" s="439"/>
      <c r="M101" s="439"/>
      <c r="N101" s="443"/>
    </row>
    <row r="102" spans="2:14">
      <c r="B102" s="444"/>
      <c r="F102" s="439"/>
      <c r="G102" s="440"/>
      <c r="H102" s="439"/>
      <c r="I102" s="441"/>
      <c r="J102" s="441"/>
      <c r="K102" s="441"/>
      <c r="L102" s="439"/>
      <c r="M102" s="439"/>
      <c r="N102" s="443"/>
    </row>
    <row r="103" spans="2:14">
      <c r="B103" s="444"/>
      <c r="F103" s="439"/>
      <c r="G103" s="440"/>
      <c r="H103" s="439"/>
      <c r="I103" s="441"/>
      <c r="J103" s="441"/>
      <c r="K103" s="441"/>
      <c r="L103" s="439"/>
      <c r="M103" s="439"/>
      <c r="N103" s="443"/>
    </row>
    <row r="104" spans="2:14">
      <c r="B104" s="444"/>
      <c r="F104" s="439"/>
      <c r="G104" s="440"/>
      <c r="H104" s="439"/>
      <c r="I104" s="441"/>
      <c r="J104" s="441"/>
      <c r="K104" s="441"/>
      <c r="L104" s="439"/>
      <c r="M104" s="439"/>
      <c r="N104" s="443"/>
    </row>
    <row r="105" spans="2:14">
      <c r="B105" s="444"/>
      <c r="F105" s="439"/>
      <c r="G105" s="440"/>
      <c r="H105" s="439"/>
      <c r="I105" s="441"/>
      <c r="J105" s="441"/>
      <c r="K105" s="441"/>
      <c r="L105" s="439"/>
      <c r="M105" s="439"/>
      <c r="N105" s="443"/>
    </row>
    <row r="106" spans="2:14">
      <c r="B106" s="444"/>
      <c r="F106" s="439"/>
      <c r="G106" s="440"/>
      <c r="H106" s="439"/>
      <c r="I106" s="441"/>
      <c r="J106" s="441"/>
      <c r="K106" s="441"/>
      <c r="L106" s="439"/>
      <c r="M106" s="439"/>
      <c r="N106" s="443"/>
    </row>
    <row r="107" spans="2:14">
      <c r="B107" s="444"/>
      <c r="F107" s="439"/>
      <c r="G107" s="440"/>
      <c r="H107" s="439"/>
      <c r="I107" s="441"/>
      <c r="J107" s="441"/>
      <c r="K107" s="441"/>
      <c r="L107" s="439"/>
      <c r="M107" s="439"/>
      <c r="N107" s="443"/>
    </row>
    <row r="108" spans="2:14">
      <c r="B108" s="444"/>
      <c r="F108" s="439"/>
      <c r="G108" s="440"/>
      <c r="H108" s="439"/>
      <c r="I108" s="441"/>
      <c r="J108" s="441"/>
      <c r="K108" s="441"/>
      <c r="L108" s="439"/>
      <c r="M108" s="439"/>
      <c r="N108" s="443"/>
    </row>
    <row r="109" spans="2:14">
      <c r="B109" s="444"/>
      <c r="F109" s="439"/>
      <c r="G109" s="440"/>
      <c r="H109" s="439"/>
      <c r="I109" s="441"/>
      <c r="J109" s="441"/>
      <c r="K109" s="441"/>
      <c r="L109" s="439"/>
      <c r="M109" s="439"/>
      <c r="N109" s="443"/>
    </row>
    <row r="110" spans="2:14">
      <c r="B110" s="444"/>
      <c r="F110" s="439"/>
      <c r="G110" s="440"/>
      <c r="H110" s="439"/>
      <c r="I110" s="441"/>
      <c r="J110" s="441"/>
      <c r="K110" s="441"/>
      <c r="L110" s="439"/>
      <c r="M110" s="439"/>
      <c r="N110" s="443"/>
    </row>
    <row r="111" spans="2:14">
      <c r="B111" s="444"/>
      <c r="F111" s="439"/>
      <c r="G111" s="440"/>
      <c r="H111" s="439"/>
      <c r="I111" s="441"/>
      <c r="J111" s="441"/>
      <c r="K111" s="441"/>
      <c r="L111" s="439"/>
      <c r="M111" s="439"/>
      <c r="N111" s="443"/>
    </row>
    <row r="112" spans="2:14">
      <c r="B112" s="444"/>
      <c r="F112" s="439"/>
      <c r="G112" s="440"/>
      <c r="H112" s="439"/>
      <c r="I112" s="441"/>
      <c r="J112" s="441"/>
      <c r="K112" s="441"/>
      <c r="L112" s="439"/>
      <c r="M112" s="439"/>
      <c r="N112" s="443"/>
    </row>
    <row r="113" spans="2:14">
      <c r="B113" s="444"/>
      <c r="F113" s="439"/>
      <c r="G113" s="440"/>
      <c r="H113" s="439"/>
      <c r="I113" s="441"/>
      <c r="J113" s="441"/>
      <c r="K113" s="441"/>
      <c r="L113" s="439"/>
      <c r="M113" s="439"/>
      <c r="N113" s="443"/>
    </row>
    <row r="114" spans="2:14">
      <c r="B114" s="444"/>
      <c r="F114" s="439"/>
      <c r="G114" s="440"/>
      <c r="H114" s="439"/>
      <c r="I114" s="441"/>
      <c r="J114" s="441"/>
      <c r="K114" s="441"/>
      <c r="L114" s="439"/>
      <c r="M114" s="439"/>
      <c r="N114" s="443"/>
    </row>
    <row r="115" spans="2:14">
      <c r="B115" s="444"/>
      <c r="F115" s="439"/>
      <c r="G115" s="440"/>
      <c r="H115" s="439"/>
      <c r="I115" s="441"/>
      <c r="J115" s="441"/>
      <c r="K115" s="441"/>
      <c r="L115" s="439"/>
      <c r="M115" s="439"/>
      <c r="N115" s="443"/>
    </row>
    <row r="116" spans="2:14">
      <c r="B116" s="444"/>
      <c r="F116" s="439"/>
      <c r="G116" s="440"/>
      <c r="H116" s="439"/>
      <c r="I116" s="441"/>
      <c r="J116" s="441"/>
      <c r="K116" s="441"/>
      <c r="L116" s="439"/>
      <c r="M116" s="439"/>
      <c r="N116" s="443"/>
    </row>
    <row r="117" spans="2:14">
      <c r="B117" s="444"/>
      <c r="F117" s="439"/>
      <c r="G117" s="440"/>
      <c r="H117" s="439"/>
      <c r="I117" s="441"/>
      <c r="J117" s="441"/>
      <c r="K117" s="441"/>
      <c r="L117" s="439"/>
      <c r="M117" s="439"/>
      <c r="N117" s="443"/>
    </row>
    <row r="118" spans="2:14">
      <c r="B118" s="444"/>
      <c r="F118" s="439"/>
      <c r="G118" s="440"/>
      <c r="H118" s="439"/>
      <c r="I118" s="441"/>
      <c r="J118" s="441"/>
      <c r="K118" s="441"/>
      <c r="L118" s="439"/>
      <c r="M118" s="439"/>
      <c r="N118" s="443"/>
    </row>
    <row r="119" spans="2:14">
      <c r="B119" s="444"/>
      <c r="F119" s="439"/>
      <c r="G119" s="440"/>
      <c r="H119" s="439"/>
      <c r="I119" s="441"/>
      <c r="J119" s="441"/>
      <c r="K119" s="441"/>
      <c r="L119" s="439"/>
      <c r="M119" s="439"/>
      <c r="N119" s="443"/>
    </row>
    <row r="120" spans="2:14">
      <c r="B120" s="444"/>
      <c r="F120" s="439"/>
      <c r="G120" s="440"/>
      <c r="H120" s="439"/>
      <c r="I120" s="441"/>
      <c r="J120" s="442"/>
      <c r="K120" s="442"/>
      <c r="L120" s="439"/>
      <c r="M120" s="439"/>
      <c r="N120" s="443"/>
    </row>
    <row r="121" spans="2:14">
      <c r="B121" s="444"/>
      <c r="F121" s="439"/>
      <c r="G121" s="440"/>
      <c r="H121" s="439"/>
      <c r="I121" s="441"/>
      <c r="J121" s="442"/>
      <c r="K121" s="442"/>
      <c r="L121" s="439"/>
      <c r="M121" s="439"/>
      <c r="N121" s="443"/>
    </row>
    <row r="122" spans="2:14">
      <c r="B122" s="444"/>
      <c r="F122" s="439"/>
      <c r="G122" s="440"/>
      <c r="H122" s="439"/>
      <c r="I122" s="441"/>
      <c r="J122" s="442"/>
      <c r="K122" s="442"/>
      <c r="L122" s="439"/>
      <c r="M122" s="439"/>
      <c r="N122" s="443"/>
    </row>
    <row r="123" spans="2:14">
      <c r="B123" s="444"/>
      <c r="F123" s="439"/>
      <c r="G123" s="440"/>
      <c r="H123" s="439"/>
      <c r="I123" s="441"/>
      <c r="J123" s="442"/>
      <c r="K123" s="442"/>
      <c r="L123" s="439"/>
      <c r="M123" s="439"/>
      <c r="N123" s="443"/>
    </row>
    <row r="124" spans="2:14">
      <c r="B124" s="444"/>
      <c r="F124" s="439"/>
      <c r="G124" s="440"/>
      <c r="H124" s="439"/>
      <c r="I124" s="441"/>
      <c r="J124" s="442"/>
      <c r="K124" s="442"/>
      <c r="L124" s="439"/>
      <c r="M124" s="439"/>
      <c r="N124" s="443"/>
    </row>
    <row r="125" spans="2:14">
      <c r="B125" s="444"/>
      <c r="F125" s="439"/>
      <c r="G125" s="440"/>
      <c r="H125" s="439"/>
      <c r="I125" s="441"/>
      <c r="J125" s="442"/>
      <c r="K125" s="442"/>
      <c r="L125" s="439"/>
      <c r="M125" s="439"/>
      <c r="N125" s="443"/>
    </row>
    <row r="126" spans="2:14">
      <c r="B126" s="444"/>
      <c r="F126" s="439"/>
      <c r="G126" s="440"/>
      <c r="H126" s="439"/>
      <c r="I126" s="441"/>
      <c r="J126" s="442"/>
      <c r="K126" s="442"/>
      <c r="L126" s="439"/>
      <c r="M126" s="439"/>
      <c r="N126" s="443"/>
    </row>
    <row r="127" spans="2:14">
      <c r="B127" s="444"/>
      <c r="F127" s="439"/>
      <c r="G127" s="440"/>
      <c r="H127" s="439"/>
      <c r="I127" s="441"/>
      <c r="J127" s="442"/>
      <c r="K127" s="442"/>
      <c r="L127" s="439"/>
      <c r="M127" s="439"/>
      <c r="N127" s="443"/>
    </row>
    <row r="128" spans="2:14">
      <c r="B128" s="444"/>
      <c r="F128" s="439"/>
      <c r="G128" s="440"/>
      <c r="H128" s="439"/>
      <c r="I128" s="441"/>
      <c r="J128" s="442"/>
      <c r="K128" s="442"/>
      <c r="L128" s="439"/>
      <c r="M128" s="439"/>
      <c r="N128" s="443"/>
    </row>
    <row r="129" spans="2:14">
      <c r="B129" s="444"/>
      <c r="F129" s="439"/>
      <c r="G129" s="440"/>
      <c r="H129" s="439"/>
      <c r="I129" s="441"/>
      <c r="J129" s="442"/>
      <c r="K129" s="442"/>
      <c r="L129" s="439"/>
      <c r="M129" s="439"/>
      <c r="N129" s="443"/>
    </row>
    <row r="130" spans="2:14">
      <c r="B130" s="444"/>
      <c r="F130" s="439"/>
      <c r="G130" s="440"/>
      <c r="H130" s="439"/>
      <c r="I130" s="441"/>
      <c r="J130" s="441"/>
      <c r="K130" s="441"/>
      <c r="L130" s="439"/>
      <c r="M130" s="439"/>
      <c r="N130" s="443"/>
    </row>
    <row r="131" spans="2:14">
      <c r="B131" s="444"/>
      <c r="F131" s="439"/>
      <c r="G131" s="440"/>
      <c r="H131" s="439"/>
      <c r="I131" s="441"/>
      <c r="J131" s="441"/>
      <c r="K131" s="441"/>
      <c r="L131" s="439"/>
      <c r="M131" s="439"/>
      <c r="N131" s="443"/>
    </row>
    <row r="132" spans="2:14">
      <c r="B132" s="444"/>
      <c r="F132" s="439"/>
      <c r="G132" s="440"/>
      <c r="H132" s="439"/>
      <c r="I132" s="441"/>
      <c r="J132" s="441"/>
      <c r="K132" s="441"/>
      <c r="L132" s="439"/>
      <c r="M132" s="439"/>
      <c r="N132" s="443"/>
    </row>
    <row r="133" spans="2:14">
      <c r="B133" s="444"/>
      <c r="F133" s="439"/>
      <c r="G133" s="440"/>
      <c r="H133" s="439"/>
      <c r="I133" s="441"/>
      <c r="J133" s="441"/>
      <c r="K133" s="441"/>
      <c r="L133" s="439"/>
      <c r="M133" s="439"/>
      <c r="N133" s="443"/>
    </row>
    <row r="134" spans="2:14">
      <c r="B134" s="444"/>
      <c r="F134" s="439"/>
      <c r="G134" s="440"/>
      <c r="H134" s="439"/>
      <c r="I134" s="441"/>
      <c r="J134" s="442"/>
      <c r="K134" s="442"/>
      <c r="L134" s="439"/>
      <c r="M134" s="439"/>
      <c r="N134" s="443"/>
    </row>
    <row r="135" spans="2:14">
      <c r="B135" s="444"/>
      <c r="F135" s="439"/>
      <c r="G135" s="440"/>
      <c r="H135" s="439"/>
      <c r="I135" s="441"/>
      <c r="J135" s="442"/>
      <c r="K135" s="442"/>
      <c r="L135" s="439"/>
      <c r="M135" s="439"/>
      <c r="N135" s="443"/>
    </row>
    <row r="136" spans="2:14">
      <c r="B136" s="444"/>
      <c r="F136" s="439"/>
      <c r="G136" s="440"/>
      <c r="H136" s="439"/>
      <c r="I136" s="441"/>
      <c r="J136" s="442"/>
      <c r="K136" s="442"/>
      <c r="L136" s="439"/>
      <c r="M136" s="439"/>
      <c r="N136" s="443"/>
    </row>
    <row r="137" spans="2:14">
      <c r="B137" s="444"/>
      <c r="F137" s="439"/>
      <c r="G137" s="440"/>
      <c r="H137" s="439"/>
      <c r="I137" s="441"/>
      <c r="J137" s="442"/>
      <c r="K137" s="442"/>
      <c r="L137" s="439"/>
      <c r="M137" s="439"/>
      <c r="N137" s="443"/>
    </row>
    <row r="138" spans="2:14">
      <c r="B138" s="444"/>
      <c r="F138" s="439"/>
      <c r="G138" s="440"/>
      <c r="H138" s="439"/>
      <c r="I138" s="441"/>
      <c r="J138" s="442"/>
      <c r="K138" s="442"/>
      <c r="L138" s="439"/>
      <c r="M138" s="439"/>
      <c r="N138" s="443"/>
    </row>
    <row r="139" spans="2:14">
      <c r="B139" s="444"/>
      <c r="F139" s="439"/>
      <c r="G139" s="440"/>
      <c r="H139" s="439"/>
      <c r="I139" s="441"/>
      <c r="J139" s="442"/>
      <c r="K139" s="442"/>
      <c r="L139" s="439"/>
      <c r="M139" s="439"/>
      <c r="N139" s="443"/>
    </row>
    <row r="140" spans="2:14">
      <c r="B140" s="444"/>
      <c r="F140" s="439"/>
      <c r="G140" s="440"/>
      <c r="H140" s="439"/>
      <c r="I140" s="441"/>
      <c r="J140" s="442"/>
      <c r="K140" s="442"/>
      <c r="L140" s="439"/>
      <c r="M140" s="439"/>
      <c r="N140" s="443"/>
    </row>
    <row r="141" spans="2:14">
      <c r="B141" s="444"/>
      <c r="F141" s="439"/>
      <c r="G141" s="440"/>
      <c r="H141" s="439"/>
      <c r="I141" s="441"/>
      <c r="J141" s="442"/>
      <c r="K141" s="442"/>
      <c r="L141" s="439"/>
      <c r="M141" s="439"/>
      <c r="N141" s="443"/>
    </row>
    <row r="142" spans="2:14">
      <c r="B142" s="444"/>
      <c r="F142" s="439"/>
      <c r="G142" s="440"/>
      <c r="H142" s="439"/>
      <c r="I142" s="441"/>
      <c r="J142" s="442"/>
      <c r="K142" s="442"/>
      <c r="L142" s="439"/>
      <c r="M142" s="439"/>
      <c r="N142" s="443"/>
    </row>
    <row r="143" spans="2:14">
      <c r="B143" s="444"/>
      <c r="F143" s="439"/>
      <c r="G143" s="440"/>
      <c r="H143" s="439"/>
      <c r="I143" s="441"/>
      <c r="J143" s="442"/>
      <c r="K143" s="442"/>
      <c r="L143" s="439"/>
      <c r="M143" s="439"/>
      <c r="N143" s="443"/>
    </row>
    <row r="144" spans="2:14">
      <c r="B144" s="444"/>
      <c r="F144" s="439"/>
      <c r="G144" s="440"/>
      <c r="H144" s="439"/>
      <c r="I144" s="441"/>
      <c r="J144" s="441"/>
      <c r="K144" s="441"/>
      <c r="L144" s="439"/>
      <c r="M144" s="439"/>
      <c r="N144" s="443"/>
    </row>
    <row r="145" spans="2:14">
      <c r="B145" s="444"/>
      <c r="F145" s="439"/>
      <c r="G145" s="440"/>
      <c r="H145" s="439"/>
      <c r="I145" s="441"/>
      <c r="J145" s="442"/>
      <c r="K145" s="442"/>
      <c r="L145" s="439"/>
      <c r="M145" s="439"/>
      <c r="N145" s="443"/>
    </row>
    <row r="146" spans="2:14">
      <c r="B146" s="444"/>
      <c r="F146" s="439"/>
      <c r="G146" s="440"/>
      <c r="H146" s="439"/>
      <c r="I146" s="441"/>
      <c r="J146" s="442"/>
      <c r="K146" s="442"/>
      <c r="L146" s="439"/>
      <c r="M146" s="439"/>
      <c r="N146" s="443"/>
    </row>
    <row r="147" spans="2:14">
      <c r="B147" s="444"/>
      <c r="F147" s="439"/>
      <c r="G147" s="440"/>
      <c r="H147" s="439"/>
      <c r="I147" s="441"/>
      <c r="J147" s="442"/>
      <c r="K147" s="442"/>
      <c r="L147" s="439"/>
      <c r="M147" s="439"/>
      <c r="N147" s="443"/>
    </row>
    <row r="148" spans="2:14">
      <c r="B148" s="444"/>
      <c r="F148" s="439"/>
      <c r="G148" s="440"/>
      <c r="H148" s="439"/>
      <c r="I148" s="441"/>
      <c r="J148" s="441"/>
      <c r="K148" s="441"/>
      <c r="L148" s="439"/>
      <c r="M148" s="439"/>
      <c r="N148" s="443"/>
    </row>
    <row r="149" spans="2:14">
      <c r="B149" s="444"/>
      <c r="F149" s="439"/>
      <c r="G149" s="440"/>
      <c r="H149" s="439"/>
      <c r="I149" s="441"/>
      <c r="J149" s="441"/>
      <c r="K149" s="441"/>
      <c r="L149" s="439"/>
      <c r="M149" s="439"/>
      <c r="N149" s="443"/>
    </row>
    <row r="150" spans="2:14">
      <c r="B150" s="444"/>
      <c r="F150" s="439"/>
      <c r="G150" s="440"/>
      <c r="H150" s="439"/>
      <c r="I150" s="441"/>
      <c r="J150" s="441"/>
      <c r="K150" s="441"/>
      <c r="L150" s="439"/>
      <c r="M150" s="439"/>
      <c r="N150" s="443"/>
    </row>
    <row r="151" spans="2:14">
      <c r="B151" s="444"/>
      <c r="F151" s="439"/>
      <c r="G151" s="440"/>
      <c r="H151" s="439"/>
      <c r="I151" s="441"/>
      <c r="J151" s="441"/>
      <c r="K151" s="441"/>
      <c r="L151" s="439"/>
      <c r="M151" s="439"/>
      <c r="N151" s="443"/>
    </row>
    <row r="152" spans="2:14">
      <c r="B152" s="444"/>
      <c r="F152" s="439"/>
      <c r="G152" s="440"/>
      <c r="H152" s="439"/>
      <c r="I152" s="441"/>
      <c r="J152" s="441"/>
      <c r="K152" s="441"/>
      <c r="L152" s="439"/>
      <c r="M152" s="439"/>
      <c r="N152" s="443"/>
    </row>
    <row r="153" spans="2:14">
      <c r="B153" s="444"/>
      <c r="F153" s="439"/>
      <c r="G153" s="440"/>
      <c r="H153" s="439"/>
      <c r="I153" s="441"/>
      <c r="J153" s="442"/>
      <c r="K153" s="442"/>
      <c r="L153" s="439"/>
      <c r="M153" s="439"/>
      <c r="N153" s="443"/>
    </row>
    <row r="154" spans="2:14">
      <c r="B154" s="444"/>
      <c r="F154" s="439"/>
      <c r="G154" s="440"/>
      <c r="H154" s="439"/>
      <c r="I154" s="441"/>
      <c r="J154" s="441"/>
      <c r="K154" s="441"/>
      <c r="L154" s="439"/>
      <c r="M154" s="439"/>
      <c r="N154" s="443"/>
    </row>
    <row r="155" spans="2:14">
      <c r="B155" s="444"/>
      <c r="F155" s="439"/>
      <c r="G155" s="440"/>
      <c r="H155" s="439"/>
      <c r="I155" s="441"/>
      <c r="J155" s="441"/>
      <c r="K155" s="441"/>
      <c r="L155" s="439"/>
      <c r="M155" s="439"/>
      <c r="N155" s="443"/>
    </row>
    <row r="156" spans="2:14">
      <c r="B156" s="444"/>
      <c r="F156" s="439"/>
      <c r="G156" s="440"/>
      <c r="H156" s="439"/>
      <c r="I156" s="441"/>
      <c r="J156" s="441"/>
      <c r="K156" s="441"/>
      <c r="L156" s="439"/>
      <c r="M156" s="439"/>
      <c r="N156" s="443"/>
    </row>
    <row r="157" spans="2:14">
      <c r="B157" s="444"/>
      <c r="F157" s="439"/>
      <c r="G157" s="440"/>
      <c r="H157" s="439"/>
      <c r="I157" s="441"/>
      <c r="J157" s="441"/>
      <c r="K157" s="441"/>
      <c r="L157" s="439"/>
      <c r="M157" s="439"/>
      <c r="N157" s="443"/>
    </row>
    <row r="158" spans="2:14">
      <c r="B158" s="444"/>
      <c r="F158" s="439"/>
      <c r="G158" s="440"/>
      <c r="H158" s="439"/>
      <c r="I158" s="441"/>
      <c r="J158" s="441"/>
      <c r="K158" s="441"/>
      <c r="L158" s="439"/>
      <c r="M158" s="439"/>
      <c r="N158" s="443"/>
    </row>
    <row r="159" spans="2:14">
      <c r="B159" s="444"/>
      <c r="F159" s="439"/>
      <c r="G159" s="440"/>
      <c r="H159" s="439"/>
      <c r="I159" s="441"/>
      <c r="J159" s="441"/>
      <c r="K159" s="441"/>
      <c r="L159" s="439"/>
      <c r="M159" s="439"/>
      <c r="N159" s="443"/>
    </row>
    <row r="160" spans="2:14">
      <c r="B160" s="444"/>
      <c r="F160" s="439"/>
      <c r="G160" s="440"/>
      <c r="H160" s="439"/>
      <c r="I160" s="441"/>
      <c r="J160" s="441"/>
      <c r="K160" s="441"/>
      <c r="L160" s="439"/>
      <c r="M160" s="439"/>
      <c r="N160" s="443"/>
    </row>
    <row r="161" spans="2:14">
      <c r="B161" s="444"/>
      <c r="F161" s="439"/>
      <c r="G161" s="440"/>
      <c r="H161" s="439"/>
      <c r="I161" s="441"/>
      <c r="J161" s="442"/>
      <c r="K161" s="442"/>
      <c r="L161" s="439"/>
      <c r="M161" s="439"/>
      <c r="N161" s="443"/>
    </row>
    <row r="162" spans="2:14">
      <c r="B162" s="444"/>
      <c r="F162" s="439"/>
      <c r="G162" s="440"/>
      <c r="H162" s="439"/>
      <c r="I162" s="441"/>
      <c r="J162" s="442"/>
      <c r="K162" s="442"/>
      <c r="L162" s="439"/>
      <c r="M162" s="439"/>
      <c r="N162" s="443"/>
    </row>
    <row r="163" spans="2:14">
      <c r="B163" s="444"/>
      <c r="F163" s="439"/>
      <c r="G163" s="440"/>
      <c r="H163" s="439"/>
      <c r="I163" s="441"/>
      <c r="J163" s="442"/>
      <c r="K163" s="442"/>
      <c r="L163" s="439"/>
      <c r="M163" s="439"/>
      <c r="N163" s="443"/>
    </row>
    <row r="164" spans="2:14">
      <c r="B164" s="444"/>
      <c r="F164" s="439"/>
      <c r="G164" s="440"/>
      <c r="H164" s="439"/>
      <c r="I164" s="441"/>
      <c r="J164" s="442"/>
      <c r="K164" s="442"/>
      <c r="L164" s="439"/>
      <c r="M164" s="439"/>
      <c r="N164" s="443"/>
    </row>
    <row r="165" spans="2:14">
      <c r="B165" s="444"/>
      <c r="F165" s="439"/>
      <c r="G165" s="440"/>
      <c r="H165" s="439"/>
      <c r="I165" s="441"/>
      <c r="J165" s="442"/>
      <c r="K165" s="442"/>
      <c r="L165" s="439"/>
      <c r="M165" s="439"/>
      <c r="N165" s="443"/>
    </row>
    <row r="166" spans="2:14">
      <c r="B166" s="444"/>
      <c r="F166" s="439"/>
      <c r="G166" s="440"/>
      <c r="H166" s="439"/>
      <c r="I166" s="441"/>
      <c r="J166" s="442"/>
      <c r="K166" s="442"/>
      <c r="L166" s="439"/>
      <c r="M166" s="439"/>
      <c r="N166" s="443"/>
    </row>
    <row r="167" spans="2:14">
      <c r="B167" s="444"/>
      <c r="F167" s="439"/>
      <c r="G167" s="440"/>
      <c r="H167" s="439"/>
      <c r="I167" s="441"/>
      <c r="J167" s="442"/>
      <c r="K167" s="442"/>
      <c r="L167" s="439"/>
      <c r="M167" s="439"/>
      <c r="N167" s="443"/>
    </row>
    <row r="168" spans="2:14">
      <c r="B168" s="444"/>
      <c r="F168" s="439"/>
      <c r="G168" s="440"/>
      <c r="H168" s="439"/>
      <c r="I168" s="441"/>
      <c r="J168" s="442"/>
      <c r="K168" s="442"/>
      <c r="L168" s="439"/>
      <c r="M168" s="439"/>
      <c r="N168" s="443"/>
    </row>
    <row r="169" spans="2:14">
      <c r="B169" s="444"/>
      <c r="F169" s="439"/>
      <c r="G169" s="440"/>
      <c r="H169" s="439"/>
      <c r="I169" s="441"/>
      <c r="J169" s="442"/>
      <c r="K169" s="442"/>
      <c r="L169" s="439"/>
      <c r="M169" s="439"/>
      <c r="N169" s="443"/>
    </row>
    <row r="170" spans="2:14">
      <c r="B170" s="444"/>
      <c r="F170" s="439"/>
      <c r="G170" s="440"/>
      <c r="H170" s="439"/>
      <c r="I170" s="441"/>
      <c r="J170" s="442"/>
      <c r="K170" s="442"/>
      <c r="L170" s="439"/>
      <c r="M170" s="439"/>
      <c r="N170" s="443"/>
    </row>
    <row r="171" spans="2:14">
      <c r="B171" s="444"/>
      <c r="F171" s="439"/>
      <c r="G171" s="440"/>
      <c r="H171" s="439"/>
      <c r="I171" s="441"/>
      <c r="J171" s="442"/>
      <c r="K171" s="442"/>
      <c r="L171" s="439"/>
      <c r="M171" s="439"/>
      <c r="N171" s="443"/>
    </row>
    <row r="172" spans="2:14">
      <c r="B172" s="444"/>
      <c r="F172" s="439"/>
      <c r="G172" s="440"/>
      <c r="H172" s="439"/>
      <c r="I172" s="441"/>
      <c r="J172" s="442"/>
      <c r="K172" s="442"/>
      <c r="L172" s="439"/>
      <c r="M172" s="439"/>
      <c r="N172" s="443"/>
    </row>
    <row r="173" spans="2:14">
      <c r="B173" s="444"/>
      <c r="F173" s="439"/>
      <c r="G173" s="440"/>
      <c r="H173" s="439"/>
      <c r="I173" s="441"/>
      <c r="J173" s="442"/>
      <c r="K173" s="442"/>
      <c r="L173" s="439"/>
      <c r="M173" s="439"/>
      <c r="N173" s="443"/>
    </row>
    <row r="174" spans="2:14">
      <c r="B174" s="444"/>
      <c r="F174" s="439"/>
      <c r="G174" s="440"/>
      <c r="H174" s="439"/>
      <c r="I174" s="442"/>
      <c r="J174" s="442"/>
      <c r="K174" s="442"/>
      <c r="L174" s="439"/>
      <c r="M174" s="439"/>
      <c r="N174" s="443"/>
    </row>
    <row r="175" spans="2:14">
      <c r="B175" s="444"/>
      <c r="F175" s="439"/>
      <c r="G175" s="440"/>
      <c r="H175" s="439"/>
      <c r="I175" s="441"/>
      <c r="J175" s="442"/>
      <c r="K175" s="442"/>
      <c r="L175" s="439"/>
      <c r="M175" s="439"/>
      <c r="N175" s="443"/>
    </row>
    <row r="176" spans="2:14">
      <c r="B176" s="444"/>
      <c r="F176" s="439"/>
      <c r="G176" s="440"/>
      <c r="H176" s="439"/>
      <c r="I176" s="441"/>
      <c r="J176" s="442"/>
      <c r="K176" s="442"/>
      <c r="L176" s="439"/>
      <c r="M176" s="439"/>
      <c r="N176" s="443"/>
    </row>
    <row r="177" spans="2:14">
      <c r="B177" s="444"/>
      <c r="F177" s="439"/>
      <c r="G177" s="440"/>
      <c r="H177" s="439"/>
      <c r="I177" s="441"/>
      <c r="J177" s="442"/>
      <c r="K177" s="442"/>
      <c r="L177" s="439"/>
      <c r="M177" s="439"/>
      <c r="N177" s="443"/>
    </row>
    <row r="178" spans="2:14">
      <c r="B178" s="444"/>
      <c r="F178" s="439"/>
      <c r="G178" s="440"/>
      <c r="H178" s="439"/>
      <c r="I178" s="442"/>
      <c r="J178" s="442"/>
      <c r="K178" s="442"/>
      <c r="L178" s="439"/>
      <c r="M178" s="439"/>
      <c r="N178" s="443"/>
    </row>
    <row r="179" spans="2:14">
      <c r="B179" s="444"/>
      <c r="F179" s="439"/>
      <c r="G179" s="440"/>
      <c r="H179" s="439"/>
      <c r="I179" s="442"/>
      <c r="J179" s="442"/>
      <c r="K179" s="442"/>
      <c r="L179" s="439"/>
      <c r="M179" s="439"/>
      <c r="N179" s="443"/>
    </row>
    <row r="180" spans="2:14">
      <c r="B180" s="444"/>
      <c r="F180" s="439"/>
      <c r="G180" s="440"/>
      <c r="H180" s="439"/>
      <c r="I180" s="442"/>
      <c r="J180" s="442"/>
      <c r="K180" s="442"/>
      <c r="L180" s="439"/>
      <c r="M180" s="439"/>
      <c r="N180" s="443"/>
    </row>
    <row r="181" spans="2:14">
      <c r="B181" s="444"/>
      <c r="F181" s="439"/>
      <c r="G181" s="440"/>
      <c r="H181" s="439"/>
      <c r="I181" s="442"/>
      <c r="J181" s="442"/>
      <c r="K181" s="442"/>
      <c r="L181" s="439"/>
      <c r="M181" s="439"/>
      <c r="N181" s="443"/>
    </row>
    <row r="182" spans="2:14">
      <c r="B182" s="444"/>
      <c r="F182" s="439"/>
      <c r="G182" s="440"/>
      <c r="H182" s="439"/>
      <c r="I182" s="442"/>
      <c r="J182" s="442"/>
      <c r="K182" s="442"/>
      <c r="L182" s="439"/>
      <c r="M182" s="439"/>
      <c r="N182" s="443"/>
    </row>
    <row r="183" spans="2:14">
      <c r="B183" s="444"/>
      <c r="F183" s="439"/>
      <c r="G183" s="440"/>
      <c r="H183" s="439"/>
      <c r="I183" s="441"/>
      <c r="J183" s="442"/>
      <c r="K183" s="442"/>
      <c r="L183" s="439"/>
      <c r="M183" s="439"/>
      <c r="N183" s="443"/>
    </row>
    <row r="184" spans="2:14">
      <c r="B184" s="444"/>
      <c r="F184" s="439"/>
      <c r="G184" s="440"/>
      <c r="H184" s="439"/>
      <c r="I184" s="442"/>
      <c r="J184" s="442"/>
      <c r="K184" s="442"/>
      <c r="L184" s="439"/>
      <c r="M184" s="439"/>
      <c r="N184" s="443"/>
    </row>
    <row r="185" spans="2:14">
      <c r="B185" s="444"/>
      <c r="F185" s="439"/>
      <c r="G185" s="440"/>
      <c r="H185" s="439"/>
      <c r="I185" s="442"/>
      <c r="J185" s="442"/>
      <c r="K185" s="442"/>
      <c r="L185" s="439"/>
      <c r="M185" s="439"/>
      <c r="N185" s="443"/>
    </row>
    <row r="186" spans="2:14">
      <c r="B186" s="444"/>
      <c r="F186" s="439"/>
      <c r="G186" s="440"/>
      <c r="H186" s="439"/>
      <c r="I186" s="441"/>
      <c r="J186" s="441"/>
      <c r="K186" s="441"/>
      <c r="L186" s="439"/>
      <c r="M186" s="439"/>
      <c r="N186" s="443"/>
    </row>
    <row r="187" spans="2:14">
      <c r="B187" s="444"/>
      <c r="F187" s="439"/>
      <c r="G187" s="440"/>
      <c r="H187" s="439"/>
      <c r="I187" s="441"/>
      <c r="J187" s="442"/>
      <c r="K187" s="441"/>
      <c r="L187" s="439"/>
      <c r="M187" s="439"/>
      <c r="N187" s="443"/>
    </row>
    <row r="188" spans="2:14">
      <c r="B188" s="444"/>
      <c r="F188" s="439"/>
      <c r="G188" s="440"/>
      <c r="H188" s="439"/>
      <c r="I188" s="442"/>
      <c r="J188" s="442"/>
      <c r="K188" s="442"/>
      <c r="L188" s="439"/>
      <c r="M188" s="439"/>
      <c r="N188" s="443"/>
    </row>
    <row r="189" spans="2:14">
      <c r="B189" s="444"/>
      <c r="F189" s="439"/>
      <c r="G189" s="440"/>
      <c r="H189" s="439"/>
      <c r="I189" s="441"/>
      <c r="J189" s="442"/>
      <c r="K189" s="442"/>
      <c r="L189" s="439"/>
      <c r="M189" s="439"/>
      <c r="N189" s="443"/>
    </row>
    <row r="190" spans="2:14">
      <c r="B190" s="444"/>
      <c r="F190" s="439"/>
      <c r="G190" s="440"/>
      <c r="H190" s="439"/>
      <c r="I190" s="441"/>
      <c r="J190" s="442"/>
      <c r="K190" s="442"/>
      <c r="L190" s="439"/>
      <c r="M190" s="439"/>
      <c r="N190" s="443"/>
    </row>
    <row r="191" spans="2:14">
      <c r="B191" s="444"/>
      <c r="F191" s="439"/>
      <c r="G191" s="440"/>
      <c r="H191" s="439"/>
      <c r="I191" s="441"/>
      <c r="J191" s="442"/>
      <c r="K191" s="442"/>
      <c r="L191" s="439"/>
      <c r="M191" s="439"/>
      <c r="N191" s="443"/>
    </row>
    <row r="192" spans="2:14">
      <c r="B192" s="444"/>
      <c r="F192" s="439"/>
      <c r="G192" s="440"/>
      <c r="H192" s="439"/>
      <c r="I192" s="441"/>
      <c r="J192" s="442"/>
      <c r="K192" s="442"/>
      <c r="L192" s="439"/>
      <c r="M192" s="439"/>
      <c r="N192" s="443"/>
    </row>
    <row r="193" spans="2:14">
      <c r="B193" s="444"/>
      <c r="F193" s="439"/>
      <c r="G193" s="440"/>
      <c r="H193" s="439"/>
      <c r="I193" s="441"/>
      <c r="J193" s="442"/>
      <c r="K193" s="442"/>
      <c r="L193" s="439"/>
      <c r="M193" s="439"/>
      <c r="N193" s="443"/>
    </row>
    <row r="194" spans="2:14">
      <c r="B194" s="444"/>
      <c r="F194" s="439"/>
      <c r="G194" s="440"/>
      <c r="H194" s="439"/>
      <c r="I194" s="441"/>
      <c r="J194" s="442"/>
      <c r="K194" s="442"/>
      <c r="L194" s="439"/>
      <c r="M194" s="439"/>
      <c r="N194" s="443"/>
    </row>
    <row r="195" spans="2:14">
      <c r="B195" s="444"/>
      <c r="F195" s="439"/>
      <c r="G195" s="440"/>
      <c r="H195" s="439"/>
      <c r="I195" s="441"/>
      <c r="J195" s="442"/>
      <c r="K195" s="442"/>
      <c r="L195" s="439"/>
      <c r="M195" s="439"/>
      <c r="N195" s="443"/>
    </row>
    <row r="196" spans="2:14">
      <c r="B196" s="444"/>
      <c r="F196" s="439"/>
      <c r="G196" s="440"/>
      <c r="H196" s="439"/>
      <c r="I196" s="441"/>
      <c r="J196" s="442"/>
      <c r="K196" s="442"/>
      <c r="L196" s="439"/>
      <c r="M196" s="439"/>
      <c r="N196" s="443"/>
    </row>
    <row r="197" spans="2:14">
      <c r="B197" s="444"/>
      <c r="F197" s="439"/>
      <c r="G197" s="440"/>
      <c r="H197" s="439"/>
      <c r="I197" s="441"/>
      <c r="J197" s="442"/>
      <c r="K197" s="442"/>
      <c r="L197" s="439"/>
      <c r="M197" s="439"/>
      <c r="N197" s="443"/>
    </row>
    <row r="198" spans="2:14">
      <c r="B198" s="444"/>
      <c r="F198" s="439"/>
      <c r="G198" s="440"/>
      <c r="H198" s="439"/>
      <c r="I198" s="441"/>
      <c r="J198" s="441"/>
      <c r="K198" s="441"/>
      <c r="L198" s="439"/>
      <c r="M198" s="439"/>
      <c r="N198" s="443"/>
    </row>
    <row r="199" spans="2:14">
      <c r="B199" s="444"/>
      <c r="F199" s="439"/>
      <c r="G199" s="440"/>
      <c r="H199" s="439"/>
      <c r="I199" s="441"/>
      <c r="J199" s="441"/>
      <c r="K199" s="441"/>
      <c r="L199" s="439"/>
      <c r="M199" s="439"/>
      <c r="N199" s="443"/>
    </row>
    <row r="200" spans="2:14">
      <c r="B200" s="444"/>
      <c r="F200" s="439"/>
      <c r="G200" s="440"/>
      <c r="H200" s="439"/>
      <c r="I200" s="441"/>
      <c r="J200" s="441"/>
      <c r="K200" s="441"/>
      <c r="L200" s="439"/>
      <c r="M200" s="439"/>
      <c r="N200" s="443"/>
    </row>
    <row r="201" spans="2:14">
      <c r="B201" s="444"/>
      <c r="F201" s="439"/>
      <c r="G201" s="440"/>
      <c r="H201" s="439"/>
      <c r="I201" s="441"/>
      <c r="J201" s="441"/>
      <c r="K201" s="441"/>
      <c r="L201" s="439"/>
      <c r="M201" s="439"/>
      <c r="N201" s="443"/>
    </row>
    <row r="202" spans="2:14">
      <c r="B202" s="444"/>
      <c r="F202" s="439"/>
      <c r="G202" s="440"/>
      <c r="H202" s="439"/>
      <c r="I202" s="441"/>
      <c r="J202" s="441"/>
      <c r="K202" s="441"/>
      <c r="L202" s="439"/>
      <c r="M202" s="439"/>
      <c r="N202" s="443"/>
    </row>
    <row r="203" spans="2:14">
      <c r="B203" s="444"/>
      <c r="F203" s="439"/>
      <c r="G203" s="440"/>
      <c r="H203" s="439"/>
      <c r="I203" s="441"/>
      <c r="J203" s="441"/>
      <c r="K203" s="441"/>
      <c r="L203" s="439"/>
      <c r="M203" s="439"/>
      <c r="N203" s="443"/>
    </row>
    <row r="204" spans="2:14">
      <c r="B204" s="444"/>
      <c r="F204" s="439"/>
      <c r="G204" s="440"/>
      <c r="H204" s="439"/>
      <c r="I204" s="441"/>
      <c r="J204" s="441"/>
      <c r="K204" s="441"/>
      <c r="L204" s="439"/>
      <c r="M204" s="439"/>
      <c r="N204" s="443"/>
    </row>
    <row r="205" spans="2:14">
      <c r="B205" s="444"/>
      <c r="F205" s="439"/>
      <c r="G205" s="440"/>
      <c r="H205" s="439"/>
      <c r="I205" s="441"/>
      <c r="J205" s="441"/>
      <c r="K205" s="441"/>
      <c r="L205" s="439"/>
      <c r="M205" s="439"/>
      <c r="N205" s="443"/>
    </row>
    <row r="206" spans="2:14">
      <c r="B206" s="444"/>
      <c r="F206" s="439"/>
      <c r="G206" s="440"/>
      <c r="H206" s="439"/>
      <c r="I206" s="441"/>
      <c r="J206" s="441"/>
      <c r="K206" s="441"/>
      <c r="L206" s="439"/>
      <c r="M206" s="439"/>
      <c r="N206" s="443"/>
    </row>
    <row r="207" spans="2:14">
      <c r="B207" s="444"/>
      <c r="F207" s="439"/>
      <c r="G207" s="440"/>
      <c r="H207" s="439"/>
      <c r="I207" s="441"/>
      <c r="J207" s="441"/>
      <c r="K207" s="441"/>
      <c r="L207" s="439"/>
      <c r="M207" s="439"/>
      <c r="N207" s="443"/>
    </row>
    <row r="208" spans="2:14">
      <c r="B208" s="444"/>
      <c r="F208" s="439"/>
      <c r="G208" s="440"/>
      <c r="H208" s="439"/>
      <c r="I208" s="442"/>
      <c r="J208" s="442"/>
      <c r="K208" s="442"/>
      <c r="L208" s="439"/>
      <c r="M208" s="439"/>
      <c r="N208" s="443"/>
    </row>
    <row r="209" spans="2:14">
      <c r="B209" s="444"/>
      <c r="F209" s="439"/>
      <c r="G209" s="440"/>
      <c r="H209" s="439"/>
      <c r="I209" s="441"/>
      <c r="J209" s="442"/>
      <c r="K209" s="442"/>
      <c r="L209" s="439"/>
      <c r="M209" s="439"/>
      <c r="N209" s="443"/>
    </row>
    <row r="210" spans="2:14">
      <c r="B210" s="444"/>
      <c r="F210" s="439"/>
      <c r="G210" s="440"/>
      <c r="H210" s="439"/>
      <c r="I210" s="441"/>
      <c r="J210" s="441"/>
      <c r="K210" s="441"/>
      <c r="L210" s="439"/>
      <c r="M210" s="439"/>
      <c r="N210" s="443"/>
    </row>
    <row r="211" spans="2:14">
      <c r="B211" s="444"/>
      <c r="F211" s="439"/>
      <c r="G211" s="440"/>
      <c r="H211" s="439"/>
      <c r="I211" s="441"/>
      <c r="J211" s="442"/>
      <c r="K211" s="442"/>
      <c r="L211" s="439"/>
      <c r="M211" s="439"/>
      <c r="N211" s="443"/>
    </row>
    <row r="212" spans="2:14">
      <c r="B212" s="444"/>
      <c r="F212" s="439"/>
      <c r="G212" s="440"/>
      <c r="H212" s="439"/>
      <c r="I212" s="441"/>
      <c r="J212" s="442"/>
      <c r="K212" s="442"/>
      <c r="L212" s="439"/>
      <c r="M212" s="439"/>
      <c r="N212" s="443"/>
    </row>
    <row r="213" spans="2:14">
      <c r="B213" s="444"/>
      <c r="F213" s="439"/>
      <c r="G213" s="440"/>
      <c r="H213" s="439"/>
      <c r="I213" s="441"/>
      <c r="J213" s="442"/>
      <c r="K213" s="442"/>
      <c r="L213" s="439"/>
      <c r="M213" s="439"/>
      <c r="N213" s="443"/>
    </row>
    <row r="214" spans="2:14">
      <c r="B214" s="444"/>
      <c r="F214" s="439"/>
      <c r="G214" s="440"/>
      <c r="H214" s="439"/>
      <c r="I214" s="441"/>
      <c r="J214" s="442"/>
      <c r="K214" s="442"/>
      <c r="L214" s="439"/>
      <c r="M214" s="439"/>
      <c r="N214" s="443"/>
    </row>
    <row r="215" spans="2:14">
      <c r="B215" s="444"/>
      <c r="F215" s="439"/>
      <c r="G215" s="440"/>
      <c r="H215" s="439"/>
      <c r="I215" s="442"/>
      <c r="J215" s="442"/>
      <c r="K215" s="442"/>
      <c r="L215" s="439"/>
      <c r="M215" s="439"/>
      <c r="N215" s="443"/>
    </row>
    <row r="216" spans="2:14">
      <c r="B216" s="444"/>
      <c r="F216" s="439"/>
      <c r="G216" s="440"/>
      <c r="H216" s="439"/>
      <c r="I216" s="442"/>
      <c r="J216" s="442"/>
      <c r="K216" s="442"/>
      <c r="L216" s="439"/>
      <c r="M216" s="439"/>
      <c r="N216" s="443"/>
    </row>
    <row r="217" spans="2:14">
      <c r="B217" s="444"/>
      <c r="F217" s="439"/>
      <c r="G217" s="440"/>
      <c r="H217" s="439"/>
      <c r="I217" s="441"/>
      <c r="J217" s="442"/>
      <c r="K217" s="442"/>
      <c r="L217" s="439"/>
      <c r="M217" s="439"/>
      <c r="N217" s="443"/>
    </row>
    <row r="218" spans="2:14">
      <c r="B218" s="444"/>
      <c r="F218" s="439"/>
      <c r="G218" s="440"/>
      <c r="H218" s="439"/>
      <c r="I218" s="441"/>
      <c r="J218" s="442"/>
      <c r="K218" s="442"/>
      <c r="L218" s="439"/>
      <c r="M218" s="439"/>
      <c r="N218" s="443"/>
    </row>
    <row r="219" spans="2:14">
      <c r="B219" s="444"/>
      <c r="F219" s="439"/>
      <c r="G219" s="440"/>
      <c r="H219" s="439"/>
      <c r="I219" s="441"/>
      <c r="J219" s="442"/>
      <c r="K219" s="442"/>
      <c r="L219" s="439"/>
      <c r="M219" s="439"/>
      <c r="N219" s="443"/>
    </row>
    <row r="220" spans="2:14">
      <c r="B220" s="444"/>
      <c r="F220" s="439"/>
      <c r="G220" s="440"/>
      <c r="H220" s="439"/>
      <c r="I220" s="441"/>
      <c r="J220" s="442"/>
      <c r="K220" s="442"/>
      <c r="L220" s="439"/>
      <c r="M220" s="439"/>
      <c r="N220" s="443"/>
    </row>
    <row r="221" spans="2:14">
      <c r="B221" s="444"/>
      <c r="F221" s="439"/>
      <c r="G221" s="440"/>
      <c r="H221" s="439"/>
      <c r="I221" s="441"/>
      <c r="J221" s="441"/>
      <c r="K221" s="441"/>
      <c r="L221" s="439"/>
      <c r="M221" s="439"/>
      <c r="N221" s="443"/>
    </row>
    <row r="222" spans="2:14">
      <c r="B222" s="444"/>
      <c r="F222" s="439"/>
      <c r="G222" s="440"/>
      <c r="H222" s="439"/>
      <c r="I222" s="442"/>
      <c r="J222" s="442"/>
      <c r="K222" s="442"/>
      <c r="L222" s="439"/>
      <c r="M222" s="439"/>
      <c r="N222" s="443"/>
    </row>
    <row r="223" spans="2:14">
      <c r="B223" s="444"/>
      <c r="F223" s="439"/>
      <c r="G223" s="440"/>
      <c r="H223" s="439"/>
      <c r="I223" s="442"/>
      <c r="J223" s="442"/>
      <c r="K223" s="442"/>
      <c r="L223" s="439"/>
      <c r="M223" s="439"/>
      <c r="N223" s="443"/>
    </row>
    <row r="224" spans="2:14">
      <c r="B224" s="444"/>
      <c r="F224" s="439"/>
      <c r="G224" s="440"/>
      <c r="H224" s="439"/>
      <c r="I224" s="441"/>
      <c r="J224" s="441"/>
      <c r="K224" s="441"/>
      <c r="L224" s="439"/>
      <c r="M224" s="439"/>
      <c r="N224" s="443"/>
    </row>
    <row r="225" spans="2:14">
      <c r="B225" s="444"/>
      <c r="F225" s="439"/>
      <c r="G225" s="440"/>
      <c r="H225" s="439"/>
      <c r="I225" s="441"/>
      <c r="J225" s="441"/>
      <c r="K225" s="441"/>
      <c r="L225" s="439"/>
      <c r="M225" s="439"/>
      <c r="N225" s="443"/>
    </row>
    <row r="226" spans="2:14">
      <c r="B226" s="444"/>
      <c r="F226" s="439"/>
      <c r="G226" s="440"/>
      <c r="H226" s="439"/>
      <c r="I226" s="441"/>
      <c r="J226" s="441"/>
      <c r="K226" s="441"/>
      <c r="L226" s="439"/>
      <c r="M226" s="439"/>
      <c r="N226" s="443"/>
    </row>
    <row r="227" spans="2:14">
      <c r="B227" s="444"/>
      <c r="F227" s="439"/>
      <c r="G227" s="440"/>
      <c r="H227" s="439"/>
      <c r="I227" s="441"/>
      <c r="J227" s="442"/>
      <c r="K227" s="441"/>
      <c r="L227" s="439"/>
      <c r="M227" s="439"/>
      <c r="N227" s="443"/>
    </row>
    <row r="228" spans="2:14">
      <c r="B228" s="444"/>
      <c r="F228" s="439"/>
      <c r="G228" s="440"/>
      <c r="H228" s="439"/>
      <c r="I228" s="441"/>
      <c r="J228" s="442"/>
      <c r="K228" s="442"/>
      <c r="L228" s="439"/>
      <c r="M228" s="439"/>
      <c r="N228" s="443"/>
    </row>
    <row r="229" spans="2:14">
      <c r="B229" s="444"/>
      <c r="F229" s="439"/>
      <c r="G229" s="440"/>
      <c r="H229" s="439"/>
      <c r="I229" s="441"/>
      <c r="J229" s="441"/>
      <c r="K229" s="441"/>
      <c r="L229" s="439"/>
      <c r="M229" s="439"/>
      <c r="N229" s="443"/>
    </row>
    <row r="230" spans="2:14">
      <c r="B230" s="444"/>
      <c r="F230" s="439"/>
      <c r="G230" s="440"/>
      <c r="H230" s="439"/>
      <c r="I230" s="441"/>
      <c r="J230" s="442"/>
      <c r="K230" s="441"/>
      <c r="L230" s="439"/>
      <c r="M230" s="439"/>
      <c r="N230" s="443"/>
    </row>
    <row r="231" spans="2:14">
      <c r="B231" s="444"/>
      <c r="F231" s="439"/>
      <c r="G231" s="440"/>
      <c r="H231" s="439"/>
      <c r="I231" s="442"/>
      <c r="J231" s="442"/>
      <c r="K231" s="442"/>
      <c r="L231" s="439"/>
      <c r="M231" s="439"/>
      <c r="N231" s="443"/>
    </row>
    <row r="232" spans="2:14">
      <c r="B232" s="444"/>
      <c r="F232" s="439"/>
      <c r="G232" s="440"/>
      <c r="H232" s="439"/>
      <c r="I232" s="442"/>
      <c r="J232" s="442"/>
      <c r="K232" s="442"/>
      <c r="L232" s="439"/>
      <c r="M232" s="439"/>
      <c r="N232" s="443"/>
    </row>
    <row r="233" spans="2:14">
      <c r="B233" s="444"/>
      <c r="F233" s="439"/>
      <c r="G233" s="440"/>
      <c r="H233" s="439"/>
      <c r="I233" s="442"/>
      <c r="J233" s="442"/>
      <c r="K233" s="442"/>
      <c r="L233" s="439"/>
      <c r="M233" s="439"/>
      <c r="N233" s="443"/>
    </row>
    <row r="234" spans="2:14">
      <c r="B234" s="444"/>
      <c r="F234" s="439"/>
      <c r="G234" s="440"/>
      <c r="H234" s="439"/>
      <c r="I234" s="442"/>
      <c r="J234" s="442"/>
      <c r="K234" s="442"/>
      <c r="L234" s="439"/>
      <c r="M234" s="439"/>
      <c r="N234" s="443"/>
    </row>
    <row r="235" spans="2:14">
      <c r="B235" s="444"/>
      <c r="F235" s="439"/>
      <c r="G235" s="440"/>
      <c r="H235" s="439"/>
      <c r="I235" s="442"/>
      <c r="J235" s="442"/>
      <c r="K235" s="442"/>
      <c r="L235" s="439"/>
      <c r="M235" s="439"/>
      <c r="N235" s="443"/>
    </row>
    <row r="236" spans="2:14">
      <c r="B236" s="444"/>
      <c r="F236" s="439"/>
      <c r="G236" s="440"/>
      <c r="H236" s="439"/>
      <c r="I236" s="442"/>
      <c r="J236" s="442"/>
      <c r="K236" s="442"/>
      <c r="L236" s="439"/>
      <c r="M236" s="439"/>
      <c r="N236" s="443"/>
    </row>
    <row r="237" spans="2:14">
      <c r="B237" s="444"/>
      <c r="F237" s="439"/>
      <c r="G237" s="440"/>
      <c r="H237" s="439"/>
      <c r="I237" s="441"/>
      <c r="J237" s="442"/>
      <c r="K237" s="442"/>
      <c r="L237" s="439"/>
      <c r="M237" s="439"/>
      <c r="N237" s="443"/>
    </row>
    <row r="238" spans="2:14">
      <c r="B238" s="444"/>
      <c r="F238" s="439"/>
      <c r="G238" s="440"/>
      <c r="H238" s="439"/>
      <c r="I238" s="441"/>
      <c r="J238" s="442"/>
      <c r="K238" s="442"/>
      <c r="L238" s="439"/>
      <c r="M238" s="439"/>
      <c r="N238" s="443"/>
    </row>
    <row r="239" spans="2:14">
      <c r="B239" s="444"/>
      <c r="F239" s="439"/>
      <c r="G239" s="440"/>
      <c r="H239" s="439"/>
      <c r="I239" s="441"/>
      <c r="J239" s="442"/>
      <c r="K239" s="442"/>
      <c r="L239" s="439"/>
      <c r="M239" s="439"/>
      <c r="N239" s="443"/>
    </row>
    <row r="240" spans="2:14">
      <c r="B240" s="444"/>
      <c r="F240" s="439"/>
      <c r="G240" s="440"/>
      <c r="H240" s="439"/>
      <c r="I240" s="441"/>
      <c r="J240" s="442"/>
      <c r="K240" s="442"/>
      <c r="L240" s="439"/>
      <c r="M240" s="439"/>
      <c r="N240" s="443"/>
    </row>
    <row r="241" spans="2:14">
      <c r="B241" s="444"/>
      <c r="F241" s="439"/>
      <c r="G241" s="440"/>
      <c r="H241" s="439"/>
      <c r="I241" s="441"/>
      <c r="J241" s="442"/>
      <c r="K241" s="442"/>
      <c r="L241" s="439"/>
      <c r="M241" s="439"/>
      <c r="N241" s="443"/>
    </row>
    <row r="242" spans="2:14">
      <c r="B242" s="444"/>
      <c r="F242" s="439"/>
      <c r="G242" s="440"/>
      <c r="H242" s="439"/>
      <c r="I242" s="441"/>
      <c r="J242" s="442"/>
      <c r="K242" s="442"/>
      <c r="L242" s="439"/>
      <c r="M242" s="439"/>
      <c r="N242" s="443"/>
    </row>
    <row r="243" spans="2:14">
      <c r="B243" s="444"/>
      <c r="F243" s="439"/>
      <c r="G243" s="440"/>
      <c r="H243" s="439"/>
      <c r="I243" s="441"/>
      <c r="J243" s="441"/>
      <c r="K243" s="441"/>
      <c r="L243" s="439"/>
      <c r="M243" s="439"/>
      <c r="N243" s="443"/>
    </row>
    <row r="244" spans="2:14">
      <c r="B244" s="444"/>
      <c r="F244" s="439"/>
      <c r="G244" s="440"/>
      <c r="H244" s="439"/>
      <c r="I244" s="441"/>
      <c r="J244" s="441"/>
      <c r="K244" s="441"/>
      <c r="L244" s="439"/>
      <c r="M244" s="439"/>
      <c r="N244" s="443"/>
    </row>
    <row r="245" spans="2:14">
      <c r="B245" s="444"/>
      <c r="F245" s="439"/>
      <c r="G245" s="440"/>
      <c r="H245" s="439"/>
      <c r="I245" s="441"/>
      <c r="J245" s="441"/>
      <c r="K245" s="441"/>
      <c r="L245" s="439"/>
      <c r="M245" s="439"/>
      <c r="N245" s="443"/>
    </row>
    <row r="246" spans="2:14">
      <c r="B246" s="444"/>
      <c r="F246" s="439"/>
      <c r="G246" s="440"/>
      <c r="H246" s="439"/>
      <c r="I246" s="441"/>
      <c r="J246" s="442"/>
      <c r="K246" s="442"/>
      <c r="L246" s="439"/>
      <c r="M246" s="439"/>
      <c r="N246" s="443"/>
    </row>
    <row r="247" spans="2:14">
      <c r="B247" s="444"/>
      <c r="F247" s="439"/>
      <c r="G247" s="440"/>
      <c r="H247" s="439"/>
      <c r="I247" s="441"/>
      <c r="J247" s="442"/>
      <c r="K247" s="442"/>
      <c r="L247" s="439"/>
      <c r="M247" s="439"/>
      <c r="N247" s="443"/>
    </row>
    <row r="248" spans="2:14">
      <c r="B248" s="444"/>
      <c r="F248" s="439"/>
      <c r="G248" s="440"/>
      <c r="H248" s="439"/>
      <c r="I248" s="441"/>
      <c r="J248" s="442"/>
      <c r="K248" s="442"/>
      <c r="L248" s="439"/>
      <c r="M248" s="439"/>
      <c r="N248" s="443"/>
    </row>
    <row r="249" spans="2:14">
      <c r="B249" s="444"/>
      <c r="F249" s="439"/>
      <c r="G249" s="440"/>
      <c r="H249" s="439"/>
      <c r="I249" s="441"/>
      <c r="J249" s="442"/>
      <c r="K249" s="442"/>
      <c r="L249" s="439"/>
      <c r="M249" s="439"/>
      <c r="N249" s="443"/>
    </row>
    <row r="250" spans="2:14">
      <c r="B250" s="444"/>
      <c r="F250" s="439"/>
      <c r="G250" s="440"/>
      <c r="H250" s="439"/>
      <c r="I250" s="441"/>
      <c r="J250" s="442"/>
      <c r="K250" s="442"/>
      <c r="L250" s="439"/>
      <c r="M250" s="439"/>
      <c r="N250" s="443"/>
    </row>
    <row r="251" spans="2:14">
      <c r="B251" s="444"/>
      <c r="F251" s="439"/>
      <c r="G251" s="440"/>
      <c r="H251" s="439"/>
      <c r="I251" s="441"/>
      <c r="J251" s="442"/>
      <c r="K251" s="442"/>
      <c r="L251" s="439"/>
      <c r="M251" s="439"/>
      <c r="N251" s="443"/>
    </row>
    <row r="252" spans="2:14">
      <c r="B252" s="444"/>
      <c r="F252" s="439"/>
      <c r="G252" s="440"/>
      <c r="H252" s="439"/>
      <c r="I252" s="441"/>
      <c r="J252" s="442"/>
      <c r="K252" s="442"/>
      <c r="L252" s="439"/>
      <c r="M252" s="439"/>
      <c r="N252" s="443"/>
    </row>
    <row r="253" spans="2:14">
      <c r="B253" s="444"/>
      <c r="F253" s="439"/>
      <c r="G253" s="440"/>
      <c r="H253" s="439"/>
      <c r="I253" s="441"/>
      <c r="J253" s="441"/>
      <c r="K253" s="441"/>
      <c r="L253" s="439"/>
      <c r="M253" s="439"/>
      <c r="N253" s="443"/>
    </row>
    <row r="254" spans="2:14">
      <c r="B254" s="444"/>
      <c r="F254" s="439"/>
      <c r="G254" s="440"/>
      <c r="H254" s="439"/>
      <c r="I254" s="441"/>
      <c r="J254" s="441"/>
      <c r="K254" s="441"/>
      <c r="L254" s="439"/>
      <c r="M254" s="439"/>
      <c r="N254" s="443"/>
    </row>
    <row r="255" spans="2:14">
      <c r="B255" s="444"/>
      <c r="F255" s="439"/>
      <c r="G255" s="440"/>
      <c r="H255" s="439"/>
      <c r="I255" s="441"/>
      <c r="J255" s="441"/>
      <c r="K255" s="441"/>
      <c r="L255" s="439"/>
      <c r="M255" s="439"/>
      <c r="N255" s="443"/>
    </row>
    <row r="256" spans="2:14">
      <c r="B256" s="444"/>
      <c r="F256" s="439"/>
      <c r="G256" s="440"/>
      <c r="H256" s="439"/>
      <c r="I256" s="441"/>
      <c r="J256" s="441"/>
      <c r="K256" s="441"/>
      <c r="L256" s="439"/>
      <c r="M256" s="439"/>
      <c r="N256" s="443"/>
    </row>
    <row r="257" spans="2:14">
      <c r="B257" s="444"/>
      <c r="F257" s="439"/>
      <c r="G257" s="440"/>
      <c r="H257" s="439"/>
      <c r="I257" s="441"/>
      <c r="J257" s="441"/>
      <c r="K257" s="441"/>
      <c r="L257" s="439"/>
      <c r="M257" s="439"/>
      <c r="N257" s="443"/>
    </row>
    <row r="258" spans="2:14">
      <c r="B258" s="444"/>
      <c r="F258" s="439"/>
      <c r="G258" s="440"/>
      <c r="H258" s="439"/>
      <c r="I258" s="441"/>
      <c r="J258" s="442"/>
      <c r="K258" s="442"/>
      <c r="L258" s="439"/>
      <c r="M258" s="439"/>
      <c r="N258" s="443"/>
    </row>
    <row r="259" spans="2:14">
      <c r="B259" s="444"/>
      <c r="F259" s="439"/>
      <c r="G259" s="440"/>
      <c r="H259" s="439"/>
      <c r="I259" s="441"/>
      <c r="J259" s="441"/>
      <c r="K259" s="441"/>
      <c r="L259" s="439"/>
      <c r="M259" s="439"/>
      <c r="N259" s="443"/>
    </row>
    <row r="260" spans="2:14">
      <c r="B260" s="444"/>
      <c r="F260" s="439"/>
      <c r="G260" s="440"/>
      <c r="H260" s="439"/>
      <c r="I260" s="441"/>
      <c r="J260" s="442"/>
      <c r="K260" s="442"/>
      <c r="L260" s="439"/>
      <c r="M260" s="439"/>
      <c r="N260" s="443"/>
    </row>
    <row r="261" spans="2:14">
      <c r="B261" s="444"/>
      <c r="F261" s="439"/>
      <c r="G261" s="440"/>
      <c r="H261" s="439"/>
      <c r="I261" s="441"/>
      <c r="J261" s="441"/>
      <c r="K261" s="441"/>
      <c r="L261" s="439"/>
      <c r="M261" s="439"/>
      <c r="N261" s="443"/>
    </row>
    <row r="262" spans="2:14">
      <c r="B262" s="444"/>
      <c r="F262" s="439"/>
      <c r="G262" s="440"/>
      <c r="H262" s="439"/>
      <c r="I262" s="441"/>
      <c r="J262" s="441"/>
      <c r="K262" s="441"/>
      <c r="L262" s="439"/>
      <c r="M262" s="439"/>
      <c r="N262" s="443"/>
    </row>
    <row r="263" spans="2:14">
      <c r="B263" s="444"/>
      <c r="F263" s="439"/>
      <c r="G263" s="440"/>
      <c r="H263" s="439"/>
      <c r="I263" s="441"/>
      <c r="J263" s="441"/>
      <c r="K263" s="441"/>
      <c r="L263" s="439"/>
      <c r="M263" s="439"/>
      <c r="N263" s="443"/>
    </row>
    <row r="264" spans="2:14">
      <c r="B264" s="444"/>
      <c r="F264" s="439"/>
      <c r="G264" s="440"/>
      <c r="H264" s="439"/>
      <c r="I264" s="441"/>
      <c r="J264" s="442"/>
      <c r="K264" s="442"/>
      <c r="L264" s="439"/>
      <c r="M264" s="439"/>
      <c r="N264" s="443"/>
    </row>
    <row r="265" spans="2:14">
      <c r="B265" s="444"/>
      <c r="F265" s="439"/>
      <c r="G265" s="440"/>
      <c r="H265" s="439"/>
      <c r="I265" s="441"/>
      <c r="J265" s="442"/>
      <c r="K265" s="442"/>
      <c r="L265" s="439"/>
      <c r="M265" s="439"/>
      <c r="N265" s="443"/>
    </row>
    <row r="266" spans="2:14">
      <c r="B266" s="444"/>
      <c r="F266" s="439"/>
      <c r="G266" s="440"/>
      <c r="H266" s="439"/>
      <c r="I266" s="441"/>
      <c r="J266" s="442"/>
      <c r="K266" s="442"/>
      <c r="L266" s="439"/>
      <c r="M266" s="439"/>
      <c r="N266" s="443"/>
    </row>
    <row r="267" spans="2:14">
      <c r="B267" s="444"/>
      <c r="F267" s="439"/>
      <c r="G267" s="440"/>
      <c r="H267" s="439"/>
      <c r="I267" s="441"/>
      <c r="J267" s="441"/>
      <c r="K267" s="441"/>
      <c r="L267" s="439"/>
      <c r="M267" s="439"/>
      <c r="N267" s="443"/>
    </row>
    <row r="268" spans="2:14">
      <c r="B268" s="444"/>
      <c r="F268" s="439"/>
      <c r="G268" s="440"/>
      <c r="H268" s="439"/>
      <c r="I268" s="441"/>
      <c r="J268" s="441"/>
      <c r="K268" s="441"/>
      <c r="L268" s="439"/>
      <c r="M268" s="439"/>
      <c r="N268" s="443"/>
    </row>
    <row r="269" spans="2:14">
      <c r="B269" s="444"/>
      <c r="F269" s="439"/>
      <c r="G269" s="440"/>
      <c r="H269" s="439"/>
      <c r="I269" s="441"/>
      <c r="J269" s="441"/>
      <c r="K269" s="441"/>
      <c r="L269" s="439"/>
      <c r="M269" s="439"/>
      <c r="N269" s="443"/>
    </row>
    <row r="270" spans="2:14">
      <c r="B270" s="444"/>
      <c r="F270" s="439"/>
      <c r="G270" s="440"/>
      <c r="H270" s="439"/>
      <c r="I270" s="441"/>
      <c r="J270" s="441"/>
      <c r="K270" s="441"/>
      <c r="L270" s="439"/>
      <c r="M270" s="439"/>
      <c r="N270" s="443"/>
    </row>
    <row r="271" spans="2:14">
      <c r="B271" s="444"/>
      <c r="F271" s="439"/>
      <c r="G271" s="440"/>
      <c r="H271" s="439"/>
      <c r="I271" s="441"/>
      <c r="J271" s="441"/>
      <c r="K271" s="441"/>
      <c r="L271" s="439"/>
      <c r="M271" s="439"/>
      <c r="N271" s="443"/>
    </row>
    <row r="272" spans="2:14">
      <c r="B272" s="444"/>
      <c r="F272" s="439"/>
      <c r="G272" s="440"/>
      <c r="H272" s="439"/>
      <c r="I272" s="441"/>
      <c r="J272" s="441"/>
      <c r="K272" s="441"/>
      <c r="L272" s="439"/>
      <c r="M272" s="439"/>
      <c r="N272" s="443"/>
    </row>
    <row r="273" spans="2:14">
      <c r="B273" s="444"/>
      <c r="F273" s="439"/>
      <c r="G273" s="440"/>
      <c r="H273" s="439"/>
      <c r="I273" s="441"/>
      <c r="J273" s="441"/>
      <c r="K273" s="441"/>
      <c r="L273" s="439"/>
      <c r="M273" s="439"/>
      <c r="N273" s="443"/>
    </row>
    <row r="274" spans="2:14">
      <c r="B274" s="444"/>
      <c r="F274" s="439"/>
      <c r="G274" s="440"/>
      <c r="H274" s="439"/>
      <c r="I274" s="441"/>
      <c r="J274" s="441"/>
      <c r="K274" s="441"/>
      <c r="L274" s="439"/>
      <c r="M274" s="439"/>
      <c r="N274" s="443"/>
    </row>
    <row r="275" spans="2:14">
      <c r="B275" s="444"/>
      <c r="F275" s="439"/>
      <c r="G275" s="440"/>
      <c r="H275" s="439"/>
      <c r="I275" s="441"/>
      <c r="J275" s="441"/>
      <c r="K275" s="441"/>
      <c r="L275" s="439"/>
      <c r="M275" s="439"/>
      <c r="N275" s="443"/>
    </row>
    <row r="276" spans="2:14">
      <c r="B276" s="444"/>
      <c r="F276" s="439"/>
      <c r="G276" s="440"/>
      <c r="H276" s="439"/>
      <c r="I276" s="441"/>
      <c r="J276" s="441"/>
      <c r="K276" s="441"/>
      <c r="L276" s="439"/>
      <c r="M276" s="439"/>
      <c r="N276" s="443"/>
    </row>
    <row r="277" spans="2:14">
      <c r="B277" s="444"/>
      <c r="F277" s="439"/>
      <c r="G277" s="440"/>
      <c r="H277" s="439"/>
      <c r="I277" s="441"/>
      <c r="J277" s="441"/>
      <c r="K277" s="441"/>
      <c r="L277" s="439"/>
      <c r="M277" s="439"/>
      <c r="N277" s="443"/>
    </row>
    <row r="278" spans="2:14">
      <c r="B278" s="444"/>
      <c r="F278" s="439"/>
      <c r="G278" s="440"/>
      <c r="H278" s="439"/>
      <c r="I278" s="441"/>
      <c r="J278" s="441"/>
      <c r="K278" s="441"/>
      <c r="L278" s="439"/>
      <c r="M278" s="439"/>
      <c r="N278" s="443"/>
    </row>
    <row r="279" spans="2:14">
      <c r="B279" s="444"/>
      <c r="F279" s="439"/>
      <c r="G279" s="440"/>
      <c r="H279" s="439"/>
      <c r="I279" s="441"/>
      <c r="J279" s="441"/>
      <c r="K279" s="441"/>
      <c r="L279" s="439"/>
      <c r="M279" s="439"/>
      <c r="N279" s="443"/>
    </row>
    <row r="280" spans="2:14">
      <c r="B280" s="444"/>
      <c r="F280" s="439"/>
      <c r="G280" s="440"/>
      <c r="H280" s="439"/>
      <c r="I280" s="441"/>
      <c r="J280" s="441"/>
      <c r="K280" s="441"/>
      <c r="L280" s="439"/>
      <c r="M280" s="439"/>
      <c r="N280" s="443"/>
    </row>
    <row r="281" spans="2:14">
      <c r="B281" s="444"/>
      <c r="F281" s="439"/>
      <c r="G281" s="440"/>
      <c r="H281" s="439"/>
      <c r="I281" s="441"/>
      <c r="J281" s="441"/>
      <c r="K281" s="441"/>
      <c r="L281" s="439"/>
      <c r="M281" s="439"/>
      <c r="N281" s="443"/>
    </row>
    <row r="282" spans="2:14">
      <c r="B282" s="444"/>
      <c r="F282" s="439"/>
      <c r="G282" s="440"/>
      <c r="H282" s="439"/>
      <c r="I282" s="441"/>
      <c r="J282" s="442"/>
      <c r="K282" s="442"/>
      <c r="L282" s="439"/>
      <c r="M282" s="439"/>
      <c r="N282" s="443"/>
    </row>
    <row r="283" spans="2:14">
      <c r="B283" s="444"/>
      <c r="F283" s="439"/>
      <c r="G283" s="440"/>
      <c r="H283" s="439"/>
      <c r="I283" s="441"/>
      <c r="J283" s="442"/>
      <c r="K283" s="442"/>
      <c r="L283" s="439"/>
      <c r="M283" s="439"/>
      <c r="N283" s="443"/>
    </row>
    <row r="284" spans="2:14">
      <c r="B284" s="444"/>
      <c r="F284" s="439"/>
      <c r="G284" s="440"/>
      <c r="H284" s="439"/>
      <c r="I284" s="441"/>
      <c r="J284" s="442"/>
      <c r="K284" s="442"/>
      <c r="L284" s="439"/>
      <c r="M284" s="439"/>
      <c r="N284" s="443"/>
    </row>
    <row r="285" spans="2:14">
      <c r="B285" s="444"/>
      <c r="F285" s="439"/>
      <c r="G285" s="440"/>
      <c r="H285" s="439"/>
      <c r="I285" s="441"/>
      <c r="J285" s="442"/>
      <c r="K285" s="442"/>
      <c r="L285" s="439"/>
      <c r="M285" s="439"/>
      <c r="N285" s="443"/>
    </row>
    <row r="286" spans="2:14">
      <c r="B286" s="444"/>
      <c r="F286" s="439"/>
      <c r="G286" s="440"/>
      <c r="H286" s="439"/>
      <c r="I286" s="441"/>
      <c r="J286" s="442"/>
      <c r="K286" s="442"/>
      <c r="L286" s="439"/>
      <c r="M286" s="439"/>
      <c r="N286" s="443"/>
    </row>
    <row r="287" spans="2:14">
      <c r="B287" s="444"/>
      <c r="F287" s="439"/>
      <c r="G287" s="440"/>
      <c r="H287" s="439"/>
      <c r="I287" s="441"/>
      <c r="J287" s="442"/>
      <c r="K287" s="442"/>
      <c r="L287" s="439"/>
      <c r="M287" s="439"/>
      <c r="N287" s="443"/>
    </row>
    <row r="288" spans="2:14">
      <c r="B288" s="444"/>
      <c r="F288" s="439"/>
      <c r="G288" s="440"/>
      <c r="H288" s="439"/>
      <c r="I288" s="441"/>
      <c r="J288" s="442"/>
      <c r="K288" s="442"/>
      <c r="L288" s="439"/>
      <c r="M288" s="439"/>
      <c r="N288" s="443"/>
    </row>
    <row r="289" spans="2:14">
      <c r="B289" s="444"/>
      <c r="F289" s="439"/>
      <c r="G289" s="440"/>
      <c r="H289" s="439"/>
      <c r="I289" s="441"/>
      <c r="J289" s="442"/>
      <c r="K289" s="442"/>
      <c r="L289" s="439"/>
      <c r="M289" s="439"/>
      <c r="N289" s="443"/>
    </row>
    <row r="290" spans="2:14">
      <c r="B290" s="444"/>
      <c r="F290" s="439"/>
      <c r="G290" s="440"/>
      <c r="H290" s="439"/>
      <c r="I290" s="441"/>
      <c r="J290" s="442"/>
      <c r="K290" s="442"/>
      <c r="L290" s="439"/>
      <c r="M290" s="439"/>
      <c r="N290" s="443"/>
    </row>
    <row r="291" spans="2:14">
      <c r="B291" s="444"/>
      <c r="F291" s="439"/>
      <c r="G291" s="440"/>
      <c r="H291" s="439"/>
      <c r="I291" s="441"/>
      <c r="J291" s="442"/>
      <c r="K291" s="442"/>
      <c r="L291" s="439"/>
      <c r="M291" s="439"/>
      <c r="N291" s="443"/>
    </row>
    <row r="292" spans="2:14">
      <c r="B292" s="444"/>
      <c r="F292" s="439"/>
      <c r="G292" s="440"/>
      <c r="H292" s="439"/>
      <c r="I292" s="441"/>
      <c r="J292" s="442"/>
      <c r="K292" s="442"/>
      <c r="L292" s="439"/>
      <c r="M292" s="439"/>
      <c r="N292" s="443"/>
    </row>
    <row r="293" spans="2:14">
      <c r="B293" s="444"/>
      <c r="F293" s="439"/>
      <c r="G293" s="440"/>
      <c r="H293" s="439"/>
      <c r="I293" s="441"/>
      <c r="J293" s="442"/>
      <c r="K293" s="442"/>
      <c r="L293" s="439"/>
      <c r="M293" s="439"/>
      <c r="N293" s="443"/>
    </row>
    <row r="294" spans="2:14">
      <c r="B294" s="444"/>
      <c r="F294" s="439"/>
      <c r="G294" s="440"/>
      <c r="H294" s="439"/>
      <c r="I294" s="441"/>
      <c r="J294" s="442"/>
      <c r="K294" s="442"/>
      <c r="L294" s="439"/>
      <c r="M294" s="439"/>
      <c r="N294" s="443"/>
    </row>
    <row r="295" spans="2:14">
      <c r="B295" s="444"/>
      <c r="F295" s="439"/>
      <c r="G295" s="440"/>
      <c r="H295" s="439"/>
      <c r="I295" s="441"/>
      <c r="J295" s="442"/>
      <c r="K295" s="442"/>
      <c r="L295" s="439"/>
      <c r="M295" s="439"/>
      <c r="N295" s="443"/>
    </row>
    <row r="296" spans="2:14">
      <c r="B296" s="444"/>
      <c r="F296" s="439"/>
      <c r="G296" s="440"/>
      <c r="H296" s="439"/>
      <c r="I296" s="441"/>
      <c r="J296" s="442"/>
      <c r="K296" s="442"/>
      <c r="L296" s="439"/>
      <c r="M296" s="439"/>
      <c r="N296" s="443"/>
    </row>
    <row r="297" spans="2:14">
      <c r="B297" s="444"/>
      <c r="F297" s="439"/>
      <c r="G297" s="440"/>
      <c r="H297" s="439"/>
      <c r="I297" s="441"/>
      <c r="J297" s="442"/>
      <c r="K297" s="442"/>
      <c r="L297" s="439"/>
      <c r="M297" s="439"/>
      <c r="N297" s="443"/>
    </row>
    <row r="298" spans="2:14">
      <c r="B298" s="444"/>
      <c r="F298" s="439"/>
      <c r="G298" s="440"/>
      <c r="H298" s="439"/>
      <c r="I298" s="441"/>
      <c r="J298" s="441"/>
      <c r="K298" s="441"/>
      <c r="L298" s="439"/>
      <c r="M298" s="439"/>
      <c r="N298" s="443"/>
    </row>
    <row r="299" spans="2:14">
      <c r="B299" s="444"/>
      <c r="F299" s="439"/>
      <c r="G299" s="440"/>
      <c r="H299" s="439"/>
      <c r="I299" s="441"/>
      <c r="J299" s="442"/>
      <c r="K299" s="442"/>
      <c r="L299" s="439"/>
      <c r="M299" s="439"/>
      <c r="N299" s="443"/>
    </row>
    <row r="300" spans="2:14">
      <c r="B300" s="444"/>
      <c r="F300" s="439"/>
      <c r="G300" s="440"/>
      <c r="H300" s="439"/>
      <c r="I300" s="441"/>
      <c r="J300" s="442"/>
      <c r="K300" s="442"/>
      <c r="L300" s="439"/>
      <c r="M300" s="439"/>
      <c r="N300" s="443"/>
    </row>
    <row r="301" spans="2:14">
      <c r="B301" s="444"/>
      <c r="F301" s="439"/>
      <c r="G301" s="440"/>
      <c r="H301" s="439"/>
      <c r="I301" s="441"/>
      <c r="J301" s="441"/>
      <c r="K301" s="441"/>
      <c r="L301" s="439"/>
      <c r="M301" s="439"/>
      <c r="N301" s="443"/>
    </row>
    <row r="302" spans="2:14">
      <c r="B302" s="444"/>
      <c r="F302" s="439"/>
      <c r="G302" s="440"/>
      <c r="H302" s="439"/>
      <c r="I302" s="441"/>
      <c r="J302" s="441"/>
      <c r="K302" s="441"/>
      <c r="L302" s="439"/>
      <c r="M302" s="439"/>
      <c r="N302" s="443"/>
    </row>
    <row r="303" spans="2:14">
      <c r="B303" s="444"/>
      <c r="F303" s="439"/>
      <c r="G303" s="440"/>
      <c r="H303" s="439"/>
      <c r="I303" s="441"/>
      <c r="J303" s="441"/>
      <c r="K303" s="441"/>
      <c r="L303" s="439"/>
      <c r="M303" s="439"/>
      <c r="N303" s="443"/>
    </row>
    <row r="304" spans="2:14">
      <c r="B304" s="444"/>
      <c r="F304" s="439"/>
      <c r="G304" s="440"/>
      <c r="H304" s="439"/>
      <c r="I304" s="441"/>
      <c r="J304" s="442"/>
      <c r="K304" s="442"/>
      <c r="L304" s="439"/>
      <c r="M304" s="439"/>
      <c r="N304" s="443"/>
    </row>
    <row r="305" spans="2:14">
      <c r="B305" s="444"/>
      <c r="F305" s="439"/>
      <c r="G305" s="440"/>
      <c r="H305" s="439"/>
      <c r="I305" s="441"/>
      <c r="J305" s="442"/>
      <c r="K305" s="442"/>
      <c r="L305" s="439"/>
      <c r="M305" s="439"/>
      <c r="N305" s="443"/>
    </row>
    <row r="306" spans="2:14">
      <c r="B306" s="444"/>
      <c r="F306" s="439"/>
      <c r="G306" s="440"/>
      <c r="H306" s="439"/>
      <c r="I306" s="441"/>
      <c r="J306" s="442"/>
      <c r="K306" s="442"/>
      <c r="L306" s="439"/>
      <c r="M306" s="439"/>
      <c r="N306" s="443"/>
    </row>
    <row r="307" spans="2:14">
      <c r="B307" s="444"/>
      <c r="F307" s="439"/>
      <c r="G307" s="440"/>
      <c r="H307" s="439"/>
      <c r="I307" s="441"/>
      <c r="J307" s="441"/>
      <c r="K307" s="441"/>
      <c r="L307" s="439"/>
      <c r="M307" s="439"/>
      <c r="N307" s="443"/>
    </row>
    <row r="308" spans="2:14">
      <c r="B308" s="444"/>
      <c r="F308" s="439"/>
      <c r="G308" s="440"/>
      <c r="H308" s="439"/>
      <c r="I308" s="441"/>
      <c r="J308" s="441"/>
      <c r="K308" s="441"/>
      <c r="L308" s="439"/>
      <c r="M308" s="439"/>
      <c r="N308" s="443"/>
    </row>
    <row r="309" spans="2:14">
      <c r="B309" s="444"/>
      <c r="F309" s="439"/>
      <c r="G309" s="440"/>
      <c r="H309" s="439"/>
      <c r="I309" s="441"/>
      <c r="J309" s="441"/>
      <c r="K309" s="441"/>
      <c r="L309" s="439"/>
      <c r="M309" s="439"/>
      <c r="N309" s="443"/>
    </row>
    <row r="310" spans="2:14">
      <c r="B310" s="444"/>
      <c r="F310" s="439"/>
      <c r="G310" s="440"/>
      <c r="H310" s="439"/>
      <c r="I310" s="441"/>
      <c r="J310" s="441"/>
      <c r="K310" s="441"/>
      <c r="L310" s="439"/>
      <c r="M310" s="439"/>
      <c r="N310" s="443"/>
    </row>
    <row r="311" spans="2:14">
      <c r="B311" s="444"/>
      <c r="F311" s="439"/>
      <c r="G311" s="440"/>
      <c r="H311" s="439"/>
      <c r="I311" s="441"/>
      <c r="J311" s="441"/>
      <c r="K311" s="441"/>
      <c r="L311" s="439"/>
      <c r="M311" s="439"/>
      <c r="N311" s="443"/>
    </row>
    <row r="312" spans="2:14">
      <c r="B312" s="444"/>
      <c r="F312" s="439"/>
      <c r="G312" s="440"/>
      <c r="H312" s="439"/>
      <c r="I312" s="441"/>
      <c r="J312" s="441"/>
      <c r="K312" s="441"/>
      <c r="L312" s="439"/>
      <c r="M312" s="439"/>
      <c r="N312" s="443"/>
    </row>
    <row r="313" spans="2:14">
      <c r="B313" s="444"/>
      <c r="F313" s="439"/>
      <c r="G313" s="440"/>
      <c r="H313" s="439"/>
      <c r="I313" s="441"/>
      <c r="J313" s="441"/>
      <c r="K313" s="441"/>
      <c r="L313" s="439"/>
      <c r="M313" s="439"/>
      <c r="N313" s="443"/>
    </row>
    <row r="314" spans="2:14">
      <c r="B314" s="444"/>
      <c r="F314" s="439"/>
      <c r="G314" s="440"/>
      <c r="H314" s="439"/>
      <c r="I314" s="441"/>
      <c r="J314" s="441"/>
      <c r="K314" s="441"/>
      <c r="L314" s="439"/>
      <c r="M314" s="439"/>
      <c r="N314" s="443"/>
    </row>
    <row r="315" spans="2:14">
      <c r="B315" s="444"/>
      <c r="F315" s="439"/>
      <c r="G315" s="440"/>
      <c r="H315" s="439"/>
      <c r="I315" s="441"/>
      <c r="J315" s="441"/>
      <c r="K315" s="441"/>
      <c r="L315" s="439"/>
      <c r="M315" s="439"/>
      <c r="N315" s="443"/>
    </row>
    <row r="316" spans="2:14">
      <c r="B316" s="444"/>
      <c r="F316" s="439"/>
      <c r="G316" s="440"/>
      <c r="H316" s="439"/>
      <c r="I316" s="441"/>
      <c r="J316" s="441"/>
      <c r="K316" s="441"/>
      <c r="L316" s="439"/>
      <c r="M316" s="439"/>
      <c r="N316" s="443"/>
    </row>
    <row r="317" spans="2:14">
      <c r="B317" s="444"/>
      <c r="F317" s="439"/>
      <c r="G317" s="440"/>
      <c r="H317" s="439"/>
      <c r="I317" s="441"/>
      <c r="J317" s="441"/>
      <c r="K317" s="441"/>
      <c r="L317" s="439"/>
      <c r="M317" s="439"/>
      <c r="N317" s="443"/>
    </row>
    <row r="318" spans="2:14">
      <c r="B318" s="444"/>
      <c r="F318" s="439"/>
      <c r="G318" s="440"/>
      <c r="H318" s="439"/>
      <c r="I318" s="441"/>
      <c r="J318" s="441"/>
      <c r="K318" s="441"/>
      <c r="L318" s="439"/>
      <c r="M318" s="439"/>
      <c r="N318" s="443"/>
    </row>
    <row r="319" spans="2:14">
      <c r="B319" s="444"/>
      <c r="F319" s="439"/>
      <c r="G319" s="440"/>
      <c r="H319" s="439"/>
      <c r="I319" s="441"/>
      <c r="J319" s="441"/>
      <c r="K319" s="441"/>
      <c r="L319" s="439"/>
      <c r="M319" s="439"/>
      <c r="N319" s="443"/>
    </row>
    <row r="320" spans="2:14">
      <c r="B320" s="444"/>
      <c r="F320" s="439"/>
      <c r="G320" s="440"/>
      <c r="H320" s="439"/>
      <c r="I320" s="441"/>
      <c r="J320" s="441"/>
      <c r="K320" s="441"/>
      <c r="L320" s="439"/>
      <c r="M320" s="439"/>
      <c r="N320" s="443"/>
    </row>
    <row r="321" spans="2:14">
      <c r="B321" s="444"/>
      <c r="F321" s="439"/>
      <c r="G321" s="440"/>
      <c r="H321" s="439"/>
      <c r="I321" s="441"/>
      <c r="J321" s="442"/>
      <c r="K321" s="442"/>
      <c r="L321" s="439"/>
      <c r="M321" s="439"/>
      <c r="N321" s="443"/>
    </row>
    <row r="322" spans="2:14">
      <c r="B322" s="444"/>
      <c r="F322" s="439"/>
      <c r="G322" s="440"/>
      <c r="H322" s="439"/>
      <c r="I322" s="441"/>
      <c r="J322" s="442"/>
      <c r="K322" s="442"/>
      <c r="L322" s="439"/>
      <c r="M322" s="439"/>
      <c r="N322" s="443"/>
    </row>
    <row r="323" spans="2:14">
      <c r="B323" s="444"/>
      <c r="F323" s="439"/>
      <c r="G323" s="440"/>
      <c r="H323" s="439"/>
      <c r="I323" s="441"/>
      <c r="J323" s="442"/>
      <c r="K323" s="442"/>
      <c r="L323" s="439"/>
      <c r="M323" s="439"/>
      <c r="N323" s="443"/>
    </row>
    <row r="324" spans="2:14">
      <c r="B324" s="444"/>
      <c r="F324" s="439"/>
      <c r="G324" s="440"/>
      <c r="H324" s="439"/>
      <c r="I324" s="441"/>
      <c r="J324" s="442"/>
      <c r="K324" s="442"/>
      <c r="L324" s="439"/>
      <c r="M324" s="439"/>
      <c r="N324" s="443"/>
    </row>
    <row r="325" spans="2:14">
      <c r="B325" s="444"/>
      <c r="F325" s="439"/>
      <c r="G325" s="440"/>
      <c r="H325" s="439"/>
      <c r="I325" s="441"/>
      <c r="J325" s="442"/>
      <c r="K325" s="442"/>
      <c r="L325" s="439"/>
      <c r="M325" s="439"/>
      <c r="N325" s="443"/>
    </row>
    <row r="326" spans="2:14">
      <c r="B326" s="444"/>
      <c r="F326" s="439"/>
      <c r="G326" s="440"/>
      <c r="H326" s="439"/>
      <c r="I326" s="441"/>
      <c r="J326" s="442"/>
      <c r="K326" s="442"/>
      <c r="L326" s="439"/>
      <c r="M326" s="439"/>
      <c r="N326" s="443"/>
    </row>
    <row r="327" spans="2:14">
      <c r="B327" s="444"/>
      <c r="F327" s="439"/>
      <c r="G327" s="440"/>
      <c r="H327" s="439"/>
      <c r="I327" s="441"/>
      <c r="J327" s="442"/>
      <c r="K327" s="442"/>
      <c r="L327" s="439"/>
      <c r="M327" s="439"/>
      <c r="N327" s="443"/>
    </row>
    <row r="328" spans="2:14">
      <c r="B328" s="444"/>
      <c r="F328" s="439"/>
      <c r="G328" s="440"/>
      <c r="H328" s="439"/>
      <c r="I328" s="441"/>
      <c r="J328" s="442"/>
      <c r="K328" s="442"/>
      <c r="L328" s="439"/>
      <c r="M328" s="439"/>
      <c r="N328" s="443"/>
    </row>
    <row r="329" spans="2:14">
      <c r="B329" s="444"/>
      <c r="F329" s="439"/>
      <c r="G329" s="440"/>
      <c r="H329" s="439"/>
      <c r="I329" s="441"/>
      <c r="J329" s="442"/>
      <c r="K329" s="442"/>
      <c r="L329" s="439"/>
      <c r="M329" s="439"/>
      <c r="N329" s="443"/>
    </row>
    <row r="330" spans="2:14">
      <c r="B330" s="444"/>
      <c r="F330" s="439"/>
      <c r="G330" s="440"/>
      <c r="H330" s="439"/>
      <c r="I330" s="441"/>
      <c r="J330" s="442"/>
      <c r="K330" s="442"/>
      <c r="L330" s="439"/>
      <c r="M330" s="439"/>
      <c r="N330" s="443"/>
    </row>
    <row r="331" spans="2:14">
      <c r="B331" s="444"/>
      <c r="F331" s="439"/>
      <c r="G331" s="440"/>
      <c r="H331" s="439"/>
      <c r="I331" s="441"/>
      <c r="J331" s="442"/>
      <c r="K331" s="442"/>
      <c r="L331" s="439"/>
      <c r="M331" s="439"/>
      <c r="N331" s="443"/>
    </row>
    <row r="332" spans="2:14">
      <c r="B332" s="444"/>
      <c r="F332" s="439"/>
      <c r="G332" s="440"/>
      <c r="H332" s="439"/>
      <c r="I332" s="441"/>
      <c r="J332" s="442"/>
      <c r="K332" s="442"/>
      <c r="L332" s="439"/>
      <c r="M332" s="439"/>
      <c r="N332" s="443"/>
    </row>
    <row r="333" spans="2:14">
      <c r="B333" s="444"/>
      <c r="F333" s="439"/>
      <c r="G333" s="440"/>
      <c r="H333" s="439"/>
      <c r="I333" s="441"/>
      <c r="J333" s="442"/>
      <c r="K333" s="442"/>
      <c r="L333" s="439"/>
      <c r="M333" s="439"/>
      <c r="N333" s="443"/>
    </row>
    <row r="334" spans="2:14">
      <c r="B334" s="444"/>
      <c r="F334" s="439"/>
      <c r="G334" s="440"/>
      <c r="H334" s="439"/>
      <c r="I334" s="441"/>
      <c r="J334" s="442"/>
      <c r="K334" s="442"/>
      <c r="L334" s="439"/>
      <c r="M334" s="439"/>
      <c r="N334" s="443"/>
    </row>
    <row r="335" spans="2:14">
      <c r="B335" s="444"/>
      <c r="F335" s="439"/>
      <c r="G335" s="440"/>
      <c r="H335" s="439"/>
      <c r="I335" s="441"/>
      <c r="J335" s="441"/>
      <c r="K335" s="441"/>
      <c r="L335" s="439"/>
      <c r="M335" s="439"/>
      <c r="N335" s="443"/>
    </row>
    <row r="336" spans="2:14">
      <c r="B336" s="444"/>
      <c r="F336" s="439"/>
      <c r="G336" s="440"/>
      <c r="H336" s="439"/>
      <c r="I336" s="441"/>
      <c r="J336" s="441"/>
      <c r="K336" s="441"/>
      <c r="L336" s="439"/>
      <c r="M336" s="439"/>
      <c r="N336" s="443"/>
    </row>
    <row r="337" spans="2:14">
      <c r="B337" s="444"/>
      <c r="F337" s="439"/>
      <c r="G337" s="440"/>
      <c r="H337" s="439"/>
      <c r="I337" s="441"/>
      <c r="J337" s="441"/>
      <c r="K337" s="441"/>
      <c r="L337" s="439"/>
      <c r="M337" s="439"/>
      <c r="N337" s="443"/>
    </row>
    <row r="338" spans="2:14">
      <c r="B338" s="444"/>
      <c r="F338" s="439"/>
      <c r="G338" s="440"/>
      <c r="H338" s="439"/>
      <c r="I338" s="441"/>
      <c r="J338" s="442"/>
      <c r="K338" s="442"/>
      <c r="L338" s="439"/>
      <c r="M338" s="439"/>
      <c r="N338" s="443"/>
    </row>
    <row r="339" spans="2:14">
      <c r="B339" s="444"/>
      <c r="F339" s="439"/>
      <c r="G339" s="440"/>
      <c r="H339" s="439"/>
      <c r="I339" s="442"/>
      <c r="J339" s="442"/>
      <c r="K339" s="442"/>
      <c r="L339" s="439"/>
      <c r="M339" s="439"/>
      <c r="N339" s="443"/>
    </row>
    <row r="340" spans="2:14">
      <c r="B340" s="444"/>
      <c r="F340" s="439"/>
      <c r="G340" s="440"/>
      <c r="H340" s="439"/>
      <c r="I340" s="442"/>
      <c r="J340" s="442"/>
      <c r="K340" s="442"/>
      <c r="L340" s="439"/>
      <c r="M340" s="439"/>
      <c r="N340" s="443"/>
    </row>
    <row r="341" spans="2:14">
      <c r="B341" s="444"/>
      <c r="F341" s="439"/>
      <c r="G341" s="440"/>
      <c r="H341" s="439"/>
      <c r="I341" s="441"/>
      <c r="J341" s="442"/>
      <c r="K341" s="441"/>
      <c r="L341" s="439"/>
      <c r="M341" s="439"/>
      <c r="N341" s="443"/>
    </row>
    <row r="342" spans="2:14">
      <c r="B342" s="444"/>
      <c r="F342" s="439"/>
      <c r="G342" s="440"/>
      <c r="H342" s="439"/>
      <c r="I342" s="441"/>
      <c r="J342" s="442"/>
      <c r="K342" s="441"/>
      <c r="L342" s="439"/>
      <c r="M342" s="439"/>
      <c r="N342" s="443"/>
    </row>
    <row r="343" spans="2:14">
      <c r="B343" s="444"/>
      <c r="F343" s="439"/>
      <c r="G343" s="440"/>
      <c r="H343" s="439"/>
      <c r="I343" s="441"/>
      <c r="J343" s="442"/>
      <c r="K343" s="441"/>
      <c r="L343" s="439"/>
      <c r="M343" s="439"/>
      <c r="N343" s="443"/>
    </row>
    <row r="344" spans="2:14">
      <c r="B344" s="444"/>
      <c r="F344" s="439"/>
      <c r="G344" s="440"/>
      <c r="H344" s="439"/>
      <c r="I344" s="441"/>
      <c r="J344" s="442"/>
      <c r="K344" s="441"/>
      <c r="L344" s="439"/>
      <c r="M344" s="439"/>
      <c r="N344" s="443"/>
    </row>
    <row r="345" spans="2:14">
      <c r="B345" s="444"/>
      <c r="F345" s="439"/>
      <c r="G345" s="440"/>
      <c r="H345" s="439"/>
      <c r="I345" s="441"/>
      <c r="J345" s="442"/>
      <c r="K345" s="441"/>
      <c r="L345" s="439"/>
      <c r="M345" s="439"/>
      <c r="N345" s="443"/>
    </row>
    <row r="346" spans="2:14">
      <c r="B346" s="444"/>
      <c r="F346" s="439"/>
      <c r="G346" s="440"/>
      <c r="H346" s="439"/>
      <c r="I346" s="441"/>
      <c r="J346" s="442"/>
      <c r="K346" s="441"/>
      <c r="L346" s="439"/>
      <c r="M346" s="439"/>
      <c r="N346" s="443"/>
    </row>
    <row r="347" spans="2:14">
      <c r="B347" s="444"/>
      <c r="F347" s="439"/>
      <c r="G347" s="440"/>
      <c r="H347" s="439"/>
      <c r="I347" s="441"/>
      <c r="J347" s="442"/>
      <c r="K347" s="441"/>
      <c r="L347" s="439"/>
      <c r="M347" s="439"/>
      <c r="N347" s="443"/>
    </row>
    <row r="348" spans="2:14">
      <c r="B348" s="444"/>
      <c r="F348" s="439"/>
      <c r="G348" s="440"/>
      <c r="H348" s="439"/>
      <c r="I348" s="441"/>
      <c r="J348" s="442"/>
      <c r="K348" s="441"/>
      <c r="L348" s="439"/>
      <c r="M348" s="439"/>
      <c r="N348" s="443"/>
    </row>
    <row r="349" spans="2:14">
      <c r="B349" s="444"/>
      <c r="F349" s="439"/>
      <c r="G349" s="440"/>
      <c r="H349" s="439"/>
      <c r="I349" s="441"/>
      <c r="J349" s="442"/>
      <c r="K349" s="441"/>
      <c r="L349" s="439"/>
      <c r="M349" s="439"/>
      <c r="N349" s="443"/>
    </row>
    <row r="350" spans="2:14">
      <c r="B350" s="444"/>
      <c r="F350" s="439"/>
      <c r="G350" s="440"/>
      <c r="H350" s="439"/>
      <c r="I350" s="441"/>
      <c r="J350" s="442"/>
      <c r="K350" s="441"/>
      <c r="L350" s="439"/>
      <c r="M350" s="439"/>
      <c r="N350" s="443"/>
    </row>
    <row r="351" spans="2:14">
      <c r="B351" s="444"/>
      <c r="F351" s="439"/>
      <c r="G351" s="440"/>
      <c r="H351" s="439"/>
      <c r="I351" s="441"/>
      <c r="J351" s="441"/>
      <c r="K351" s="441"/>
      <c r="L351" s="439"/>
      <c r="M351" s="439"/>
      <c r="N351" s="443"/>
    </row>
    <row r="352" spans="2:14">
      <c r="B352" s="444"/>
      <c r="F352" s="439"/>
      <c r="G352" s="440"/>
      <c r="H352" s="439"/>
      <c r="I352" s="441"/>
      <c r="J352" s="441"/>
      <c r="K352" s="441"/>
      <c r="L352" s="439"/>
      <c r="M352" s="439"/>
      <c r="N352" s="443"/>
    </row>
    <row r="353" spans="2:14">
      <c r="B353" s="444"/>
      <c r="F353" s="439"/>
      <c r="G353" s="440"/>
      <c r="H353" s="439"/>
      <c r="I353" s="442"/>
      <c r="J353" s="442"/>
      <c r="K353" s="442"/>
      <c r="L353" s="439"/>
      <c r="M353" s="439"/>
      <c r="N353" s="443"/>
    </row>
    <row r="354" spans="2:14">
      <c r="B354" s="444"/>
      <c r="F354" s="439"/>
      <c r="G354" s="440"/>
      <c r="H354" s="439"/>
      <c r="I354" s="442"/>
      <c r="J354" s="442"/>
      <c r="K354" s="442"/>
      <c r="L354" s="439"/>
      <c r="M354" s="439"/>
      <c r="N354" s="443"/>
    </row>
    <row r="355" spans="2:14">
      <c r="B355" s="444"/>
      <c r="F355" s="439"/>
      <c r="G355" s="440"/>
      <c r="H355" s="439"/>
      <c r="I355" s="441"/>
      <c r="J355" s="442"/>
      <c r="K355" s="441"/>
      <c r="L355" s="439"/>
      <c r="M355" s="439"/>
      <c r="N355" s="443"/>
    </row>
    <row r="356" spans="2:14">
      <c r="B356" s="444"/>
      <c r="F356" s="439"/>
      <c r="G356" s="440"/>
      <c r="H356" s="439"/>
      <c r="I356" s="442"/>
      <c r="J356" s="442"/>
      <c r="K356" s="442"/>
      <c r="L356" s="439"/>
      <c r="M356" s="439"/>
      <c r="N356" s="443"/>
    </row>
    <row r="357" spans="2:14">
      <c r="B357" s="444"/>
      <c r="F357" s="439"/>
      <c r="G357" s="440"/>
      <c r="H357" s="439"/>
      <c r="I357" s="442"/>
      <c r="J357" s="442"/>
      <c r="K357" s="442"/>
      <c r="L357" s="439"/>
      <c r="M357" s="439"/>
      <c r="N357" s="443"/>
    </row>
    <row r="358" spans="2:14">
      <c r="B358" s="444"/>
      <c r="F358" s="439"/>
      <c r="G358" s="440"/>
      <c r="H358" s="439"/>
      <c r="I358" s="442"/>
      <c r="J358" s="442"/>
      <c r="K358" s="442"/>
      <c r="L358" s="439"/>
      <c r="M358" s="439"/>
      <c r="N358" s="443"/>
    </row>
    <row r="359" spans="2:14">
      <c r="B359" s="444"/>
      <c r="F359" s="439"/>
      <c r="G359" s="440"/>
      <c r="H359" s="439"/>
      <c r="I359" s="442"/>
      <c r="J359" s="442"/>
      <c r="K359" s="442"/>
      <c r="L359" s="439"/>
      <c r="M359" s="439"/>
      <c r="N359" s="443"/>
    </row>
    <row r="360" spans="2:14">
      <c r="B360" s="444"/>
      <c r="F360" s="439"/>
      <c r="G360" s="440"/>
      <c r="H360" s="439"/>
      <c r="I360" s="442"/>
      <c r="J360" s="442"/>
      <c r="K360" s="442"/>
      <c r="L360" s="439"/>
      <c r="M360" s="439"/>
      <c r="N360" s="443"/>
    </row>
    <row r="361" spans="2:14">
      <c r="B361" s="444"/>
      <c r="F361" s="439"/>
      <c r="G361" s="440"/>
      <c r="H361" s="439"/>
      <c r="I361" s="442"/>
      <c r="J361" s="442"/>
      <c r="K361" s="442"/>
      <c r="L361" s="439"/>
      <c r="M361" s="439"/>
      <c r="N361" s="443"/>
    </row>
    <row r="362" spans="2:14">
      <c r="B362" s="444"/>
      <c r="F362" s="439"/>
      <c r="G362" s="440"/>
      <c r="H362" s="439"/>
      <c r="I362" s="442"/>
      <c r="J362" s="442"/>
      <c r="K362" s="442"/>
      <c r="L362" s="439"/>
      <c r="M362" s="439"/>
      <c r="N362" s="443"/>
    </row>
    <row r="363" spans="2:14">
      <c r="B363" s="444"/>
      <c r="F363" s="439"/>
      <c r="G363" s="440"/>
      <c r="H363" s="439"/>
      <c r="I363" s="442"/>
      <c r="J363" s="442"/>
      <c r="K363" s="442"/>
      <c r="L363" s="439"/>
      <c r="M363" s="439"/>
      <c r="N363" s="443"/>
    </row>
    <row r="364" spans="2:14">
      <c r="B364" s="444"/>
      <c r="F364" s="439"/>
      <c r="G364" s="440"/>
      <c r="H364" s="439"/>
      <c r="I364" s="442"/>
      <c r="J364" s="442"/>
      <c r="K364" s="442"/>
      <c r="L364" s="439"/>
      <c r="M364" s="439"/>
      <c r="N364" s="443"/>
    </row>
    <row r="365" spans="2:14">
      <c r="B365" s="444"/>
      <c r="F365" s="439"/>
      <c r="G365" s="440"/>
      <c r="H365" s="439"/>
      <c r="I365" s="442"/>
      <c r="J365" s="442"/>
      <c r="K365" s="442"/>
      <c r="L365" s="439"/>
      <c r="M365" s="439"/>
      <c r="N365" s="443"/>
    </row>
    <row r="366" spans="2:14">
      <c r="B366" s="444"/>
      <c r="F366" s="439"/>
      <c r="G366" s="440"/>
      <c r="H366" s="439"/>
      <c r="I366" s="442"/>
      <c r="J366" s="442"/>
      <c r="K366" s="442"/>
      <c r="L366" s="439"/>
      <c r="M366" s="439"/>
      <c r="N366" s="443"/>
    </row>
    <row r="367" spans="2:14">
      <c r="B367" s="444"/>
      <c r="F367" s="439"/>
      <c r="G367" s="440"/>
      <c r="H367" s="439"/>
      <c r="I367" s="442"/>
      <c r="J367" s="442"/>
      <c r="K367" s="442"/>
      <c r="L367" s="439"/>
      <c r="M367" s="439"/>
      <c r="N367" s="443"/>
    </row>
    <row r="368" spans="2:14">
      <c r="B368" s="444"/>
      <c r="F368" s="439"/>
      <c r="G368" s="440"/>
      <c r="H368" s="439"/>
      <c r="I368" s="442"/>
      <c r="J368" s="442"/>
      <c r="K368" s="442"/>
      <c r="L368" s="439"/>
      <c r="M368" s="439"/>
      <c r="N368" s="443"/>
    </row>
    <row r="369" spans="2:14">
      <c r="B369" s="444"/>
      <c r="F369" s="439"/>
      <c r="G369" s="440"/>
      <c r="H369" s="439"/>
      <c r="I369" s="442"/>
      <c r="J369" s="442"/>
      <c r="K369" s="442"/>
      <c r="L369" s="439"/>
      <c r="M369" s="439"/>
      <c r="N369" s="443"/>
    </row>
    <row r="370" spans="2:14">
      <c r="B370" s="444"/>
      <c r="F370" s="439"/>
      <c r="G370" s="440"/>
      <c r="H370" s="439"/>
      <c r="I370" s="442"/>
      <c r="J370" s="442"/>
      <c r="K370" s="442"/>
      <c r="L370" s="439"/>
      <c r="M370" s="439"/>
      <c r="N370" s="443"/>
    </row>
    <row r="371" spans="2:14">
      <c r="B371" s="444"/>
      <c r="F371" s="439"/>
      <c r="G371" s="440"/>
      <c r="H371" s="439"/>
      <c r="I371" s="442"/>
      <c r="J371" s="442"/>
      <c r="K371" s="442"/>
      <c r="L371" s="439"/>
      <c r="M371" s="439"/>
      <c r="N371" s="443"/>
    </row>
    <row r="372" spans="2:14">
      <c r="B372" s="444"/>
      <c r="F372" s="439"/>
      <c r="G372" s="440"/>
      <c r="H372" s="439"/>
      <c r="I372" s="442"/>
      <c r="J372" s="442"/>
      <c r="K372" s="442"/>
      <c r="L372" s="439"/>
      <c r="M372" s="439"/>
      <c r="N372" s="443"/>
    </row>
    <row r="373" spans="2:14">
      <c r="B373" s="444"/>
      <c r="F373" s="439"/>
      <c r="G373" s="440"/>
      <c r="H373" s="439"/>
      <c r="I373" s="442"/>
      <c r="J373" s="442"/>
      <c r="K373" s="442"/>
      <c r="L373" s="439"/>
      <c r="M373" s="439"/>
      <c r="N373" s="443"/>
    </row>
    <row r="374" spans="2:14">
      <c r="B374" s="444"/>
      <c r="F374" s="439"/>
      <c r="G374" s="440"/>
      <c r="H374" s="439"/>
      <c r="I374" s="442"/>
      <c r="J374" s="442"/>
      <c r="K374" s="442"/>
      <c r="L374" s="439"/>
      <c r="M374" s="439"/>
      <c r="N374" s="443"/>
    </row>
    <row r="375" spans="2:14">
      <c r="B375" s="444"/>
      <c r="F375" s="439"/>
      <c r="G375" s="440"/>
      <c r="H375" s="439"/>
      <c r="I375" s="442"/>
      <c r="J375" s="442"/>
      <c r="K375" s="442"/>
      <c r="L375" s="439"/>
      <c r="M375" s="439"/>
      <c r="N375" s="443"/>
    </row>
    <row r="376" spans="2:14">
      <c r="B376" s="444"/>
      <c r="F376" s="439"/>
      <c r="G376" s="440"/>
      <c r="H376" s="439"/>
      <c r="I376" s="442"/>
      <c r="J376" s="442"/>
      <c r="K376" s="442"/>
      <c r="L376" s="439"/>
      <c r="M376" s="439"/>
      <c r="N376" s="443"/>
    </row>
    <row r="377" spans="2:14">
      <c r="B377" s="444"/>
      <c r="F377" s="439"/>
      <c r="G377" s="440"/>
      <c r="H377" s="439"/>
      <c r="I377" s="442"/>
      <c r="J377" s="442"/>
      <c r="K377" s="442"/>
      <c r="L377" s="439"/>
      <c r="M377" s="439"/>
      <c r="N377" s="443"/>
    </row>
    <row r="378" spans="2:14">
      <c r="B378" s="444"/>
      <c r="F378" s="439"/>
      <c r="G378" s="440"/>
      <c r="H378" s="439"/>
      <c r="I378" s="442"/>
      <c r="J378" s="442"/>
      <c r="K378" s="442"/>
      <c r="L378" s="439"/>
      <c r="M378" s="439"/>
      <c r="N378" s="443"/>
    </row>
    <row r="379" spans="2:14">
      <c r="B379" s="444"/>
      <c r="F379" s="439"/>
      <c r="G379" s="440"/>
      <c r="H379" s="439"/>
      <c r="I379" s="442"/>
      <c r="J379" s="442"/>
      <c r="K379" s="442"/>
      <c r="L379" s="439"/>
      <c r="M379" s="439"/>
      <c r="N379" s="443"/>
    </row>
    <row r="380" spans="2:14">
      <c r="B380" s="444"/>
      <c r="F380" s="439"/>
      <c r="G380" s="440"/>
      <c r="H380" s="439"/>
      <c r="I380" s="442"/>
      <c r="J380" s="442"/>
      <c r="K380" s="442"/>
      <c r="L380" s="439"/>
      <c r="M380" s="439"/>
      <c r="N380" s="443"/>
    </row>
    <row r="381" spans="2:14">
      <c r="B381" s="444"/>
      <c r="F381" s="439"/>
      <c r="G381" s="440"/>
      <c r="H381" s="439"/>
      <c r="I381" s="442"/>
      <c r="J381" s="442"/>
      <c r="K381" s="442"/>
      <c r="L381" s="439"/>
      <c r="M381" s="439"/>
      <c r="N381" s="443"/>
    </row>
    <row r="382" spans="2:14">
      <c r="B382" s="444"/>
      <c r="F382" s="439"/>
      <c r="G382" s="440"/>
      <c r="H382" s="439"/>
      <c r="I382" s="442"/>
      <c r="J382" s="442"/>
      <c r="K382" s="442"/>
      <c r="L382" s="439"/>
      <c r="M382" s="439"/>
      <c r="N382" s="443"/>
    </row>
    <row r="383" spans="2:14">
      <c r="B383" s="444"/>
      <c r="F383" s="439"/>
      <c r="G383" s="440"/>
      <c r="H383" s="439"/>
      <c r="I383" s="442"/>
      <c r="J383" s="442"/>
      <c r="K383" s="442"/>
      <c r="L383" s="439"/>
      <c r="M383" s="439"/>
      <c r="N383" s="443"/>
    </row>
    <row r="384" spans="2:14">
      <c r="B384" s="444"/>
      <c r="F384" s="439"/>
      <c r="G384" s="440"/>
      <c r="H384" s="439"/>
      <c r="I384" s="442"/>
      <c r="J384" s="442"/>
      <c r="K384" s="442"/>
      <c r="L384" s="439"/>
      <c r="M384" s="439"/>
      <c r="N384" s="443"/>
    </row>
    <row r="385" spans="2:14">
      <c r="B385" s="444"/>
      <c r="F385" s="439"/>
      <c r="G385" s="440"/>
      <c r="H385" s="439"/>
      <c r="I385" s="442"/>
      <c r="J385" s="442"/>
      <c r="K385" s="442"/>
      <c r="L385" s="439"/>
      <c r="M385" s="439"/>
      <c r="N385" s="443"/>
    </row>
    <row r="386" spans="2:14">
      <c r="B386" s="444"/>
      <c r="F386" s="439"/>
      <c r="G386" s="440"/>
      <c r="H386" s="439"/>
      <c r="I386" s="442"/>
      <c r="J386" s="442"/>
      <c r="K386" s="442"/>
      <c r="L386" s="439"/>
      <c r="M386" s="439"/>
      <c r="N386" s="443"/>
    </row>
    <row r="387" spans="2:14">
      <c r="B387" s="444"/>
      <c r="F387" s="439"/>
      <c r="G387" s="440"/>
      <c r="H387" s="439"/>
      <c r="I387" s="442"/>
      <c r="J387" s="442"/>
      <c r="K387" s="442"/>
      <c r="L387" s="439"/>
      <c r="M387" s="439"/>
      <c r="N387" s="443"/>
    </row>
    <row r="388" spans="2:14">
      <c r="B388" s="444"/>
      <c r="F388" s="439"/>
      <c r="G388" s="440"/>
      <c r="H388" s="439"/>
      <c r="I388" s="442"/>
      <c r="J388" s="442"/>
      <c r="K388" s="442"/>
      <c r="L388" s="439"/>
      <c r="M388" s="439"/>
      <c r="N388" s="443"/>
    </row>
    <row r="389" spans="2:14">
      <c r="B389" s="444"/>
      <c r="F389" s="439"/>
      <c r="G389" s="440"/>
      <c r="H389" s="439"/>
      <c r="I389" s="442"/>
      <c r="J389" s="442"/>
      <c r="K389" s="442"/>
      <c r="L389" s="439"/>
      <c r="M389" s="439"/>
      <c r="N389" s="443"/>
    </row>
    <row r="390" spans="2:14">
      <c r="B390" s="444"/>
      <c r="F390" s="439"/>
      <c r="G390" s="440"/>
      <c r="H390" s="439"/>
      <c r="I390" s="442"/>
      <c r="J390" s="442"/>
      <c r="K390" s="442"/>
      <c r="L390" s="439"/>
      <c r="M390" s="439"/>
      <c r="N390" s="443"/>
    </row>
    <row r="391" spans="2:14">
      <c r="B391" s="444"/>
      <c r="F391" s="439"/>
      <c r="G391" s="440"/>
      <c r="H391" s="439"/>
      <c r="I391" s="442"/>
      <c r="J391" s="442"/>
      <c r="K391" s="442"/>
      <c r="L391" s="439"/>
      <c r="M391" s="439"/>
      <c r="N391" s="443"/>
    </row>
    <row r="392" spans="2:14">
      <c r="B392" s="444"/>
      <c r="F392" s="439"/>
      <c r="G392" s="440"/>
      <c r="H392" s="439"/>
      <c r="I392" s="442"/>
      <c r="J392" s="442"/>
      <c r="K392" s="442"/>
      <c r="L392" s="439"/>
      <c r="M392" s="439"/>
      <c r="N392" s="443"/>
    </row>
    <row r="393" spans="2:14">
      <c r="B393" s="444"/>
      <c r="F393" s="439"/>
      <c r="G393" s="440"/>
      <c r="H393" s="439"/>
      <c r="I393" s="442"/>
      <c r="J393" s="442"/>
      <c r="K393" s="442"/>
      <c r="L393" s="439"/>
      <c r="M393" s="439"/>
      <c r="N393" s="443"/>
    </row>
    <row r="394" spans="2:14">
      <c r="B394" s="444"/>
      <c r="F394" s="439"/>
      <c r="G394" s="440"/>
      <c r="H394" s="439"/>
      <c r="I394" s="442"/>
      <c r="J394" s="442"/>
      <c r="K394" s="442"/>
      <c r="L394" s="439"/>
      <c r="M394" s="439"/>
      <c r="N394" s="443"/>
    </row>
    <row r="395" spans="2:14">
      <c r="B395" s="444"/>
      <c r="F395" s="439"/>
      <c r="G395" s="440"/>
      <c r="H395" s="439"/>
      <c r="I395" s="442"/>
      <c r="J395" s="442"/>
      <c r="K395" s="442"/>
      <c r="L395" s="439"/>
      <c r="M395" s="439"/>
      <c r="N395" s="443"/>
    </row>
    <row r="396" spans="2:14">
      <c r="B396" s="444"/>
      <c r="F396" s="439"/>
      <c r="G396" s="440"/>
      <c r="H396" s="439"/>
      <c r="I396" s="442"/>
      <c r="J396" s="442"/>
      <c r="K396" s="442"/>
      <c r="L396" s="439"/>
      <c r="M396" s="439"/>
      <c r="N396" s="443"/>
    </row>
    <row r="397" spans="2:14">
      <c r="B397" s="444"/>
      <c r="F397" s="439"/>
      <c r="G397" s="440"/>
      <c r="H397" s="439"/>
      <c r="I397" s="442"/>
      <c r="J397" s="442"/>
      <c r="K397" s="442"/>
      <c r="L397" s="439"/>
      <c r="M397" s="439"/>
      <c r="N397" s="443"/>
    </row>
    <row r="398" spans="2:14">
      <c r="B398" s="444"/>
      <c r="F398" s="439"/>
      <c r="G398" s="440"/>
      <c r="H398" s="439"/>
      <c r="I398" s="442"/>
      <c r="J398" s="442"/>
      <c r="K398" s="442"/>
      <c r="L398" s="439"/>
      <c r="M398" s="439"/>
      <c r="N398" s="443"/>
    </row>
    <row r="399" spans="2:14">
      <c r="B399" s="444"/>
      <c r="F399" s="439"/>
      <c r="G399" s="440"/>
      <c r="H399" s="439"/>
      <c r="I399" s="442"/>
      <c r="J399" s="442"/>
      <c r="K399" s="442"/>
      <c r="L399" s="439"/>
      <c r="M399" s="439"/>
      <c r="N399" s="443"/>
    </row>
    <row r="400" spans="2:14">
      <c r="B400" s="444"/>
      <c r="F400" s="439"/>
      <c r="G400" s="440"/>
      <c r="H400" s="439"/>
      <c r="I400" s="442"/>
      <c r="J400" s="442"/>
      <c r="K400" s="442"/>
      <c r="L400" s="439"/>
      <c r="M400" s="439"/>
      <c r="N400" s="443"/>
    </row>
    <row r="401" spans="2:14">
      <c r="B401" s="444"/>
      <c r="F401" s="439"/>
      <c r="G401" s="440"/>
      <c r="H401" s="439"/>
      <c r="I401" s="442"/>
      <c r="J401" s="442"/>
      <c r="K401" s="442"/>
      <c r="L401" s="439"/>
      <c r="M401" s="439"/>
      <c r="N401" s="443"/>
    </row>
    <row r="402" spans="2:14">
      <c r="B402" s="444"/>
      <c r="F402" s="439"/>
      <c r="G402" s="440"/>
      <c r="H402" s="439"/>
      <c r="I402" s="442"/>
      <c r="J402" s="442"/>
      <c r="K402" s="442"/>
      <c r="L402" s="439"/>
      <c r="M402" s="439"/>
      <c r="N402" s="443"/>
    </row>
    <row r="403" spans="2:14">
      <c r="B403" s="444"/>
      <c r="F403" s="439"/>
      <c r="G403" s="440"/>
      <c r="H403" s="439"/>
      <c r="I403" s="442"/>
      <c r="J403" s="442"/>
      <c r="K403" s="442"/>
      <c r="L403" s="439"/>
      <c r="M403" s="439"/>
      <c r="N403" s="443"/>
    </row>
    <row r="404" spans="2:14">
      <c r="B404" s="444"/>
      <c r="F404" s="439"/>
      <c r="G404" s="440"/>
      <c r="H404" s="439"/>
      <c r="I404" s="442"/>
      <c r="J404" s="442"/>
      <c r="K404" s="442"/>
      <c r="L404" s="439"/>
      <c r="M404" s="439"/>
      <c r="N404" s="443"/>
    </row>
    <row r="405" spans="2:14">
      <c r="B405" s="444"/>
      <c r="F405" s="439"/>
      <c r="G405" s="440"/>
      <c r="H405" s="439"/>
      <c r="I405" s="442"/>
      <c r="J405" s="442"/>
      <c r="K405" s="442"/>
      <c r="L405" s="439"/>
      <c r="M405" s="439"/>
      <c r="N405" s="443"/>
    </row>
    <row r="406" spans="2:14">
      <c r="B406" s="444"/>
      <c r="F406" s="439"/>
      <c r="G406" s="440"/>
      <c r="H406" s="439"/>
      <c r="I406" s="442"/>
      <c r="J406" s="442"/>
      <c r="K406" s="442"/>
      <c r="L406" s="439"/>
      <c r="M406" s="439"/>
      <c r="N406" s="443"/>
    </row>
    <row r="407" spans="2:14">
      <c r="B407" s="444"/>
      <c r="F407" s="439"/>
      <c r="G407" s="440"/>
      <c r="H407" s="439"/>
      <c r="I407" s="442"/>
      <c r="J407" s="442"/>
      <c r="K407" s="442"/>
      <c r="L407" s="439"/>
      <c r="M407" s="439"/>
      <c r="N407" s="443"/>
    </row>
    <row r="408" spans="2:14">
      <c r="B408" s="444"/>
      <c r="F408" s="439"/>
      <c r="G408" s="440"/>
      <c r="H408" s="439"/>
      <c r="I408" s="442"/>
      <c r="J408" s="442"/>
      <c r="K408" s="442"/>
      <c r="L408" s="439"/>
      <c r="M408" s="439"/>
      <c r="N408" s="443"/>
    </row>
    <row r="409" spans="2:14">
      <c r="B409" s="444"/>
      <c r="F409" s="439"/>
      <c r="G409" s="440"/>
      <c r="H409" s="439"/>
      <c r="I409" s="442"/>
      <c r="J409" s="442"/>
      <c r="K409" s="442"/>
      <c r="L409" s="439"/>
      <c r="M409" s="439"/>
      <c r="N409" s="443"/>
    </row>
    <row r="410" spans="2:14">
      <c r="B410" s="444"/>
      <c r="F410" s="439"/>
      <c r="G410" s="440"/>
      <c r="H410" s="439"/>
      <c r="I410" s="442"/>
      <c r="J410" s="442"/>
      <c r="K410" s="441"/>
      <c r="L410" s="439"/>
      <c r="M410" s="439"/>
      <c r="N410" s="443"/>
    </row>
    <row r="411" spans="2:14">
      <c r="B411" s="444"/>
      <c r="F411" s="439"/>
      <c r="G411" s="440"/>
      <c r="H411" s="439"/>
      <c r="I411" s="442"/>
      <c r="J411" s="442"/>
      <c r="K411" s="441"/>
      <c r="L411" s="439"/>
      <c r="M411" s="439"/>
      <c r="N411" s="443"/>
    </row>
    <row r="412" spans="2:14">
      <c r="B412" s="444"/>
      <c r="F412" s="439"/>
      <c r="G412" s="440"/>
      <c r="H412" s="439"/>
      <c r="I412" s="442"/>
      <c r="J412" s="442"/>
      <c r="K412" s="441"/>
      <c r="L412" s="439"/>
      <c r="M412" s="439"/>
      <c r="N412" s="443"/>
    </row>
    <row r="413" spans="2:14">
      <c r="B413" s="444"/>
      <c r="F413" s="439"/>
      <c r="G413" s="440"/>
      <c r="H413" s="439"/>
      <c r="I413" s="442"/>
      <c r="J413" s="442"/>
      <c r="K413" s="441"/>
      <c r="L413" s="439"/>
      <c r="M413" s="439"/>
      <c r="N413" s="443"/>
    </row>
    <row r="414" spans="2:14">
      <c r="B414" s="444"/>
      <c r="F414" s="439"/>
      <c r="G414" s="440"/>
      <c r="H414" s="439"/>
      <c r="I414" s="442"/>
      <c r="J414" s="442"/>
      <c r="K414" s="441"/>
      <c r="L414" s="439"/>
      <c r="M414" s="439"/>
      <c r="N414" s="443"/>
    </row>
    <row r="415" spans="2:14">
      <c r="B415" s="444"/>
      <c r="F415" s="439"/>
      <c r="G415" s="440"/>
      <c r="H415" s="439"/>
      <c r="I415" s="442"/>
      <c r="J415" s="442"/>
      <c r="K415" s="441"/>
      <c r="L415" s="439"/>
      <c r="M415" s="439"/>
      <c r="N415" s="443"/>
    </row>
    <row r="416" spans="2:14">
      <c r="B416" s="444"/>
      <c r="F416" s="439"/>
      <c r="G416" s="440"/>
      <c r="H416" s="439"/>
      <c r="I416" s="442"/>
      <c r="J416" s="442"/>
      <c r="K416" s="441"/>
      <c r="L416" s="439"/>
      <c r="M416" s="439"/>
      <c r="N416" s="443"/>
    </row>
    <row r="417" spans="2:14">
      <c r="B417" s="444"/>
      <c r="F417" s="439"/>
      <c r="G417" s="440"/>
      <c r="H417" s="439"/>
      <c r="I417" s="442"/>
      <c r="J417" s="442"/>
      <c r="K417" s="442"/>
      <c r="L417" s="439"/>
      <c r="M417" s="439"/>
      <c r="N417" s="443"/>
    </row>
    <row r="418" spans="2:14">
      <c r="B418" s="444"/>
      <c r="F418" s="439"/>
      <c r="G418" s="440"/>
      <c r="H418" s="439"/>
      <c r="I418" s="442"/>
      <c r="J418" s="442"/>
      <c r="K418" s="442"/>
      <c r="L418" s="439"/>
      <c r="M418" s="439"/>
      <c r="N418" s="443"/>
    </row>
    <row r="419" spans="2:14">
      <c r="B419" s="444"/>
      <c r="F419" s="439"/>
      <c r="G419" s="440"/>
      <c r="H419" s="439"/>
      <c r="I419" s="442"/>
      <c r="J419" s="442"/>
      <c r="K419" s="442"/>
      <c r="L419" s="439"/>
      <c r="M419" s="439"/>
      <c r="N419" s="443"/>
    </row>
    <row r="420" spans="2:14">
      <c r="B420" s="444"/>
      <c r="F420" s="439"/>
      <c r="G420" s="440"/>
      <c r="H420" s="439"/>
      <c r="I420" s="442"/>
      <c r="J420" s="442"/>
      <c r="K420" s="442"/>
      <c r="L420" s="439"/>
      <c r="M420" s="439"/>
      <c r="N420" s="443"/>
    </row>
    <row r="421" spans="2:14">
      <c r="B421" s="444"/>
      <c r="F421" s="439"/>
      <c r="G421" s="440"/>
      <c r="H421" s="439"/>
      <c r="I421" s="442"/>
      <c r="J421" s="442"/>
      <c r="K421" s="442"/>
      <c r="L421" s="439"/>
      <c r="M421" s="439"/>
      <c r="N421" s="443"/>
    </row>
    <row r="422" spans="2:14">
      <c r="B422" s="444"/>
      <c r="F422" s="439"/>
      <c r="G422" s="440"/>
      <c r="H422" s="439"/>
      <c r="I422" s="442"/>
      <c r="J422" s="442"/>
      <c r="K422" s="441"/>
      <c r="L422" s="439"/>
      <c r="M422" s="439"/>
      <c r="N422" s="443"/>
    </row>
    <row r="423" spans="2:14">
      <c r="B423" s="444"/>
      <c r="F423" s="439"/>
      <c r="G423" s="440"/>
      <c r="H423" s="439"/>
      <c r="I423" s="442"/>
      <c r="J423" s="442"/>
      <c r="K423" s="441"/>
      <c r="L423" s="439"/>
      <c r="M423" s="439"/>
      <c r="N423" s="443"/>
    </row>
    <row r="424" spans="2:14">
      <c r="B424" s="444"/>
      <c r="F424" s="439"/>
      <c r="G424" s="440"/>
      <c r="H424" s="439"/>
      <c r="I424" s="442"/>
      <c r="J424" s="442"/>
      <c r="K424" s="441"/>
      <c r="L424" s="439"/>
      <c r="M424" s="439"/>
      <c r="N424" s="443"/>
    </row>
    <row r="425" spans="2:14">
      <c r="B425" s="444"/>
      <c r="F425" s="439"/>
      <c r="G425" s="440"/>
      <c r="H425" s="439"/>
      <c r="I425" s="442"/>
      <c r="J425" s="442"/>
      <c r="K425" s="441"/>
      <c r="L425" s="439"/>
      <c r="M425" s="439"/>
      <c r="N425" s="443"/>
    </row>
    <row r="426" spans="2:14">
      <c r="B426" s="444"/>
      <c r="F426" s="439"/>
      <c r="G426" s="440"/>
      <c r="H426" s="439"/>
      <c r="I426" s="442"/>
      <c r="J426" s="442"/>
      <c r="K426" s="441"/>
      <c r="L426" s="439"/>
      <c r="M426" s="439"/>
      <c r="N426" s="443"/>
    </row>
    <row r="427" spans="2:14">
      <c r="B427" s="444"/>
      <c r="F427" s="439"/>
      <c r="G427" s="440"/>
      <c r="H427" s="439"/>
      <c r="I427" s="442"/>
      <c r="J427" s="442"/>
      <c r="K427" s="442"/>
      <c r="L427" s="439"/>
      <c r="M427" s="439"/>
      <c r="N427" s="443"/>
    </row>
    <row r="428" spans="2:14">
      <c r="B428" s="444"/>
      <c r="F428" s="439"/>
      <c r="G428" s="440"/>
      <c r="H428" s="439"/>
      <c r="I428" s="442"/>
      <c r="J428" s="442"/>
      <c r="K428" s="442"/>
      <c r="L428" s="439"/>
      <c r="M428" s="439"/>
      <c r="N428" s="443"/>
    </row>
    <row r="429" spans="2:14">
      <c r="B429" s="444"/>
      <c r="F429" s="439"/>
      <c r="G429" s="440"/>
      <c r="H429" s="439"/>
      <c r="I429" s="442"/>
      <c r="J429" s="442"/>
      <c r="K429" s="442"/>
      <c r="L429" s="439"/>
      <c r="M429" s="439"/>
      <c r="N429" s="443"/>
    </row>
    <row r="430" spans="2:14">
      <c r="B430" s="444"/>
      <c r="F430" s="439"/>
      <c r="G430" s="440"/>
      <c r="H430" s="439"/>
      <c r="I430" s="442"/>
      <c r="J430" s="442"/>
      <c r="K430" s="442"/>
      <c r="L430" s="439"/>
      <c r="M430" s="439"/>
      <c r="N430" s="443"/>
    </row>
    <row r="431" spans="2:14">
      <c r="B431" s="444"/>
      <c r="F431" s="439"/>
      <c r="G431" s="440"/>
      <c r="H431" s="439"/>
      <c r="I431" s="442"/>
      <c r="J431" s="442"/>
      <c r="K431" s="442"/>
      <c r="L431" s="439"/>
      <c r="M431" s="439"/>
      <c r="N431" s="443"/>
    </row>
    <row r="432" spans="2:14">
      <c r="B432" s="444"/>
      <c r="F432" s="439"/>
      <c r="G432" s="440"/>
      <c r="H432" s="439"/>
      <c r="I432" s="441"/>
      <c r="J432" s="441"/>
      <c r="K432" s="441"/>
      <c r="L432" s="439"/>
      <c r="M432" s="439"/>
      <c r="N432" s="443"/>
    </row>
    <row r="433" spans="2:14">
      <c r="B433" s="444"/>
      <c r="F433" s="439"/>
      <c r="G433" s="440"/>
      <c r="H433" s="439"/>
      <c r="I433" s="441"/>
      <c r="J433" s="441"/>
      <c r="K433" s="441"/>
      <c r="L433" s="439"/>
      <c r="M433" s="439"/>
      <c r="N433" s="443"/>
    </row>
    <row r="434" spans="2:14">
      <c r="B434" s="444"/>
      <c r="F434" s="439"/>
      <c r="G434" s="440"/>
      <c r="H434" s="439"/>
      <c r="I434" s="441"/>
      <c r="J434" s="441"/>
      <c r="K434" s="441"/>
      <c r="L434" s="439"/>
      <c r="M434" s="439"/>
      <c r="N434" s="443"/>
    </row>
    <row r="435" spans="2:14">
      <c r="B435" s="444"/>
      <c r="F435" s="439"/>
      <c r="G435" s="440"/>
      <c r="H435" s="439"/>
      <c r="I435" s="441"/>
      <c r="J435" s="441"/>
      <c r="K435" s="441"/>
      <c r="L435" s="439"/>
      <c r="M435" s="439"/>
      <c r="N435" s="443"/>
    </row>
    <row r="436" spans="2:14">
      <c r="B436" s="444"/>
      <c r="F436" s="439"/>
      <c r="G436" s="440"/>
      <c r="H436" s="439"/>
      <c r="I436" s="441"/>
      <c r="J436" s="441"/>
      <c r="K436" s="441"/>
      <c r="L436" s="439"/>
      <c r="M436" s="439"/>
      <c r="N436" s="443"/>
    </row>
    <row r="437" spans="2:14">
      <c r="B437" s="444"/>
      <c r="F437" s="439"/>
      <c r="G437" s="440"/>
      <c r="H437" s="439"/>
      <c r="I437" s="441"/>
      <c r="J437" s="441"/>
      <c r="K437" s="441"/>
      <c r="L437" s="439"/>
      <c r="M437" s="439"/>
      <c r="N437" s="443"/>
    </row>
    <row r="438" spans="2:14">
      <c r="B438" s="444"/>
      <c r="F438" s="439"/>
      <c r="G438" s="440"/>
      <c r="H438" s="439"/>
      <c r="I438" s="441"/>
      <c r="J438" s="441"/>
      <c r="K438" s="441"/>
      <c r="L438" s="439"/>
      <c r="M438" s="439"/>
      <c r="N438" s="443"/>
    </row>
    <row r="439" spans="2:14">
      <c r="B439" s="444"/>
      <c r="F439" s="439"/>
      <c r="G439" s="440"/>
      <c r="H439" s="439"/>
      <c r="I439" s="441"/>
      <c r="J439" s="441"/>
      <c r="K439" s="441"/>
      <c r="L439" s="439"/>
      <c r="M439" s="439"/>
      <c r="N439" s="443"/>
    </row>
    <row r="440" spans="2:14">
      <c r="B440" s="444"/>
      <c r="F440" s="439"/>
      <c r="G440" s="440"/>
      <c r="H440" s="439"/>
      <c r="I440" s="441"/>
      <c r="J440" s="441"/>
      <c r="K440" s="441"/>
      <c r="L440" s="439"/>
      <c r="M440" s="439"/>
      <c r="N440" s="443"/>
    </row>
    <row r="441" spans="2:14">
      <c r="B441" s="444"/>
      <c r="F441" s="439"/>
      <c r="G441" s="440"/>
      <c r="H441" s="439"/>
      <c r="I441" s="441"/>
      <c r="J441" s="441"/>
      <c r="K441" s="441"/>
      <c r="L441" s="439"/>
      <c r="M441" s="439"/>
      <c r="N441" s="443"/>
    </row>
    <row r="442" spans="2:14">
      <c r="B442" s="444"/>
      <c r="F442" s="439"/>
      <c r="G442" s="440"/>
      <c r="H442" s="439"/>
      <c r="I442" s="441"/>
      <c r="J442" s="441"/>
      <c r="K442" s="441"/>
      <c r="L442" s="439"/>
      <c r="M442" s="439"/>
      <c r="N442" s="443"/>
    </row>
    <row r="443" spans="2:14">
      <c r="B443" s="444"/>
      <c r="F443" s="439"/>
      <c r="G443" s="440"/>
      <c r="H443" s="439"/>
      <c r="I443" s="441"/>
      <c r="J443" s="441"/>
      <c r="K443" s="441"/>
      <c r="L443" s="439"/>
      <c r="M443" s="439"/>
      <c r="N443" s="443"/>
    </row>
    <row r="444" spans="2:14">
      <c r="B444" s="444"/>
      <c r="F444" s="439"/>
      <c r="G444" s="440"/>
      <c r="H444" s="439"/>
      <c r="I444" s="441"/>
      <c r="J444" s="441"/>
      <c r="K444" s="441"/>
      <c r="L444" s="439"/>
      <c r="M444" s="439"/>
      <c r="N444" s="443"/>
    </row>
    <row r="445" spans="2:14">
      <c r="B445" s="444"/>
      <c r="F445" s="439"/>
      <c r="G445" s="440"/>
      <c r="H445" s="439"/>
      <c r="I445" s="441"/>
      <c r="J445" s="441"/>
      <c r="K445" s="441"/>
      <c r="L445" s="439"/>
      <c r="M445" s="439"/>
      <c r="N445" s="443"/>
    </row>
    <row r="446" spans="2:14">
      <c r="B446" s="444"/>
      <c r="F446" s="439"/>
      <c r="G446" s="440"/>
      <c r="H446" s="439"/>
      <c r="I446" s="441"/>
      <c r="J446" s="441"/>
      <c r="K446" s="441"/>
      <c r="L446" s="439"/>
      <c r="M446" s="439"/>
      <c r="N446" s="443"/>
    </row>
    <row r="447" spans="2:14">
      <c r="B447" s="444"/>
      <c r="F447" s="439"/>
      <c r="G447" s="440"/>
      <c r="H447" s="439"/>
      <c r="I447" s="441"/>
      <c r="J447" s="441"/>
      <c r="K447" s="441"/>
      <c r="L447" s="439"/>
      <c r="M447" s="439"/>
      <c r="N447" s="443"/>
    </row>
    <row r="448" spans="2:14">
      <c r="B448" s="444"/>
      <c r="F448" s="439"/>
      <c r="G448" s="440"/>
      <c r="H448" s="439"/>
      <c r="I448" s="441"/>
      <c r="J448" s="441"/>
      <c r="K448" s="441"/>
      <c r="L448" s="439"/>
      <c r="M448" s="439"/>
      <c r="N448" s="443"/>
    </row>
    <row r="449" spans="2:14">
      <c r="B449" s="444"/>
      <c r="F449" s="439"/>
      <c r="G449" s="440"/>
      <c r="H449" s="439"/>
      <c r="I449" s="441"/>
      <c r="J449" s="441"/>
      <c r="K449" s="441"/>
      <c r="L449" s="439"/>
      <c r="M449" s="439"/>
      <c r="N449" s="443"/>
    </row>
    <row r="450" spans="2:14">
      <c r="B450" s="444"/>
      <c r="F450" s="439"/>
      <c r="G450" s="440"/>
      <c r="H450" s="439"/>
      <c r="I450" s="441"/>
      <c r="J450" s="441"/>
      <c r="K450" s="441"/>
      <c r="L450" s="439"/>
      <c r="M450" s="439"/>
      <c r="N450" s="443"/>
    </row>
    <row r="451" spans="2:14">
      <c r="B451" s="444"/>
      <c r="F451" s="439"/>
      <c r="G451" s="440"/>
      <c r="H451" s="439"/>
      <c r="I451" s="441"/>
      <c r="J451" s="441"/>
      <c r="K451" s="441"/>
      <c r="L451" s="439"/>
      <c r="M451" s="439"/>
      <c r="N451" s="443"/>
    </row>
    <row r="452" spans="2:14">
      <c r="B452" s="444"/>
      <c r="F452" s="439"/>
      <c r="G452" s="440"/>
      <c r="H452" s="439"/>
      <c r="I452" s="441"/>
      <c r="J452" s="441"/>
      <c r="K452" s="441"/>
      <c r="L452" s="439"/>
      <c r="M452" s="439"/>
      <c r="N452" s="443"/>
    </row>
    <row r="453" spans="2:14">
      <c r="B453" s="444"/>
      <c r="F453" s="439"/>
      <c r="G453" s="440"/>
      <c r="H453" s="439"/>
      <c r="I453" s="441"/>
      <c r="J453" s="441"/>
      <c r="K453" s="441"/>
      <c r="L453" s="439"/>
      <c r="M453" s="439"/>
      <c r="N453" s="443"/>
    </row>
    <row r="454" spans="2:14">
      <c r="B454" s="444"/>
      <c r="F454" s="439"/>
      <c r="G454" s="440"/>
      <c r="H454" s="439"/>
      <c r="I454" s="442"/>
      <c r="J454" s="442"/>
      <c r="K454" s="441"/>
      <c r="L454" s="439"/>
      <c r="M454" s="439"/>
      <c r="N454" s="443"/>
    </row>
    <row r="455" spans="2:14">
      <c r="B455" s="444"/>
      <c r="F455" s="439"/>
      <c r="G455" s="440"/>
      <c r="H455" s="439"/>
      <c r="I455" s="442"/>
      <c r="J455" s="442"/>
      <c r="K455" s="441"/>
      <c r="L455" s="439"/>
      <c r="M455" s="439"/>
      <c r="N455" s="443"/>
    </row>
    <row r="456" spans="2:14">
      <c r="B456" s="444"/>
      <c r="F456" s="439"/>
      <c r="G456" s="440"/>
      <c r="H456" s="439"/>
      <c r="I456" s="442"/>
      <c r="J456" s="442"/>
      <c r="K456" s="441"/>
      <c r="L456" s="439"/>
      <c r="M456" s="439"/>
      <c r="N456" s="443"/>
    </row>
    <row r="457" spans="2:14">
      <c r="B457" s="444"/>
      <c r="F457" s="439"/>
      <c r="G457" s="440"/>
      <c r="H457" s="439"/>
      <c r="I457" s="441"/>
      <c r="J457" s="441"/>
      <c r="K457" s="441"/>
      <c r="L457" s="439"/>
      <c r="M457" s="439"/>
      <c r="N457" s="443"/>
    </row>
    <row r="458" spans="2:14">
      <c r="B458" s="444"/>
      <c r="F458" s="439"/>
      <c r="G458" s="440"/>
      <c r="H458" s="439"/>
      <c r="I458" s="441"/>
      <c r="J458" s="441"/>
      <c r="K458" s="441"/>
      <c r="L458" s="439"/>
      <c r="M458" s="439"/>
      <c r="N458" s="443"/>
    </row>
    <row r="459" spans="2:14">
      <c r="B459" s="444"/>
      <c r="F459" s="439"/>
      <c r="G459" s="440"/>
      <c r="H459" s="439"/>
      <c r="I459" s="441"/>
      <c r="J459" s="441"/>
      <c r="K459" s="441"/>
      <c r="L459" s="439"/>
      <c r="M459" s="439"/>
      <c r="N459" s="443"/>
    </row>
    <row r="460" spans="2:14">
      <c r="B460" s="444"/>
      <c r="F460" s="439"/>
      <c r="G460" s="440"/>
      <c r="H460" s="439"/>
      <c r="I460" s="441"/>
      <c r="J460" s="442"/>
      <c r="K460" s="441"/>
      <c r="L460" s="439"/>
      <c r="M460" s="439"/>
      <c r="N460" s="443"/>
    </row>
    <row r="461" spans="2:14">
      <c r="B461" s="444"/>
      <c r="F461" s="439"/>
      <c r="G461" s="440"/>
      <c r="H461" s="439"/>
      <c r="I461" s="441"/>
      <c r="J461" s="442"/>
      <c r="K461" s="441"/>
      <c r="L461" s="439"/>
      <c r="M461" s="439"/>
      <c r="N461" s="443"/>
    </row>
    <row r="462" spans="2:14">
      <c r="B462" s="444"/>
      <c r="F462" s="439"/>
      <c r="G462" s="440"/>
      <c r="H462" s="439"/>
      <c r="I462" s="441"/>
      <c r="J462" s="442"/>
      <c r="K462" s="441"/>
      <c r="L462" s="439"/>
      <c r="M462" s="439"/>
      <c r="N462" s="443"/>
    </row>
    <row r="463" spans="2:14">
      <c r="B463" s="444"/>
      <c r="F463" s="439"/>
      <c r="G463" s="440"/>
      <c r="H463" s="439"/>
      <c r="I463" s="441"/>
      <c r="J463" s="442"/>
      <c r="K463" s="441"/>
      <c r="L463" s="439"/>
      <c r="M463" s="439"/>
      <c r="N463" s="443"/>
    </row>
    <row r="464" spans="2:14">
      <c r="B464" s="444"/>
      <c r="F464" s="439"/>
      <c r="G464" s="440"/>
      <c r="H464" s="439"/>
      <c r="I464" s="441"/>
      <c r="J464" s="442"/>
      <c r="K464" s="441"/>
      <c r="L464" s="439"/>
      <c r="M464" s="439"/>
      <c r="N464" s="443"/>
    </row>
    <row r="465" spans="2:14">
      <c r="B465" s="444"/>
      <c r="F465" s="439"/>
      <c r="G465" s="440"/>
      <c r="H465" s="439"/>
      <c r="I465" s="441"/>
      <c r="J465" s="442"/>
      <c r="K465" s="441"/>
      <c r="L465" s="439"/>
      <c r="M465" s="439"/>
      <c r="N465" s="443"/>
    </row>
    <row r="466" spans="2:14">
      <c r="B466" s="444"/>
      <c r="F466" s="439"/>
      <c r="G466" s="440"/>
      <c r="H466" s="439"/>
      <c r="I466" s="441"/>
      <c r="J466" s="442"/>
      <c r="K466" s="441"/>
      <c r="L466" s="439"/>
      <c r="M466" s="439"/>
      <c r="N466" s="443"/>
    </row>
    <row r="467" spans="2:14">
      <c r="B467" s="444"/>
      <c r="F467" s="439"/>
      <c r="G467" s="440"/>
      <c r="H467" s="439"/>
      <c r="I467" s="441"/>
      <c r="J467" s="441"/>
      <c r="K467" s="441"/>
      <c r="L467" s="439"/>
      <c r="M467" s="439"/>
      <c r="N467" s="443"/>
    </row>
    <row r="468" spans="2:14">
      <c r="B468" s="444"/>
      <c r="F468" s="439"/>
      <c r="G468" s="440"/>
      <c r="H468" s="439"/>
      <c r="I468" s="442"/>
      <c r="J468" s="442"/>
      <c r="K468" s="441"/>
      <c r="L468" s="439"/>
      <c r="M468" s="439"/>
      <c r="N468" s="443"/>
    </row>
    <row r="469" spans="2:14">
      <c r="B469" s="444"/>
      <c r="F469" s="439"/>
      <c r="G469" s="440"/>
      <c r="H469" s="439"/>
      <c r="I469" s="442"/>
      <c r="J469" s="442"/>
      <c r="K469" s="442"/>
      <c r="L469" s="439"/>
      <c r="M469" s="439"/>
      <c r="N469" s="443"/>
    </row>
    <row r="470" spans="2:14">
      <c r="B470" s="444"/>
      <c r="F470" s="439"/>
      <c r="G470" s="440"/>
      <c r="H470" s="439"/>
      <c r="I470" s="442"/>
      <c r="J470" s="442"/>
      <c r="K470" s="442"/>
      <c r="L470" s="439"/>
      <c r="M470" s="439"/>
      <c r="N470" s="443"/>
    </row>
    <row r="471" spans="2:14">
      <c r="B471" s="444"/>
      <c r="F471" s="439"/>
      <c r="G471" s="440"/>
      <c r="H471" s="439"/>
      <c r="I471" s="442"/>
      <c r="J471" s="442"/>
      <c r="K471" s="441"/>
      <c r="L471" s="439"/>
      <c r="M471" s="439"/>
      <c r="N471" s="443"/>
    </row>
    <row r="472" spans="2:14">
      <c r="B472" s="444"/>
      <c r="F472" s="439"/>
      <c r="G472" s="440"/>
      <c r="H472" s="439"/>
      <c r="I472" s="442"/>
      <c r="J472" s="442"/>
      <c r="K472" s="441"/>
      <c r="L472" s="439"/>
      <c r="M472" s="439"/>
      <c r="N472" s="443"/>
    </row>
    <row r="473" spans="2:14">
      <c r="B473" s="444"/>
      <c r="F473" s="439"/>
      <c r="G473" s="440"/>
      <c r="H473" s="439"/>
      <c r="I473" s="442"/>
      <c r="J473" s="442"/>
      <c r="K473" s="442"/>
      <c r="L473" s="439"/>
      <c r="M473" s="439"/>
      <c r="N473" s="443"/>
    </row>
    <row r="474" spans="2:14">
      <c r="B474" s="444"/>
      <c r="F474" s="439"/>
      <c r="G474" s="440"/>
      <c r="H474" s="439"/>
      <c r="I474" s="442"/>
      <c r="J474" s="442"/>
      <c r="K474" s="442"/>
      <c r="L474" s="439"/>
      <c r="M474" s="439"/>
      <c r="N474" s="443"/>
    </row>
    <row r="475" spans="2:14">
      <c r="B475" s="444"/>
      <c r="F475" s="439"/>
      <c r="G475" s="440"/>
      <c r="H475" s="439"/>
      <c r="I475" s="442"/>
      <c r="J475" s="442"/>
      <c r="K475" s="442"/>
      <c r="L475" s="439"/>
      <c r="M475" s="439"/>
      <c r="N475" s="443"/>
    </row>
    <row r="476" spans="2:14">
      <c r="B476" s="444"/>
      <c r="F476" s="439"/>
      <c r="G476" s="440"/>
      <c r="H476" s="439"/>
      <c r="I476" s="442"/>
      <c r="J476" s="442"/>
      <c r="K476" s="442"/>
      <c r="L476" s="439"/>
      <c r="M476" s="439"/>
      <c r="N476" s="443"/>
    </row>
    <row r="477" spans="2:14">
      <c r="B477" s="444"/>
      <c r="F477" s="439"/>
      <c r="G477" s="440"/>
      <c r="H477" s="439"/>
      <c r="I477" s="442"/>
      <c r="J477" s="442"/>
      <c r="K477" s="441"/>
      <c r="L477" s="439"/>
      <c r="M477" s="439"/>
      <c r="N477" s="443"/>
    </row>
    <row r="478" spans="2:14">
      <c r="B478" s="444"/>
      <c r="F478" s="439"/>
      <c r="G478" s="440"/>
      <c r="H478" s="439"/>
      <c r="I478" s="442"/>
      <c r="J478" s="442"/>
      <c r="K478" s="441"/>
      <c r="L478" s="439"/>
      <c r="M478" s="439"/>
      <c r="N478" s="443"/>
    </row>
    <row r="479" spans="2:14">
      <c r="B479" s="444"/>
      <c r="F479" s="439"/>
      <c r="G479" s="440"/>
      <c r="H479" s="439"/>
      <c r="I479" s="442"/>
      <c r="J479" s="442"/>
      <c r="K479" s="441"/>
      <c r="L479" s="439"/>
      <c r="M479" s="439"/>
      <c r="N479" s="443"/>
    </row>
    <row r="480" spans="2:14">
      <c r="B480" s="444"/>
      <c r="F480" s="439"/>
      <c r="G480" s="440"/>
      <c r="H480" s="439"/>
      <c r="I480" s="441"/>
      <c r="J480" s="441"/>
      <c r="K480" s="441"/>
      <c r="L480" s="439"/>
      <c r="M480" s="439"/>
      <c r="N480" s="443"/>
    </row>
    <row r="481" spans="2:14">
      <c r="B481" s="444"/>
      <c r="F481" s="439"/>
      <c r="G481" s="440"/>
      <c r="H481" s="439"/>
      <c r="I481" s="441"/>
      <c r="J481" s="441"/>
      <c r="K481" s="441"/>
      <c r="L481" s="439"/>
      <c r="M481" s="439"/>
      <c r="N481" s="443"/>
    </row>
    <row r="482" spans="2:14">
      <c r="B482" s="444"/>
      <c r="F482" s="439"/>
      <c r="G482" s="440"/>
      <c r="H482" s="439"/>
      <c r="I482" s="442"/>
      <c r="J482" s="442"/>
      <c r="K482" s="441"/>
      <c r="L482" s="439"/>
      <c r="M482" s="439"/>
      <c r="N482" s="443"/>
    </row>
    <row r="483" spans="2:14">
      <c r="B483" s="444"/>
      <c r="F483" s="439"/>
      <c r="G483" s="440"/>
      <c r="H483" s="439"/>
      <c r="I483" s="442"/>
      <c r="J483" s="442"/>
      <c r="K483" s="441"/>
      <c r="L483" s="439"/>
      <c r="M483" s="439"/>
      <c r="N483" s="443"/>
    </row>
    <row r="484" spans="2:14">
      <c r="B484" s="444"/>
      <c r="F484" s="439"/>
      <c r="G484" s="440"/>
      <c r="H484" s="439"/>
      <c r="I484" s="442"/>
      <c r="J484" s="442"/>
      <c r="K484" s="441"/>
      <c r="L484" s="439"/>
      <c r="M484" s="439"/>
      <c r="N484" s="443"/>
    </row>
    <row r="485" spans="2:14">
      <c r="B485" s="444"/>
      <c r="F485" s="439"/>
      <c r="G485" s="440"/>
      <c r="H485" s="439"/>
      <c r="I485" s="442"/>
      <c r="J485" s="442"/>
      <c r="K485" s="441"/>
      <c r="L485" s="439"/>
      <c r="M485" s="439"/>
      <c r="N485" s="443"/>
    </row>
    <row r="486" spans="2:14">
      <c r="B486" s="444"/>
      <c r="F486" s="439"/>
      <c r="G486" s="440"/>
      <c r="H486" s="439"/>
      <c r="I486" s="442"/>
      <c r="J486" s="442"/>
      <c r="K486" s="441"/>
      <c r="L486" s="439"/>
      <c r="M486" s="439"/>
      <c r="N486" s="443"/>
    </row>
    <row r="487" spans="2:14">
      <c r="B487" s="444"/>
      <c r="F487" s="439"/>
      <c r="G487" s="440"/>
      <c r="H487" s="439"/>
      <c r="I487" s="442"/>
      <c r="J487" s="442"/>
      <c r="K487" s="441"/>
      <c r="L487" s="439"/>
      <c r="M487" s="439"/>
      <c r="N487" s="443"/>
    </row>
    <row r="488" spans="2:14">
      <c r="B488" s="444"/>
      <c r="F488" s="439"/>
      <c r="G488" s="440"/>
      <c r="H488" s="439"/>
      <c r="I488" s="442"/>
      <c r="J488" s="442"/>
      <c r="K488" s="441"/>
      <c r="L488" s="439"/>
      <c r="M488" s="439"/>
      <c r="N488" s="443"/>
    </row>
    <row r="489" spans="2:14">
      <c r="B489" s="444"/>
      <c r="F489" s="439"/>
      <c r="G489" s="440"/>
      <c r="H489" s="439"/>
      <c r="I489" s="442"/>
      <c r="J489" s="442"/>
      <c r="K489" s="441"/>
      <c r="L489" s="439"/>
      <c r="M489" s="439"/>
      <c r="N489" s="443"/>
    </row>
    <row r="490" spans="2:14">
      <c r="B490" s="444"/>
      <c r="F490" s="439"/>
      <c r="G490" s="440"/>
      <c r="H490" s="439"/>
      <c r="I490" s="442"/>
      <c r="J490" s="442"/>
      <c r="K490" s="441"/>
      <c r="L490" s="439"/>
      <c r="M490" s="439"/>
      <c r="N490" s="443"/>
    </row>
    <row r="491" spans="2:14">
      <c r="B491" s="444"/>
      <c r="F491" s="439"/>
      <c r="G491" s="440"/>
      <c r="H491" s="439"/>
      <c r="I491" s="442"/>
      <c r="J491" s="442"/>
      <c r="K491" s="441"/>
      <c r="L491" s="439"/>
      <c r="M491" s="439"/>
      <c r="N491" s="443"/>
    </row>
    <row r="492" spans="2:14">
      <c r="B492" s="444"/>
      <c r="F492" s="439"/>
      <c r="G492" s="440"/>
      <c r="H492" s="439"/>
      <c r="I492" s="442"/>
      <c r="J492" s="442"/>
      <c r="K492" s="441"/>
      <c r="L492" s="439"/>
      <c r="M492" s="439"/>
      <c r="N492" s="443"/>
    </row>
    <row r="493" spans="2:14">
      <c r="B493" s="444"/>
      <c r="F493" s="439"/>
      <c r="G493" s="440"/>
      <c r="H493" s="439"/>
      <c r="I493" s="442"/>
      <c r="J493" s="442"/>
      <c r="K493" s="442"/>
      <c r="L493" s="439"/>
      <c r="M493" s="439"/>
      <c r="N493" s="443"/>
    </row>
    <row r="494" spans="2:14">
      <c r="B494" s="444"/>
      <c r="F494" s="439"/>
      <c r="G494" s="440"/>
      <c r="H494" s="439"/>
      <c r="I494" s="442"/>
      <c r="J494" s="442"/>
      <c r="K494" s="441"/>
      <c r="L494" s="439"/>
      <c r="M494" s="439"/>
      <c r="N494" s="443"/>
    </row>
    <row r="495" spans="2:14">
      <c r="B495" s="444"/>
      <c r="F495" s="439"/>
      <c r="G495" s="440"/>
      <c r="H495" s="439"/>
      <c r="I495" s="442"/>
      <c r="J495" s="442"/>
      <c r="K495" s="441"/>
      <c r="L495" s="439"/>
      <c r="M495" s="439"/>
      <c r="N495" s="443"/>
    </row>
    <row r="496" spans="2:14">
      <c r="B496" s="444"/>
      <c r="F496" s="439"/>
      <c r="G496" s="440"/>
      <c r="H496" s="439"/>
      <c r="I496" s="442"/>
      <c r="J496" s="442"/>
      <c r="K496" s="441"/>
      <c r="L496" s="439"/>
      <c r="M496" s="439"/>
      <c r="N496" s="443"/>
    </row>
    <row r="497" spans="2:14">
      <c r="B497" s="444"/>
      <c r="F497" s="439"/>
      <c r="G497" s="440"/>
      <c r="H497" s="439"/>
      <c r="I497" s="442"/>
      <c r="J497" s="442"/>
      <c r="K497" s="441"/>
      <c r="L497" s="439"/>
      <c r="M497" s="439"/>
      <c r="N497" s="443"/>
    </row>
    <row r="498" spans="2:14">
      <c r="B498" s="444"/>
      <c r="F498" s="439"/>
      <c r="G498" s="440"/>
      <c r="H498" s="439"/>
      <c r="I498" s="442"/>
      <c r="J498" s="442"/>
      <c r="K498" s="441"/>
      <c r="L498" s="439"/>
      <c r="M498" s="439"/>
      <c r="N498" s="443"/>
    </row>
    <row r="499" spans="2:14">
      <c r="B499" s="444"/>
      <c r="F499" s="439"/>
      <c r="G499" s="440"/>
      <c r="H499" s="439"/>
      <c r="I499" s="442"/>
      <c r="J499" s="442"/>
      <c r="K499" s="441"/>
      <c r="L499" s="439"/>
      <c r="M499" s="439"/>
      <c r="N499" s="443"/>
    </row>
    <row r="500" spans="2:14">
      <c r="B500" s="444"/>
      <c r="F500" s="439"/>
      <c r="G500" s="440"/>
      <c r="H500" s="439"/>
      <c r="I500" s="442"/>
      <c r="J500" s="442"/>
      <c r="K500" s="441"/>
      <c r="L500" s="439"/>
      <c r="M500" s="439"/>
      <c r="N500" s="443"/>
    </row>
    <row r="501" spans="2:14">
      <c r="B501" s="444"/>
      <c r="F501" s="439"/>
      <c r="G501" s="440"/>
      <c r="H501" s="439"/>
      <c r="I501" s="442"/>
      <c r="J501" s="442"/>
      <c r="K501" s="441"/>
      <c r="L501" s="439"/>
      <c r="M501" s="439"/>
      <c r="N501" s="443"/>
    </row>
    <row r="502" spans="2:14">
      <c r="B502" s="444"/>
      <c r="F502" s="439"/>
      <c r="G502" s="440"/>
      <c r="H502" s="439"/>
      <c r="I502" s="442"/>
      <c r="J502" s="442"/>
      <c r="K502" s="441"/>
      <c r="L502" s="439"/>
      <c r="M502" s="439"/>
      <c r="N502" s="443"/>
    </row>
    <row r="503" spans="2:14">
      <c r="B503" s="444"/>
      <c r="F503" s="439"/>
      <c r="G503" s="440"/>
      <c r="H503" s="439"/>
      <c r="I503" s="442"/>
      <c r="J503" s="442"/>
      <c r="K503" s="441"/>
      <c r="L503" s="439"/>
      <c r="M503" s="439"/>
      <c r="N503" s="443"/>
    </row>
    <row r="504" spans="2:14">
      <c r="B504" s="444"/>
      <c r="F504" s="439"/>
      <c r="G504" s="440"/>
      <c r="H504" s="439"/>
      <c r="I504" s="442"/>
      <c r="J504" s="442"/>
      <c r="K504" s="441"/>
      <c r="L504" s="439"/>
      <c r="M504" s="439"/>
      <c r="N504" s="443"/>
    </row>
    <row r="505" spans="2:14">
      <c r="B505" s="444"/>
      <c r="F505" s="439"/>
      <c r="G505" s="440"/>
      <c r="H505" s="439"/>
      <c r="I505" s="442"/>
      <c r="J505" s="442"/>
      <c r="K505" s="441"/>
      <c r="L505" s="439"/>
      <c r="M505" s="439"/>
      <c r="N505" s="443"/>
    </row>
    <row r="506" spans="2:14">
      <c r="B506" s="444"/>
      <c r="F506" s="439"/>
      <c r="G506" s="440"/>
      <c r="H506" s="439"/>
      <c r="I506" s="442"/>
      <c r="J506" s="442"/>
      <c r="K506" s="441"/>
      <c r="L506" s="439"/>
      <c r="M506" s="439"/>
      <c r="N506" s="443"/>
    </row>
    <row r="507" spans="2:14">
      <c r="B507" s="444"/>
      <c r="F507" s="439"/>
      <c r="G507" s="440"/>
      <c r="H507" s="439"/>
      <c r="I507" s="442"/>
      <c r="J507" s="442"/>
      <c r="K507" s="441"/>
      <c r="L507" s="439"/>
      <c r="M507" s="439"/>
      <c r="N507" s="443"/>
    </row>
    <row r="508" spans="2:14">
      <c r="B508" s="444"/>
      <c r="F508" s="439"/>
      <c r="G508" s="440"/>
      <c r="H508" s="439"/>
      <c r="I508" s="442"/>
      <c r="J508" s="442"/>
      <c r="K508" s="441"/>
      <c r="L508" s="439"/>
      <c r="M508" s="439"/>
      <c r="N508" s="443"/>
    </row>
    <row r="509" spans="2:14">
      <c r="B509" s="444"/>
      <c r="F509" s="439"/>
      <c r="G509" s="440"/>
      <c r="H509" s="439"/>
      <c r="I509" s="442"/>
      <c r="J509" s="442"/>
      <c r="K509" s="441"/>
      <c r="L509" s="439"/>
      <c r="M509" s="439"/>
      <c r="N509" s="443"/>
    </row>
    <row r="510" spans="2:14">
      <c r="B510" s="444"/>
      <c r="F510" s="439"/>
      <c r="G510" s="440"/>
      <c r="H510" s="439"/>
      <c r="I510" s="441"/>
      <c r="J510" s="441"/>
      <c r="K510" s="441"/>
      <c r="L510" s="439"/>
      <c r="M510" s="439"/>
      <c r="N510" s="443"/>
    </row>
    <row r="511" spans="2:14">
      <c r="B511" s="444"/>
      <c r="F511" s="439"/>
      <c r="G511" s="440"/>
      <c r="H511" s="439"/>
      <c r="I511" s="441"/>
      <c r="J511" s="441"/>
      <c r="K511" s="441"/>
      <c r="L511" s="439"/>
      <c r="M511" s="439"/>
      <c r="N511" s="443"/>
    </row>
    <row r="512" spans="2:14">
      <c r="B512" s="444"/>
      <c r="F512" s="439"/>
      <c r="G512" s="440"/>
      <c r="H512" s="439"/>
      <c r="I512" s="442"/>
      <c r="J512" s="442"/>
      <c r="K512" s="441"/>
      <c r="L512" s="439"/>
      <c r="M512" s="439"/>
      <c r="N512" s="443"/>
    </row>
    <row r="513" spans="2:14">
      <c r="B513" s="444"/>
      <c r="F513" s="439"/>
      <c r="G513" s="440"/>
      <c r="H513" s="439"/>
      <c r="I513" s="442"/>
      <c r="J513" s="442"/>
      <c r="K513" s="441"/>
      <c r="L513" s="439"/>
      <c r="M513" s="439"/>
      <c r="N513" s="443"/>
    </row>
    <row r="514" spans="2:14">
      <c r="B514" s="444"/>
      <c r="F514" s="439"/>
      <c r="G514" s="440"/>
      <c r="H514" s="439"/>
      <c r="I514" s="441"/>
      <c r="J514" s="441"/>
      <c r="K514" s="441"/>
      <c r="L514" s="439"/>
      <c r="M514" s="439"/>
      <c r="N514" s="443"/>
    </row>
    <row r="515" spans="2:14">
      <c r="B515" s="444"/>
      <c r="F515" s="439"/>
      <c r="G515" s="440"/>
      <c r="H515" s="439"/>
      <c r="I515" s="441"/>
      <c r="J515" s="441"/>
      <c r="K515" s="441"/>
      <c r="L515" s="439"/>
      <c r="M515" s="439"/>
      <c r="N515" s="443"/>
    </row>
    <row r="516" spans="2:14">
      <c r="B516" s="444"/>
      <c r="F516" s="439"/>
      <c r="G516" s="440"/>
      <c r="H516" s="439"/>
      <c r="I516" s="442"/>
      <c r="J516" s="442"/>
      <c r="K516" s="441"/>
      <c r="L516" s="439"/>
      <c r="M516" s="439"/>
      <c r="N516" s="443"/>
    </row>
    <row r="517" spans="2:14">
      <c r="B517" s="444"/>
      <c r="F517" s="439"/>
      <c r="G517" s="440"/>
      <c r="H517" s="439"/>
      <c r="I517" s="442"/>
      <c r="J517" s="442"/>
      <c r="K517" s="441"/>
      <c r="L517" s="439"/>
      <c r="M517" s="439"/>
      <c r="N517" s="443"/>
    </row>
    <row r="518" spans="2:14">
      <c r="B518" s="444"/>
      <c r="F518" s="439"/>
      <c r="G518" s="440"/>
      <c r="H518" s="439"/>
      <c r="I518" s="442"/>
      <c r="J518" s="442"/>
      <c r="K518" s="441"/>
      <c r="L518" s="439"/>
      <c r="M518" s="439"/>
      <c r="N518" s="443"/>
    </row>
    <row r="519" spans="2:14">
      <c r="B519" s="444"/>
      <c r="F519" s="439"/>
      <c r="G519" s="440"/>
      <c r="H519" s="439"/>
      <c r="I519" s="442"/>
      <c r="J519" s="442"/>
      <c r="K519" s="441"/>
      <c r="L519" s="439"/>
      <c r="M519" s="439"/>
      <c r="N519" s="443"/>
    </row>
    <row r="520" spans="2:14">
      <c r="B520" s="444"/>
      <c r="F520" s="439"/>
      <c r="G520" s="440"/>
      <c r="H520" s="439"/>
      <c r="I520" s="442"/>
      <c r="J520" s="442"/>
      <c r="K520" s="441"/>
      <c r="L520" s="439"/>
      <c r="M520" s="439"/>
      <c r="N520" s="443"/>
    </row>
    <row r="521" spans="2:14">
      <c r="B521" s="444"/>
      <c r="F521" s="439"/>
      <c r="G521" s="440"/>
      <c r="H521" s="439"/>
      <c r="I521" s="442"/>
      <c r="J521" s="442"/>
      <c r="K521" s="441"/>
      <c r="L521" s="439"/>
      <c r="M521" s="439"/>
      <c r="N521" s="443"/>
    </row>
    <row r="522" spans="2:14">
      <c r="B522" s="444"/>
      <c r="F522" s="439"/>
      <c r="G522" s="440"/>
      <c r="H522" s="439"/>
      <c r="I522" s="442"/>
      <c r="J522" s="442"/>
      <c r="K522" s="441"/>
      <c r="L522" s="439"/>
      <c r="M522" s="439"/>
      <c r="N522" s="443"/>
    </row>
    <row r="523" spans="2:14">
      <c r="B523" s="444"/>
      <c r="F523" s="439"/>
      <c r="G523" s="440"/>
      <c r="H523" s="439"/>
      <c r="I523" s="442"/>
      <c r="J523" s="442"/>
      <c r="K523" s="441"/>
      <c r="L523" s="439"/>
      <c r="M523" s="439"/>
      <c r="N523" s="443"/>
    </row>
    <row r="524" spans="2:14">
      <c r="B524" s="444"/>
      <c r="F524" s="439"/>
      <c r="G524" s="440"/>
      <c r="H524" s="439"/>
      <c r="I524" s="442"/>
      <c r="J524" s="442"/>
      <c r="K524" s="441"/>
      <c r="L524" s="439"/>
      <c r="M524" s="439"/>
      <c r="N524" s="443"/>
    </row>
    <row r="525" spans="2:14">
      <c r="B525" s="444"/>
      <c r="F525" s="439"/>
      <c r="G525" s="440"/>
      <c r="H525" s="439"/>
      <c r="I525" s="442"/>
      <c r="J525" s="442"/>
      <c r="K525" s="441"/>
      <c r="L525" s="439"/>
      <c r="M525" s="439"/>
      <c r="N525" s="443"/>
    </row>
    <row r="526" spans="2:14">
      <c r="B526" s="444"/>
      <c r="F526" s="439"/>
      <c r="G526" s="440"/>
      <c r="H526" s="439"/>
      <c r="I526" s="442"/>
      <c r="J526" s="442"/>
      <c r="K526" s="441"/>
      <c r="L526" s="439"/>
      <c r="M526" s="439"/>
      <c r="N526" s="443"/>
    </row>
    <row r="527" spans="2:14">
      <c r="B527" s="444"/>
      <c r="F527" s="439"/>
      <c r="G527" s="440"/>
      <c r="H527" s="439"/>
      <c r="I527" s="442"/>
      <c r="J527" s="442"/>
      <c r="K527" s="441"/>
      <c r="L527" s="439"/>
      <c r="M527" s="439"/>
      <c r="N527" s="443"/>
    </row>
    <row r="528" spans="2:14">
      <c r="B528" s="444"/>
      <c r="F528" s="439"/>
      <c r="G528" s="440"/>
      <c r="H528" s="439"/>
      <c r="I528" s="442"/>
      <c r="J528" s="442"/>
      <c r="K528" s="441"/>
      <c r="L528" s="439"/>
      <c r="M528" s="439"/>
      <c r="N528" s="443"/>
    </row>
    <row r="529" spans="2:14">
      <c r="B529" s="444"/>
      <c r="F529" s="439"/>
      <c r="G529" s="440"/>
      <c r="H529" s="439"/>
      <c r="I529" s="442"/>
      <c r="J529" s="442"/>
      <c r="K529" s="441"/>
      <c r="L529" s="439"/>
      <c r="M529" s="439"/>
      <c r="N529" s="443"/>
    </row>
    <row r="530" spans="2:14">
      <c r="B530" s="444"/>
      <c r="F530" s="439"/>
      <c r="G530" s="440"/>
      <c r="H530" s="439"/>
      <c r="I530" s="442"/>
      <c r="J530" s="442"/>
      <c r="K530" s="441"/>
      <c r="L530" s="439"/>
      <c r="M530" s="439"/>
      <c r="N530" s="443"/>
    </row>
    <row r="531" spans="2:14">
      <c r="B531" s="444"/>
      <c r="F531" s="439"/>
      <c r="G531" s="440"/>
      <c r="H531" s="439"/>
      <c r="I531" s="442"/>
      <c r="J531" s="442"/>
      <c r="K531" s="441"/>
      <c r="L531" s="439"/>
      <c r="M531" s="439"/>
      <c r="N531" s="443"/>
    </row>
    <row r="532" spans="2:14">
      <c r="B532" s="444"/>
      <c r="F532" s="439"/>
      <c r="G532" s="440"/>
      <c r="H532" s="439"/>
      <c r="I532" s="442"/>
      <c r="J532" s="442"/>
      <c r="K532" s="441"/>
      <c r="L532" s="439"/>
      <c r="M532" s="439"/>
      <c r="N532" s="443"/>
    </row>
    <row r="533" spans="2:14">
      <c r="B533" s="444"/>
      <c r="F533" s="439"/>
      <c r="G533" s="440"/>
      <c r="H533" s="439"/>
      <c r="I533" s="442"/>
      <c r="J533" s="442"/>
      <c r="K533" s="441"/>
      <c r="L533" s="439"/>
      <c r="M533" s="439"/>
      <c r="N533" s="443"/>
    </row>
    <row r="534" spans="2:14">
      <c r="B534" s="444"/>
      <c r="F534" s="439"/>
      <c r="G534" s="440"/>
      <c r="H534" s="439"/>
      <c r="I534" s="442"/>
      <c r="J534" s="442"/>
      <c r="K534" s="441"/>
      <c r="L534" s="439"/>
      <c r="M534" s="439"/>
      <c r="N534" s="443"/>
    </row>
    <row r="535" spans="2:14">
      <c r="B535" s="444"/>
      <c r="F535" s="439"/>
      <c r="G535" s="440"/>
      <c r="H535" s="439"/>
      <c r="I535" s="442"/>
      <c r="J535" s="442"/>
      <c r="K535" s="441"/>
      <c r="L535" s="439"/>
      <c r="M535" s="439"/>
      <c r="N535" s="443"/>
    </row>
    <row r="536" spans="2:14">
      <c r="B536" s="444"/>
      <c r="F536" s="439"/>
      <c r="G536" s="440"/>
      <c r="H536" s="439"/>
      <c r="I536" s="441"/>
      <c r="J536" s="441"/>
      <c r="K536" s="441"/>
      <c r="L536" s="439"/>
      <c r="M536" s="439"/>
      <c r="N536" s="443"/>
    </row>
    <row r="537" spans="2:14">
      <c r="B537" s="444"/>
      <c r="F537" s="439"/>
      <c r="G537" s="440"/>
      <c r="H537" s="439"/>
      <c r="I537" s="441"/>
      <c r="J537" s="441"/>
      <c r="K537" s="441"/>
      <c r="L537" s="439"/>
      <c r="M537" s="439"/>
      <c r="N537" s="443"/>
    </row>
    <row r="538" spans="2:14">
      <c r="B538" s="444"/>
      <c r="F538" s="439"/>
      <c r="G538" s="440"/>
      <c r="H538" s="439"/>
      <c r="I538" s="441"/>
      <c r="J538" s="441"/>
      <c r="K538" s="441"/>
      <c r="L538" s="439"/>
      <c r="M538" s="439"/>
      <c r="N538" s="443"/>
    </row>
    <row r="539" spans="2:14">
      <c r="B539" s="444"/>
      <c r="F539" s="439"/>
      <c r="G539" s="440"/>
      <c r="H539" s="439"/>
      <c r="I539" s="441"/>
      <c r="J539" s="441"/>
      <c r="K539" s="441"/>
      <c r="L539" s="439"/>
      <c r="M539" s="439"/>
      <c r="N539" s="443"/>
    </row>
    <row r="540" spans="2:14">
      <c r="B540" s="444"/>
      <c r="F540" s="439"/>
      <c r="G540" s="440"/>
      <c r="H540" s="439"/>
      <c r="I540" s="441"/>
      <c r="J540" s="441"/>
      <c r="K540" s="441"/>
      <c r="L540" s="439"/>
      <c r="M540" s="439"/>
      <c r="N540" s="443"/>
    </row>
    <row r="541" spans="2:14">
      <c r="B541" s="444"/>
      <c r="F541" s="439"/>
      <c r="G541" s="440"/>
      <c r="H541" s="439"/>
      <c r="I541" s="441"/>
      <c r="J541" s="441"/>
      <c r="K541" s="441"/>
      <c r="L541" s="439"/>
      <c r="M541" s="439"/>
      <c r="N541" s="443"/>
    </row>
    <row r="542" spans="2:14">
      <c r="B542" s="444"/>
      <c r="F542" s="439"/>
      <c r="G542" s="440"/>
      <c r="H542" s="439"/>
      <c r="I542" s="442"/>
      <c r="J542" s="442"/>
      <c r="K542" s="441"/>
      <c r="L542" s="439"/>
      <c r="M542" s="439"/>
      <c r="N542" s="443"/>
    </row>
    <row r="543" spans="2:14">
      <c r="B543" s="444"/>
      <c r="F543" s="439"/>
      <c r="G543" s="440"/>
      <c r="H543" s="439"/>
      <c r="I543" s="442"/>
      <c r="J543" s="442"/>
      <c r="K543" s="441"/>
      <c r="L543" s="439"/>
      <c r="M543" s="439"/>
      <c r="N543" s="443"/>
    </row>
    <row r="544" spans="2:14">
      <c r="B544" s="444"/>
      <c r="F544" s="439"/>
      <c r="G544" s="440"/>
      <c r="H544" s="439"/>
      <c r="I544" s="442"/>
      <c r="J544" s="442"/>
      <c r="K544" s="441"/>
      <c r="L544" s="439"/>
      <c r="M544" s="439"/>
      <c r="N544" s="443"/>
    </row>
    <row r="545" spans="2:14">
      <c r="B545" s="444"/>
      <c r="F545" s="439"/>
      <c r="G545" s="440"/>
      <c r="H545" s="439"/>
      <c r="I545" s="442"/>
      <c r="J545" s="442"/>
      <c r="K545" s="441"/>
      <c r="L545" s="439"/>
      <c r="M545" s="439"/>
      <c r="N545" s="443"/>
    </row>
    <row r="546" spans="2:14">
      <c r="B546" s="444"/>
      <c r="F546" s="439"/>
      <c r="G546" s="440"/>
      <c r="H546" s="439"/>
      <c r="I546" s="442"/>
      <c r="J546" s="442"/>
      <c r="K546" s="441"/>
      <c r="L546" s="439"/>
      <c r="M546" s="439"/>
      <c r="N546" s="443"/>
    </row>
    <row r="547" spans="2:14">
      <c r="B547" s="444"/>
      <c r="F547" s="439"/>
      <c r="G547" s="440"/>
      <c r="H547" s="439"/>
      <c r="I547" s="442"/>
      <c r="J547" s="442"/>
      <c r="K547" s="441"/>
      <c r="L547" s="439"/>
      <c r="M547" s="439"/>
      <c r="N547" s="443"/>
    </row>
    <row r="548" spans="2:14">
      <c r="B548" s="444"/>
      <c r="F548" s="439"/>
      <c r="G548" s="440"/>
      <c r="H548" s="439"/>
      <c r="I548" s="442"/>
      <c r="J548" s="442"/>
      <c r="K548" s="441"/>
      <c r="L548" s="439"/>
      <c r="M548" s="439"/>
      <c r="N548" s="443"/>
    </row>
    <row r="549" spans="2:14">
      <c r="B549" s="444"/>
      <c r="F549" s="439"/>
      <c r="G549" s="440"/>
      <c r="H549" s="439"/>
      <c r="I549" s="442"/>
      <c r="J549" s="442"/>
      <c r="K549" s="441"/>
      <c r="L549" s="439"/>
      <c r="M549" s="439"/>
      <c r="N549" s="443"/>
    </row>
    <row r="550" spans="2:14">
      <c r="B550" s="444"/>
      <c r="F550" s="439"/>
      <c r="G550" s="440"/>
      <c r="H550" s="439"/>
      <c r="I550" s="442"/>
      <c r="J550" s="442"/>
      <c r="K550" s="442"/>
      <c r="L550" s="439"/>
      <c r="M550" s="439"/>
      <c r="N550" s="443"/>
    </row>
    <row r="551" spans="2:14">
      <c r="B551" s="444"/>
      <c r="F551" s="439"/>
      <c r="G551" s="440"/>
      <c r="H551" s="439"/>
      <c r="I551" s="442"/>
      <c r="J551" s="442"/>
      <c r="K551" s="442"/>
      <c r="L551" s="439"/>
      <c r="M551" s="439"/>
      <c r="N551" s="443"/>
    </row>
    <row r="552" spans="2:14">
      <c r="B552" s="444"/>
      <c r="F552" s="439"/>
      <c r="G552" s="440"/>
      <c r="H552" s="439"/>
      <c r="I552" s="442"/>
      <c r="J552" s="442"/>
      <c r="K552" s="442"/>
      <c r="L552" s="439"/>
      <c r="M552" s="439"/>
      <c r="N552" s="443"/>
    </row>
    <row r="553" spans="2:14">
      <c r="B553" s="444"/>
      <c r="F553" s="439"/>
      <c r="G553" s="440"/>
      <c r="H553" s="439"/>
      <c r="I553" s="442"/>
      <c r="J553" s="442"/>
      <c r="K553" s="442"/>
      <c r="L553" s="439"/>
      <c r="M553" s="439"/>
      <c r="N553" s="443"/>
    </row>
    <row r="554" spans="2:14">
      <c r="B554" s="444"/>
      <c r="F554" s="439"/>
      <c r="G554" s="440"/>
      <c r="H554" s="439"/>
      <c r="I554" s="442"/>
      <c r="J554" s="442"/>
      <c r="K554" s="441"/>
      <c r="L554" s="439"/>
      <c r="M554" s="439"/>
      <c r="N554" s="443"/>
    </row>
    <row r="555" spans="2:14">
      <c r="B555" s="444"/>
      <c r="F555" s="439"/>
      <c r="G555" s="440"/>
      <c r="H555" s="439"/>
      <c r="I555" s="442"/>
      <c r="J555" s="442"/>
      <c r="K555" s="441"/>
      <c r="L555" s="439"/>
      <c r="M555" s="439"/>
      <c r="N555" s="443"/>
    </row>
    <row r="556" spans="2:14">
      <c r="B556" s="444"/>
      <c r="F556" s="439"/>
      <c r="G556" s="440"/>
      <c r="H556" s="439"/>
      <c r="I556" s="442"/>
      <c r="J556" s="442"/>
      <c r="K556" s="441"/>
      <c r="L556" s="439"/>
      <c r="M556" s="439"/>
      <c r="N556" s="443"/>
    </row>
    <row r="557" spans="2:14">
      <c r="B557" s="444"/>
      <c r="F557" s="439"/>
      <c r="G557" s="440"/>
      <c r="H557" s="439"/>
      <c r="I557" s="442"/>
      <c r="J557" s="442"/>
      <c r="K557" s="441"/>
      <c r="L557" s="439"/>
      <c r="M557" s="439"/>
      <c r="N557" s="443"/>
    </row>
    <row r="558" spans="2:14">
      <c r="B558" s="444"/>
      <c r="F558" s="439"/>
      <c r="G558" s="440"/>
      <c r="H558" s="439"/>
      <c r="I558" s="442"/>
      <c r="J558" s="442"/>
      <c r="K558" s="441"/>
      <c r="L558" s="439"/>
      <c r="M558" s="439"/>
      <c r="N558" s="443"/>
    </row>
    <row r="559" spans="2:14">
      <c r="B559" s="444"/>
      <c r="F559" s="439"/>
      <c r="G559" s="440"/>
      <c r="H559" s="439"/>
      <c r="I559" s="442"/>
      <c r="J559" s="442"/>
      <c r="K559" s="441"/>
      <c r="L559" s="439"/>
      <c r="M559" s="439"/>
      <c r="N559" s="443"/>
    </row>
    <row r="560" spans="2:14">
      <c r="B560" s="444"/>
      <c r="F560" s="439"/>
      <c r="G560" s="440"/>
      <c r="H560" s="439"/>
      <c r="I560" s="442"/>
      <c r="J560" s="442"/>
      <c r="K560" s="441"/>
      <c r="L560" s="439"/>
      <c r="M560" s="439"/>
      <c r="N560" s="443"/>
    </row>
    <row r="561" spans="2:14">
      <c r="B561" s="444"/>
      <c r="F561" s="439"/>
      <c r="G561" s="440"/>
      <c r="H561" s="439"/>
      <c r="I561" s="442"/>
      <c r="J561" s="442"/>
      <c r="K561" s="442"/>
      <c r="L561" s="439"/>
      <c r="M561" s="439"/>
      <c r="N561" s="443"/>
    </row>
    <row r="562" spans="2:14">
      <c r="B562" s="444"/>
      <c r="F562" s="439"/>
      <c r="G562" s="440"/>
      <c r="H562" s="439"/>
      <c r="I562" s="442"/>
      <c r="J562" s="442"/>
      <c r="K562" s="441"/>
      <c r="L562" s="439"/>
      <c r="M562" s="439"/>
      <c r="N562" s="443"/>
    </row>
    <row r="563" spans="2:14">
      <c r="B563" s="444"/>
      <c r="F563" s="439"/>
      <c r="G563" s="440"/>
      <c r="H563" s="439"/>
      <c r="I563" s="442"/>
      <c r="J563" s="442"/>
      <c r="K563" s="441"/>
      <c r="L563" s="439"/>
      <c r="M563" s="439"/>
      <c r="N563" s="443"/>
    </row>
    <row r="564" spans="2:14">
      <c r="B564" s="444"/>
      <c r="F564" s="439"/>
      <c r="G564" s="440"/>
      <c r="H564" s="439"/>
      <c r="I564" s="442"/>
      <c r="J564" s="442"/>
      <c r="K564" s="441"/>
      <c r="L564" s="439"/>
      <c r="M564" s="439"/>
      <c r="N564" s="443"/>
    </row>
    <row r="565" spans="2:14">
      <c r="B565" s="444"/>
      <c r="F565" s="439"/>
      <c r="G565" s="440"/>
      <c r="H565" s="439"/>
      <c r="I565" s="442"/>
      <c r="J565" s="442"/>
      <c r="K565" s="442"/>
      <c r="L565" s="439"/>
      <c r="M565" s="439"/>
      <c r="N565" s="443"/>
    </row>
    <row r="566" spans="2:14">
      <c r="B566" s="444"/>
      <c r="F566" s="439"/>
      <c r="G566" s="440"/>
      <c r="H566" s="439"/>
      <c r="I566" s="442"/>
      <c r="J566" s="442"/>
      <c r="K566" s="441"/>
      <c r="L566" s="439"/>
      <c r="M566" s="439"/>
      <c r="N566" s="443"/>
    </row>
    <row r="567" spans="2:14">
      <c r="B567" s="444"/>
      <c r="F567" s="439"/>
      <c r="G567" s="440"/>
      <c r="H567" s="439"/>
      <c r="I567" s="442"/>
      <c r="J567" s="442"/>
      <c r="K567" s="442"/>
      <c r="L567" s="439"/>
      <c r="M567" s="439"/>
      <c r="N567" s="443"/>
    </row>
    <row r="568" spans="2:14">
      <c r="B568" s="444"/>
      <c r="F568" s="439"/>
      <c r="G568" s="440"/>
      <c r="H568" s="439"/>
      <c r="I568" s="442"/>
      <c r="J568" s="442"/>
      <c r="K568" s="442"/>
      <c r="L568" s="439"/>
      <c r="M568" s="439"/>
      <c r="N568" s="443"/>
    </row>
    <row r="569" spans="2:14">
      <c r="B569" s="444"/>
      <c r="F569" s="439"/>
      <c r="G569" s="440"/>
      <c r="H569" s="439"/>
      <c r="I569" s="442"/>
      <c r="J569" s="442"/>
      <c r="K569" s="441"/>
      <c r="L569" s="439"/>
      <c r="M569" s="439"/>
      <c r="N569" s="443"/>
    </row>
    <row r="570" spans="2:14">
      <c r="B570" s="444"/>
      <c r="F570" s="439"/>
      <c r="G570" s="440"/>
      <c r="H570" s="439"/>
      <c r="I570" s="442"/>
      <c r="J570" s="442"/>
      <c r="K570" s="441"/>
      <c r="L570" s="439"/>
      <c r="M570" s="439"/>
      <c r="N570" s="443"/>
    </row>
    <row r="571" spans="2:14">
      <c r="B571" s="444"/>
      <c r="F571" s="439"/>
      <c r="G571" s="440"/>
      <c r="H571" s="439"/>
      <c r="I571" s="442"/>
      <c r="J571" s="442"/>
      <c r="K571" s="441"/>
      <c r="L571" s="439"/>
      <c r="M571" s="439"/>
      <c r="N571" s="443"/>
    </row>
    <row r="572" spans="2:14">
      <c r="B572" s="444"/>
      <c r="F572" s="439"/>
      <c r="G572" s="440"/>
      <c r="H572" s="439"/>
      <c r="I572" s="442"/>
      <c r="J572" s="442"/>
      <c r="K572" s="441"/>
      <c r="L572" s="439"/>
      <c r="M572" s="439"/>
      <c r="N572" s="443"/>
    </row>
    <row r="573" spans="2:14">
      <c r="B573" s="444"/>
      <c r="F573" s="439"/>
      <c r="G573" s="440"/>
      <c r="H573" s="439"/>
      <c r="I573" s="442"/>
      <c r="J573" s="442"/>
      <c r="K573" s="441"/>
      <c r="L573" s="439"/>
      <c r="M573" s="439"/>
      <c r="N573" s="443"/>
    </row>
    <row r="574" spans="2:14">
      <c r="B574" s="444"/>
      <c r="F574" s="439"/>
      <c r="G574" s="440"/>
      <c r="H574" s="439"/>
      <c r="I574" s="442"/>
      <c r="J574" s="442"/>
      <c r="K574" s="441"/>
      <c r="L574" s="439"/>
      <c r="M574" s="439"/>
      <c r="N574" s="443"/>
    </row>
    <row r="575" spans="2:14">
      <c r="B575" s="444"/>
      <c r="F575" s="439"/>
      <c r="G575" s="440"/>
      <c r="H575" s="439"/>
      <c r="I575" s="442"/>
      <c r="J575" s="442"/>
      <c r="K575" s="441"/>
      <c r="L575" s="439"/>
      <c r="M575" s="439"/>
      <c r="N575" s="443"/>
    </row>
    <row r="576" spans="2:14">
      <c r="B576" s="444"/>
      <c r="F576" s="439"/>
      <c r="G576" s="440"/>
      <c r="H576" s="439"/>
      <c r="I576" s="442"/>
      <c r="J576" s="442"/>
      <c r="K576" s="441"/>
      <c r="L576" s="439"/>
      <c r="M576" s="439"/>
      <c r="N576" s="443"/>
    </row>
    <row r="577" spans="2:14">
      <c r="B577" s="444"/>
      <c r="F577" s="439"/>
      <c r="G577" s="440"/>
      <c r="H577" s="439"/>
      <c r="I577" s="442"/>
      <c r="J577" s="442"/>
      <c r="K577" s="441"/>
      <c r="L577" s="439"/>
      <c r="M577" s="439"/>
      <c r="N577" s="443"/>
    </row>
    <row r="578" spans="2:14">
      <c r="B578" s="444"/>
      <c r="F578" s="439"/>
      <c r="G578" s="440"/>
      <c r="H578" s="439"/>
      <c r="I578" s="442"/>
      <c r="J578" s="442"/>
      <c r="K578" s="441"/>
      <c r="L578" s="439"/>
      <c r="M578" s="439"/>
      <c r="N578" s="443"/>
    </row>
    <row r="579" spans="2:14">
      <c r="B579" s="444"/>
      <c r="F579" s="439"/>
      <c r="G579" s="440"/>
      <c r="H579" s="439"/>
      <c r="I579" s="442"/>
      <c r="J579" s="442"/>
      <c r="K579" s="441"/>
      <c r="L579" s="439"/>
      <c r="M579" s="439"/>
      <c r="N579" s="443"/>
    </row>
    <row r="580" spans="2:14">
      <c r="B580" s="444"/>
      <c r="F580" s="439"/>
      <c r="G580" s="440"/>
      <c r="H580" s="439"/>
      <c r="I580" s="442"/>
      <c r="J580" s="442"/>
      <c r="K580" s="441"/>
      <c r="L580" s="439"/>
      <c r="M580" s="439"/>
      <c r="N580" s="443"/>
    </row>
    <row r="581" spans="2:14">
      <c r="B581" s="444"/>
      <c r="F581" s="439"/>
      <c r="G581" s="440"/>
      <c r="H581" s="439"/>
      <c r="I581" s="442"/>
      <c r="J581" s="442"/>
      <c r="K581" s="441"/>
      <c r="L581" s="439"/>
      <c r="M581" s="439"/>
      <c r="N581" s="443"/>
    </row>
    <row r="582" spans="2:14">
      <c r="B582" s="444"/>
      <c r="F582" s="439"/>
      <c r="G582" s="440"/>
      <c r="H582" s="439"/>
      <c r="I582" s="442"/>
      <c r="J582" s="442"/>
      <c r="K582" s="441"/>
      <c r="L582" s="439"/>
      <c r="M582" s="439"/>
      <c r="N582" s="443"/>
    </row>
    <row r="583" spans="2:14">
      <c r="B583" s="444"/>
      <c r="F583" s="439"/>
      <c r="G583" s="440"/>
      <c r="H583" s="439"/>
      <c r="I583" s="442"/>
      <c r="J583" s="442"/>
      <c r="K583" s="441"/>
      <c r="L583" s="439"/>
      <c r="M583" s="439"/>
      <c r="N583" s="443"/>
    </row>
    <row r="584" spans="2:14">
      <c r="B584" s="444"/>
      <c r="F584" s="439"/>
      <c r="G584" s="440"/>
      <c r="H584" s="439"/>
      <c r="I584" s="442"/>
      <c r="J584" s="442"/>
      <c r="K584" s="441"/>
      <c r="L584" s="439"/>
      <c r="M584" s="439"/>
      <c r="N584" s="443"/>
    </row>
    <row r="585" spans="2:14">
      <c r="B585" s="444"/>
      <c r="F585" s="439"/>
      <c r="G585" s="440"/>
      <c r="H585" s="439"/>
      <c r="I585" s="442"/>
      <c r="J585" s="442"/>
      <c r="K585" s="441"/>
      <c r="L585" s="439"/>
      <c r="M585" s="439"/>
      <c r="N585" s="443"/>
    </row>
    <row r="586" spans="2:14">
      <c r="B586" s="444"/>
      <c r="F586" s="439"/>
      <c r="G586" s="440"/>
      <c r="H586" s="439"/>
      <c r="I586" s="442"/>
      <c r="J586" s="442"/>
      <c r="K586" s="441"/>
      <c r="L586" s="439"/>
      <c r="M586" s="439"/>
      <c r="N586" s="443"/>
    </row>
    <row r="587" spans="2:14">
      <c r="B587" s="444"/>
      <c r="F587" s="439"/>
      <c r="G587" s="440"/>
      <c r="H587" s="439"/>
      <c r="I587" s="442"/>
      <c r="J587" s="442"/>
      <c r="K587" s="441"/>
      <c r="L587" s="439"/>
      <c r="M587" s="439"/>
      <c r="N587" s="443"/>
    </row>
    <row r="588" spans="2:14">
      <c r="B588" s="444"/>
      <c r="F588" s="439"/>
      <c r="G588" s="440"/>
      <c r="H588" s="439"/>
      <c r="I588" s="442"/>
      <c r="J588" s="442"/>
      <c r="K588" s="441"/>
      <c r="L588" s="439"/>
      <c r="M588" s="439"/>
      <c r="N588" s="443"/>
    </row>
    <row r="589" spans="2:14">
      <c r="B589" s="444"/>
      <c r="F589" s="439"/>
      <c r="G589" s="440"/>
      <c r="H589" s="439"/>
      <c r="I589" s="442"/>
      <c r="J589" s="442"/>
      <c r="K589" s="441"/>
      <c r="L589" s="439"/>
      <c r="M589" s="439"/>
      <c r="N589" s="443"/>
    </row>
    <row r="590" spans="2:14">
      <c r="B590" s="444"/>
      <c r="F590" s="439"/>
      <c r="G590" s="440"/>
      <c r="H590" s="439"/>
      <c r="I590" s="442"/>
      <c r="J590" s="442"/>
      <c r="K590" s="441"/>
      <c r="L590" s="439"/>
      <c r="M590" s="439"/>
      <c r="N590" s="443"/>
    </row>
    <row r="591" spans="2:14">
      <c r="B591" s="444"/>
      <c r="F591" s="439"/>
      <c r="G591" s="440"/>
      <c r="H591" s="439"/>
      <c r="I591" s="442"/>
      <c r="J591" s="442"/>
      <c r="K591" s="441"/>
      <c r="L591" s="439"/>
      <c r="M591" s="439"/>
      <c r="N591" s="443"/>
    </row>
    <row r="592" spans="2:14">
      <c r="B592" s="444"/>
      <c r="F592" s="439"/>
      <c r="G592" s="440"/>
      <c r="H592" s="439"/>
      <c r="I592" s="442"/>
      <c r="J592" s="442"/>
      <c r="K592" s="441"/>
      <c r="L592" s="439"/>
      <c r="M592" s="439"/>
      <c r="N592" s="443"/>
    </row>
    <row r="593" spans="2:14">
      <c r="B593" s="444"/>
      <c r="F593" s="439"/>
      <c r="G593" s="440"/>
      <c r="H593" s="439"/>
      <c r="I593" s="442"/>
      <c r="J593" s="442"/>
      <c r="K593" s="441"/>
      <c r="L593" s="439"/>
      <c r="M593" s="439"/>
      <c r="N593" s="443"/>
    </row>
    <row r="594" spans="2:14">
      <c r="B594" s="444"/>
      <c r="F594" s="439"/>
      <c r="G594" s="440"/>
      <c r="H594" s="439"/>
      <c r="I594" s="442"/>
      <c r="J594" s="442"/>
      <c r="K594" s="441"/>
      <c r="L594" s="439"/>
      <c r="M594" s="439"/>
      <c r="N594" s="443"/>
    </row>
    <row r="595" spans="2:14">
      <c r="B595" s="444"/>
      <c r="F595" s="439"/>
      <c r="G595" s="440"/>
      <c r="H595" s="439"/>
      <c r="I595" s="442"/>
      <c r="J595" s="442"/>
      <c r="K595" s="441"/>
      <c r="L595" s="439"/>
      <c r="M595" s="439"/>
      <c r="N595" s="443"/>
    </row>
    <row r="596" spans="2:14">
      <c r="B596" s="444"/>
      <c r="F596" s="439"/>
      <c r="G596" s="440"/>
      <c r="H596" s="439"/>
      <c r="I596" s="442"/>
      <c r="J596" s="442"/>
      <c r="K596" s="441"/>
      <c r="L596" s="439"/>
      <c r="M596" s="439"/>
      <c r="N596" s="443"/>
    </row>
    <row r="597" spans="2:14">
      <c r="B597" s="444"/>
      <c r="F597" s="439"/>
      <c r="G597" s="440"/>
      <c r="H597" s="439"/>
      <c r="I597" s="442"/>
      <c r="J597" s="442"/>
      <c r="K597" s="441"/>
      <c r="L597" s="439"/>
      <c r="M597" s="439"/>
      <c r="N597" s="443"/>
    </row>
    <row r="598" spans="2:14">
      <c r="B598" s="444"/>
      <c r="F598" s="439"/>
      <c r="G598" s="440"/>
      <c r="H598" s="439"/>
      <c r="I598" s="442"/>
      <c r="J598" s="442"/>
      <c r="K598" s="441"/>
      <c r="L598" s="439"/>
      <c r="M598" s="439"/>
      <c r="N598" s="443"/>
    </row>
    <row r="599" spans="2:14">
      <c r="B599" s="444"/>
      <c r="F599" s="439"/>
      <c r="G599" s="440"/>
      <c r="H599" s="439"/>
      <c r="I599" s="442"/>
      <c r="J599" s="442"/>
      <c r="K599" s="441"/>
      <c r="L599" s="439"/>
      <c r="M599" s="439"/>
      <c r="N599" s="443"/>
    </row>
    <row r="600" spans="2:14">
      <c r="B600" s="444"/>
      <c r="F600" s="439"/>
      <c r="G600" s="440"/>
      <c r="H600" s="439"/>
      <c r="I600" s="442"/>
      <c r="J600" s="442"/>
      <c r="K600" s="441"/>
      <c r="L600" s="439"/>
      <c r="M600" s="439"/>
      <c r="N600" s="443"/>
    </row>
    <row r="601" spans="2:14">
      <c r="B601" s="444"/>
      <c r="F601" s="439"/>
      <c r="G601" s="440"/>
      <c r="H601" s="439"/>
      <c r="I601" s="442"/>
      <c r="J601" s="442"/>
      <c r="K601" s="441"/>
      <c r="L601" s="439"/>
      <c r="M601" s="439"/>
      <c r="N601" s="443"/>
    </row>
    <row r="602" spans="2:14">
      <c r="B602" s="444"/>
      <c r="F602" s="439"/>
      <c r="G602" s="440"/>
      <c r="H602" s="439"/>
      <c r="I602" s="442"/>
      <c r="J602" s="442"/>
      <c r="K602" s="441"/>
      <c r="L602" s="439"/>
      <c r="M602" s="439"/>
      <c r="N602" s="443"/>
    </row>
    <row r="603" spans="2:14">
      <c r="B603" s="444"/>
      <c r="F603" s="439"/>
      <c r="G603" s="440"/>
      <c r="H603" s="439"/>
      <c r="I603" s="442"/>
      <c r="J603" s="442"/>
      <c r="K603" s="441"/>
      <c r="L603" s="439"/>
      <c r="M603" s="439"/>
      <c r="N603" s="443"/>
    </row>
    <row r="604" spans="2:14">
      <c r="B604" s="444"/>
      <c r="F604" s="439"/>
      <c r="G604" s="440"/>
      <c r="H604" s="439"/>
      <c r="I604" s="441"/>
      <c r="J604" s="442"/>
      <c r="K604" s="442"/>
      <c r="L604" s="439"/>
      <c r="M604" s="439"/>
      <c r="N604" s="443"/>
    </row>
    <row r="605" spans="2:14">
      <c r="B605" s="444"/>
      <c r="F605" s="439"/>
      <c r="G605" s="440"/>
      <c r="H605" s="439"/>
      <c r="I605" s="441"/>
      <c r="J605" s="442"/>
      <c r="K605" s="442"/>
      <c r="L605" s="439"/>
      <c r="M605" s="439"/>
      <c r="N605" s="443"/>
    </row>
    <row r="606" spans="2:14">
      <c r="B606" s="444"/>
      <c r="F606" s="439"/>
      <c r="G606" s="440"/>
      <c r="H606" s="439"/>
      <c r="I606" s="441"/>
      <c r="J606" s="442"/>
      <c r="K606" s="442"/>
      <c r="L606" s="439"/>
      <c r="M606" s="439"/>
      <c r="N606" s="443"/>
    </row>
    <row r="607" spans="2:14">
      <c r="B607" s="444"/>
      <c r="F607" s="439"/>
      <c r="G607" s="440"/>
      <c r="H607" s="439"/>
      <c r="I607" s="441"/>
      <c r="J607" s="442"/>
      <c r="K607" s="442"/>
      <c r="L607" s="439"/>
      <c r="M607" s="439"/>
      <c r="N607" s="443"/>
    </row>
    <row r="608" spans="2:14">
      <c r="B608" s="444"/>
      <c r="F608" s="439"/>
      <c r="G608" s="440"/>
      <c r="H608" s="439"/>
      <c r="I608" s="441"/>
      <c r="J608" s="442"/>
      <c r="K608" s="442"/>
      <c r="L608" s="439"/>
      <c r="M608" s="439"/>
      <c r="N608" s="443"/>
    </row>
    <row r="609" spans="2:14">
      <c r="B609" s="444"/>
      <c r="F609" s="439"/>
      <c r="G609" s="440"/>
      <c r="H609" s="439"/>
      <c r="I609" s="441"/>
      <c r="J609" s="442"/>
      <c r="K609" s="442"/>
      <c r="L609" s="439"/>
      <c r="M609" s="439"/>
      <c r="N609" s="443"/>
    </row>
    <row r="610" spans="2:14">
      <c r="B610" s="444"/>
      <c r="F610" s="439"/>
      <c r="G610" s="440"/>
      <c r="H610" s="439"/>
      <c r="I610" s="441"/>
      <c r="J610" s="442"/>
      <c r="K610" s="442"/>
      <c r="L610" s="439"/>
      <c r="M610" s="439"/>
      <c r="N610" s="443"/>
    </row>
    <row r="611" spans="2:14">
      <c r="B611" s="444"/>
      <c r="F611" s="439"/>
      <c r="G611" s="440"/>
      <c r="H611" s="439"/>
      <c r="I611" s="441"/>
      <c r="J611" s="442"/>
      <c r="K611" s="442"/>
      <c r="L611" s="439"/>
      <c r="M611" s="439"/>
      <c r="N611" s="443"/>
    </row>
    <row r="612" spans="2:14">
      <c r="B612" s="444"/>
      <c r="F612" s="439"/>
      <c r="G612" s="440"/>
      <c r="H612" s="439"/>
      <c r="I612" s="441"/>
      <c r="J612" s="442"/>
      <c r="K612" s="442"/>
      <c r="L612" s="439"/>
      <c r="M612" s="439"/>
      <c r="N612" s="443"/>
    </row>
    <row r="613" spans="2:14">
      <c r="B613" s="444"/>
      <c r="F613" s="439"/>
      <c r="G613" s="440"/>
      <c r="H613" s="439"/>
      <c r="I613" s="441"/>
      <c r="J613" s="442"/>
      <c r="K613" s="442"/>
      <c r="L613" s="439"/>
      <c r="M613" s="439"/>
      <c r="N613" s="443"/>
    </row>
    <row r="614" spans="2:14">
      <c r="B614" s="444"/>
      <c r="F614" s="439"/>
      <c r="G614" s="440"/>
      <c r="H614" s="439"/>
      <c r="I614" s="441"/>
      <c r="J614" s="442"/>
      <c r="K614" s="442"/>
      <c r="L614" s="439"/>
      <c r="M614" s="439"/>
      <c r="N614" s="443"/>
    </row>
    <row r="615" spans="2:14">
      <c r="B615" s="444"/>
      <c r="F615" s="439"/>
      <c r="G615" s="440"/>
      <c r="H615" s="439"/>
      <c r="I615" s="441"/>
      <c r="J615" s="442"/>
      <c r="K615" s="442"/>
      <c r="L615" s="439"/>
      <c r="M615" s="439"/>
      <c r="N615" s="443"/>
    </row>
    <row r="616" spans="2:14">
      <c r="B616" s="444"/>
      <c r="F616" s="439"/>
      <c r="G616" s="440"/>
      <c r="H616" s="439"/>
      <c r="I616" s="441"/>
      <c r="J616" s="442"/>
      <c r="K616" s="442"/>
      <c r="L616" s="439"/>
      <c r="M616" s="439"/>
      <c r="N616" s="443"/>
    </row>
    <row r="617" spans="2:14">
      <c r="B617" s="444"/>
      <c r="F617" s="439"/>
      <c r="G617" s="440"/>
      <c r="H617" s="439"/>
      <c r="I617" s="441"/>
      <c r="J617" s="442"/>
      <c r="K617" s="442"/>
      <c r="L617" s="439"/>
      <c r="M617" s="439"/>
      <c r="N617" s="443"/>
    </row>
    <row r="618" spans="2:14">
      <c r="B618" s="444"/>
      <c r="F618" s="439"/>
      <c r="G618" s="440"/>
      <c r="H618" s="439"/>
      <c r="I618" s="441"/>
      <c r="J618" s="442"/>
      <c r="K618" s="442"/>
      <c r="L618" s="439"/>
      <c r="M618" s="439"/>
      <c r="N618" s="443"/>
    </row>
    <row r="619" spans="2:14">
      <c r="B619" s="444"/>
      <c r="F619" s="439"/>
      <c r="G619" s="440"/>
      <c r="H619" s="439"/>
      <c r="I619" s="441"/>
      <c r="J619" s="442"/>
      <c r="K619" s="442"/>
      <c r="L619" s="439"/>
      <c r="M619" s="439"/>
      <c r="N619" s="443"/>
    </row>
    <row r="620" spans="2:14">
      <c r="B620" s="444"/>
      <c r="F620" s="439"/>
      <c r="G620" s="440"/>
      <c r="H620" s="439"/>
      <c r="I620" s="441"/>
      <c r="J620" s="442"/>
      <c r="K620" s="442"/>
      <c r="L620" s="439"/>
      <c r="M620" s="439"/>
      <c r="N620" s="443"/>
    </row>
    <row r="621" spans="2:14">
      <c r="B621" s="444"/>
      <c r="F621" s="439"/>
      <c r="G621" s="440"/>
      <c r="H621" s="439"/>
      <c r="I621" s="441"/>
      <c r="J621" s="442"/>
      <c r="K621" s="442"/>
      <c r="L621" s="439"/>
      <c r="M621" s="439"/>
      <c r="N621" s="443"/>
    </row>
    <row r="622" spans="2:14">
      <c r="B622" s="444"/>
      <c r="F622" s="439"/>
      <c r="G622" s="440"/>
      <c r="H622" s="439"/>
      <c r="I622" s="441"/>
      <c r="J622" s="442"/>
      <c r="K622" s="442"/>
      <c r="L622" s="439"/>
      <c r="M622" s="439"/>
      <c r="N622" s="443"/>
    </row>
    <row r="623" spans="2:14">
      <c r="B623" s="444"/>
      <c r="F623" s="439"/>
      <c r="G623" s="440"/>
      <c r="H623" s="439"/>
      <c r="I623" s="441"/>
      <c r="J623" s="442"/>
      <c r="K623" s="442"/>
      <c r="L623" s="439"/>
      <c r="M623" s="439"/>
      <c r="N623" s="443"/>
    </row>
    <row r="624" spans="2:14">
      <c r="B624" s="444"/>
      <c r="F624" s="439"/>
      <c r="G624" s="440"/>
      <c r="H624" s="439"/>
      <c r="I624" s="441"/>
      <c r="J624" s="442"/>
      <c r="K624" s="442"/>
      <c r="L624" s="439"/>
      <c r="M624" s="439"/>
      <c r="N624" s="443"/>
    </row>
    <row r="625" spans="2:14">
      <c r="B625" s="444"/>
      <c r="F625" s="439"/>
      <c r="G625" s="440"/>
      <c r="H625" s="439"/>
      <c r="I625" s="441"/>
      <c r="J625" s="442"/>
      <c r="K625" s="442"/>
      <c r="L625" s="439"/>
      <c r="M625" s="439"/>
      <c r="N625" s="443"/>
    </row>
    <row r="626" spans="2:14">
      <c r="B626" s="444"/>
      <c r="F626" s="439"/>
      <c r="G626" s="440"/>
      <c r="H626" s="439"/>
      <c r="I626" s="441"/>
      <c r="J626" s="442"/>
      <c r="K626" s="442"/>
      <c r="L626" s="439"/>
      <c r="M626" s="439"/>
      <c r="N626" s="443"/>
    </row>
    <row r="627" spans="2:14">
      <c r="B627" s="444"/>
      <c r="F627" s="439"/>
      <c r="G627" s="440"/>
      <c r="H627" s="439"/>
      <c r="I627" s="441"/>
      <c r="J627" s="442"/>
      <c r="K627" s="442"/>
      <c r="L627" s="439"/>
      <c r="M627" s="439"/>
      <c r="N627" s="443"/>
    </row>
    <row r="628" spans="2:14">
      <c r="B628" s="444"/>
      <c r="F628" s="439"/>
      <c r="G628" s="440"/>
      <c r="H628" s="439"/>
      <c r="I628" s="441"/>
      <c r="J628" s="442"/>
      <c r="K628" s="442"/>
      <c r="L628" s="439"/>
      <c r="M628" s="439"/>
      <c r="N628" s="443"/>
    </row>
    <row r="629" spans="2:14">
      <c r="B629" s="444"/>
      <c r="F629" s="439"/>
      <c r="G629" s="440"/>
      <c r="H629" s="439"/>
      <c r="I629" s="441"/>
      <c r="J629" s="442"/>
      <c r="K629" s="442"/>
      <c r="L629" s="439"/>
      <c r="M629" s="439"/>
      <c r="N629" s="443"/>
    </row>
    <row r="630" spans="2:14">
      <c r="B630" s="444"/>
      <c r="F630" s="439"/>
      <c r="G630" s="440"/>
      <c r="H630" s="439"/>
      <c r="I630" s="441"/>
      <c r="J630" s="442"/>
      <c r="K630" s="442"/>
      <c r="L630" s="439"/>
      <c r="M630" s="439"/>
      <c r="N630" s="443"/>
    </row>
    <row r="631" spans="2:14">
      <c r="B631" s="444"/>
      <c r="F631" s="439"/>
      <c r="G631" s="440"/>
      <c r="H631" s="439"/>
      <c r="I631" s="441"/>
      <c r="J631" s="442"/>
      <c r="K631" s="442"/>
      <c r="L631" s="439"/>
      <c r="M631" s="439"/>
      <c r="N631" s="443"/>
    </row>
    <row r="632" spans="2:14">
      <c r="B632" s="444"/>
      <c r="F632" s="439"/>
      <c r="G632" s="440"/>
      <c r="H632" s="439"/>
      <c r="I632" s="441"/>
      <c r="J632" s="442"/>
      <c r="K632" s="442"/>
      <c r="L632" s="439"/>
      <c r="M632" s="439"/>
      <c r="N632" s="443"/>
    </row>
    <row r="633" spans="2:14">
      <c r="B633" s="444"/>
      <c r="F633" s="439"/>
      <c r="G633" s="440"/>
      <c r="H633" s="439"/>
      <c r="I633" s="441"/>
      <c r="J633" s="442"/>
      <c r="K633" s="442"/>
      <c r="L633" s="439"/>
      <c r="M633" s="439"/>
      <c r="N633" s="443"/>
    </row>
    <row r="634" spans="2:14">
      <c r="B634" s="444"/>
      <c r="F634" s="439"/>
      <c r="G634" s="440"/>
      <c r="H634" s="439"/>
      <c r="I634" s="441"/>
      <c r="J634" s="442"/>
      <c r="K634" s="442"/>
      <c r="L634" s="439"/>
      <c r="M634" s="439"/>
      <c r="N634" s="443"/>
    </row>
    <row r="635" spans="2:14">
      <c r="B635" s="444"/>
      <c r="F635" s="439"/>
      <c r="G635" s="440"/>
      <c r="H635" s="439"/>
      <c r="I635" s="441"/>
      <c r="J635" s="442"/>
      <c r="K635" s="442"/>
      <c r="L635" s="439"/>
      <c r="M635" s="439"/>
      <c r="N635" s="443"/>
    </row>
    <row r="636" spans="2:14">
      <c r="B636" s="444"/>
      <c r="F636" s="439"/>
      <c r="G636" s="440"/>
      <c r="H636" s="439"/>
      <c r="I636" s="441"/>
      <c r="J636" s="442"/>
      <c r="K636" s="442"/>
      <c r="L636" s="439"/>
      <c r="M636" s="439"/>
      <c r="N636" s="443"/>
    </row>
    <row r="637" spans="2:14">
      <c r="B637" s="444"/>
      <c r="F637" s="439"/>
      <c r="G637" s="440"/>
      <c r="H637" s="439"/>
      <c r="I637" s="441"/>
      <c r="J637" s="442"/>
      <c r="K637" s="442"/>
      <c r="L637" s="439"/>
      <c r="M637" s="439"/>
      <c r="N637" s="443"/>
    </row>
    <row r="638" spans="2:14">
      <c r="B638" s="444"/>
      <c r="F638" s="439"/>
      <c r="G638" s="440"/>
      <c r="H638" s="439"/>
      <c r="I638" s="441"/>
      <c r="J638" s="442"/>
      <c r="K638" s="442"/>
      <c r="L638" s="439"/>
      <c r="M638" s="439"/>
      <c r="N638" s="443"/>
    </row>
    <row r="639" spans="2:14">
      <c r="B639" s="444"/>
      <c r="F639" s="439"/>
      <c r="G639" s="440"/>
      <c r="H639" s="439"/>
      <c r="I639" s="441"/>
      <c r="J639" s="442"/>
      <c r="K639" s="442"/>
      <c r="L639" s="439"/>
      <c r="M639" s="439"/>
      <c r="N639" s="443"/>
    </row>
    <row r="640" spans="2:14">
      <c r="B640" s="444"/>
      <c r="F640" s="439"/>
      <c r="G640" s="440"/>
      <c r="H640" s="439"/>
      <c r="I640" s="441"/>
      <c r="J640" s="442"/>
      <c r="K640" s="442"/>
      <c r="L640" s="439"/>
      <c r="M640" s="439"/>
      <c r="N640" s="443"/>
    </row>
    <row r="641" spans="2:14">
      <c r="B641" s="444"/>
      <c r="F641" s="439"/>
      <c r="G641" s="440"/>
      <c r="H641" s="439"/>
      <c r="I641" s="441"/>
      <c r="J641" s="442"/>
      <c r="K641" s="442"/>
      <c r="L641" s="439"/>
      <c r="M641" s="439"/>
      <c r="N641" s="443"/>
    </row>
    <row r="642" spans="2:14">
      <c r="B642" s="444"/>
      <c r="F642" s="439"/>
      <c r="G642" s="440"/>
      <c r="H642" s="439"/>
      <c r="I642" s="441"/>
      <c r="J642" s="442"/>
      <c r="K642" s="442"/>
      <c r="L642" s="439"/>
      <c r="M642" s="439"/>
      <c r="N642" s="443"/>
    </row>
    <row r="643" spans="2:14">
      <c r="B643" s="444"/>
      <c r="F643" s="439"/>
      <c r="G643" s="440"/>
      <c r="H643" s="439"/>
      <c r="I643" s="442"/>
      <c r="J643" s="442"/>
      <c r="K643" s="442"/>
      <c r="L643" s="439"/>
      <c r="M643" s="439"/>
      <c r="N643" s="443"/>
    </row>
    <row r="644" spans="2:14">
      <c r="B644" s="444"/>
      <c r="F644" s="439"/>
      <c r="G644" s="440"/>
      <c r="H644" s="439"/>
      <c r="I644" s="442"/>
      <c r="J644" s="442"/>
      <c r="K644" s="442"/>
      <c r="L644" s="439"/>
      <c r="M644" s="439"/>
      <c r="N644" s="443"/>
    </row>
    <row r="645" spans="2:14">
      <c r="B645" s="444"/>
      <c r="F645" s="439"/>
      <c r="G645" s="440"/>
      <c r="H645" s="439"/>
      <c r="I645" s="442"/>
      <c r="J645" s="442"/>
      <c r="K645" s="442"/>
      <c r="L645" s="439"/>
      <c r="M645" s="439"/>
      <c r="N645" s="443"/>
    </row>
    <row r="646" spans="2:14">
      <c r="B646" s="444"/>
      <c r="F646" s="439"/>
      <c r="G646" s="440"/>
      <c r="H646" s="439"/>
      <c r="I646" s="442"/>
      <c r="J646" s="442"/>
      <c r="K646" s="442"/>
      <c r="L646" s="439"/>
      <c r="M646" s="439"/>
      <c r="N646" s="443"/>
    </row>
    <row r="647" spans="2:14">
      <c r="B647" s="444"/>
      <c r="F647" s="439"/>
      <c r="G647" s="440"/>
      <c r="H647" s="439"/>
      <c r="I647" s="442"/>
      <c r="J647" s="442"/>
      <c r="K647" s="442"/>
      <c r="L647" s="439"/>
      <c r="M647" s="439"/>
      <c r="N647" s="443"/>
    </row>
    <row r="648" spans="2:14">
      <c r="B648" s="444"/>
      <c r="F648" s="439"/>
      <c r="G648" s="440"/>
      <c r="H648" s="439"/>
      <c r="I648" s="442"/>
      <c r="J648" s="442"/>
      <c r="K648" s="442"/>
      <c r="L648" s="439"/>
      <c r="M648" s="439"/>
      <c r="N648" s="443"/>
    </row>
    <row r="649" spans="2:14">
      <c r="B649" s="444"/>
      <c r="F649" s="439"/>
      <c r="G649" s="440"/>
      <c r="H649" s="439"/>
      <c r="I649" s="442"/>
      <c r="J649" s="442"/>
      <c r="K649" s="442"/>
      <c r="L649" s="439"/>
      <c r="M649" s="439"/>
      <c r="N649" s="443"/>
    </row>
    <row r="650" spans="2:14">
      <c r="B650" s="444"/>
      <c r="F650" s="439"/>
      <c r="G650" s="440"/>
      <c r="H650" s="439"/>
      <c r="I650" s="442"/>
      <c r="J650" s="442"/>
      <c r="K650" s="442"/>
      <c r="L650" s="439"/>
      <c r="M650" s="439"/>
      <c r="N650" s="443"/>
    </row>
    <row r="651" spans="2:14">
      <c r="B651" s="444"/>
      <c r="F651" s="439"/>
      <c r="G651" s="440"/>
      <c r="H651" s="439"/>
      <c r="I651" s="442"/>
      <c r="J651" s="442"/>
      <c r="K651" s="442"/>
      <c r="L651" s="439"/>
      <c r="M651" s="439"/>
      <c r="N651" s="443"/>
    </row>
    <row r="652" spans="2:14">
      <c r="B652" s="444"/>
      <c r="F652" s="439"/>
      <c r="G652" s="440"/>
      <c r="H652" s="439"/>
      <c r="I652" s="442"/>
      <c r="J652" s="442"/>
      <c r="K652" s="442"/>
      <c r="L652" s="439"/>
      <c r="M652" s="439"/>
      <c r="N652" s="443"/>
    </row>
    <row r="653" spans="2:14">
      <c r="B653" s="444"/>
      <c r="F653" s="439"/>
      <c r="G653" s="440"/>
      <c r="H653" s="439"/>
      <c r="I653" s="442"/>
      <c r="J653" s="442"/>
      <c r="K653" s="442"/>
      <c r="L653" s="439"/>
      <c r="M653" s="439"/>
      <c r="N653" s="443"/>
    </row>
    <row r="654" spans="2:14">
      <c r="B654" s="444"/>
      <c r="F654" s="439"/>
      <c r="G654" s="440"/>
      <c r="H654" s="439"/>
      <c r="I654" s="442"/>
      <c r="J654" s="442"/>
      <c r="K654" s="442"/>
      <c r="L654" s="439"/>
      <c r="M654" s="439"/>
      <c r="N654" s="443"/>
    </row>
    <row r="655" spans="2:14">
      <c r="B655" s="444"/>
      <c r="F655" s="439"/>
      <c r="G655" s="440"/>
      <c r="H655" s="439"/>
      <c r="I655" s="442"/>
      <c r="J655" s="442"/>
      <c r="K655" s="442"/>
      <c r="L655" s="439"/>
      <c r="M655" s="439"/>
      <c r="N655" s="443"/>
    </row>
    <row r="656" spans="2:14">
      <c r="B656" s="444"/>
      <c r="F656" s="439"/>
      <c r="G656" s="440"/>
      <c r="H656" s="439"/>
      <c r="I656" s="442"/>
      <c r="J656" s="442"/>
      <c r="K656" s="442"/>
      <c r="L656" s="439"/>
      <c r="M656" s="439"/>
      <c r="N656" s="443"/>
    </row>
    <row r="657" spans="2:14">
      <c r="B657" s="444"/>
      <c r="F657" s="439"/>
      <c r="G657" s="440"/>
      <c r="H657" s="439"/>
      <c r="I657" s="442"/>
      <c r="J657" s="442"/>
      <c r="K657" s="442"/>
      <c r="L657" s="439"/>
      <c r="M657" s="439"/>
      <c r="N657" s="443"/>
    </row>
    <row r="658" spans="2:14">
      <c r="B658" s="444"/>
      <c r="F658" s="439"/>
      <c r="G658" s="440"/>
      <c r="H658" s="439"/>
      <c r="I658" s="442"/>
      <c r="J658" s="442"/>
      <c r="K658" s="442"/>
      <c r="L658" s="439"/>
      <c r="M658" s="439"/>
      <c r="N658" s="443"/>
    </row>
    <row r="659" spans="2:14">
      <c r="B659" s="444"/>
      <c r="F659" s="439"/>
      <c r="G659" s="440"/>
      <c r="H659" s="439"/>
      <c r="I659" s="442"/>
      <c r="J659" s="442"/>
      <c r="K659" s="442"/>
      <c r="L659" s="439"/>
      <c r="M659" s="439"/>
      <c r="N659" s="443"/>
    </row>
    <row r="660" spans="2:14">
      <c r="B660" s="444"/>
      <c r="F660" s="439"/>
      <c r="G660" s="440"/>
      <c r="H660" s="439"/>
      <c r="I660" s="442"/>
      <c r="J660" s="442"/>
      <c r="K660" s="442"/>
      <c r="L660" s="439"/>
      <c r="M660" s="439"/>
      <c r="N660" s="443"/>
    </row>
    <row r="661" spans="2:14">
      <c r="B661" s="444"/>
      <c r="F661" s="439"/>
      <c r="G661" s="440"/>
      <c r="H661" s="439"/>
      <c r="I661" s="442"/>
      <c r="J661" s="442"/>
      <c r="K661" s="442"/>
      <c r="L661" s="439"/>
      <c r="M661" s="439"/>
      <c r="N661" s="443"/>
    </row>
    <row r="662" spans="2:14">
      <c r="B662" s="444"/>
      <c r="F662" s="439"/>
      <c r="G662" s="440"/>
      <c r="H662" s="439"/>
      <c r="I662" s="442"/>
      <c r="J662" s="442"/>
      <c r="K662" s="442"/>
      <c r="L662" s="439"/>
      <c r="M662" s="439"/>
      <c r="N662" s="443"/>
    </row>
    <row r="663" spans="2:14">
      <c r="B663" s="444"/>
      <c r="F663" s="439"/>
      <c r="G663" s="440"/>
      <c r="H663" s="439"/>
      <c r="I663" s="442"/>
      <c r="J663" s="442"/>
      <c r="K663" s="442"/>
      <c r="L663" s="439"/>
      <c r="M663" s="439"/>
      <c r="N663" s="443"/>
    </row>
    <row r="664" spans="2:14">
      <c r="B664" s="444"/>
      <c r="F664" s="439"/>
      <c r="G664" s="440"/>
      <c r="H664" s="439"/>
      <c r="I664" s="442"/>
      <c r="J664" s="442"/>
      <c r="K664" s="442"/>
      <c r="L664" s="439"/>
      <c r="M664" s="439"/>
      <c r="N664" s="443"/>
    </row>
    <row r="665" spans="2:14">
      <c r="B665" s="444"/>
      <c r="F665" s="439"/>
      <c r="G665" s="440"/>
      <c r="H665" s="439"/>
      <c r="I665" s="442"/>
      <c r="J665" s="442"/>
      <c r="K665" s="442"/>
      <c r="L665" s="439"/>
      <c r="M665" s="439"/>
      <c r="N665" s="443"/>
    </row>
    <row r="666" spans="2:14">
      <c r="B666" s="444"/>
      <c r="F666" s="439"/>
      <c r="G666" s="440"/>
      <c r="H666" s="439"/>
      <c r="I666" s="442"/>
      <c r="J666" s="442"/>
      <c r="K666" s="442"/>
      <c r="L666" s="439"/>
      <c r="M666" s="439"/>
      <c r="N666" s="443"/>
    </row>
    <row r="667" spans="2:14">
      <c r="B667" s="444"/>
      <c r="F667" s="439"/>
      <c r="G667" s="440"/>
      <c r="H667" s="439"/>
      <c r="I667" s="442"/>
      <c r="J667" s="442"/>
      <c r="K667" s="442"/>
      <c r="L667" s="439"/>
      <c r="M667" s="439"/>
      <c r="N667" s="443"/>
    </row>
    <row r="668" spans="2:14">
      <c r="B668" s="444"/>
      <c r="F668" s="439"/>
      <c r="G668" s="440"/>
      <c r="H668" s="439"/>
      <c r="I668" s="442"/>
      <c r="J668" s="442"/>
      <c r="K668" s="442"/>
      <c r="L668" s="439"/>
      <c r="M668" s="439"/>
      <c r="N668" s="443"/>
    </row>
    <row r="669" spans="2:14">
      <c r="B669" s="444"/>
      <c r="F669" s="439"/>
      <c r="G669" s="440"/>
      <c r="H669" s="439"/>
      <c r="I669" s="442"/>
      <c r="J669" s="442"/>
      <c r="K669" s="442"/>
      <c r="L669" s="439"/>
      <c r="M669" s="439"/>
      <c r="N669" s="443"/>
    </row>
    <row r="670" spans="2:14">
      <c r="B670" s="444"/>
      <c r="F670" s="439"/>
      <c r="G670" s="440"/>
      <c r="H670" s="439"/>
      <c r="I670" s="442"/>
      <c r="J670" s="442"/>
      <c r="K670" s="442"/>
      <c r="L670" s="439"/>
      <c r="M670" s="439"/>
      <c r="N670" s="443"/>
    </row>
    <row r="671" spans="2:14">
      <c r="B671" s="444"/>
      <c r="F671" s="439"/>
      <c r="G671" s="440"/>
      <c r="H671" s="439"/>
      <c r="I671" s="442"/>
      <c r="J671" s="442"/>
      <c r="K671" s="442"/>
      <c r="L671" s="439"/>
      <c r="M671" s="439"/>
      <c r="N671" s="443"/>
    </row>
    <row r="672" spans="2:14">
      <c r="B672" s="444"/>
      <c r="F672" s="439"/>
      <c r="G672" s="440"/>
      <c r="H672" s="439"/>
      <c r="I672" s="442"/>
      <c r="J672" s="442"/>
      <c r="K672" s="442"/>
      <c r="L672" s="439"/>
      <c r="M672" s="439"/>
      <c r="N672" s="443"/>
    </row>
    <row r="673" spans="2:14">
      <c r="B673" s="444"/>
      <c r="F673" s="439"/>
      <c r="G673" s="440"/>
      <c r="H673" s="439"/>
      <c r="I673" s="442"/>
      <c r="J673" s="442"/>
      <c r="K673" s="442"/>
      <c r="L673" s="439"/>
      <c r="M673" s="439"/>
      <c r="N673" s="443"/>
    </row>
    <row r="674" spans="2:14">
      <c r="B674" s="444"/>
      <c r="F674" s="439"/>
      <c r="G674" s="440"/>
      <c r="H674" s="439"/>
      <c r="I674" s="442"/>
      <c r="J674" s="442"/>
      <c r="K674" s="442"/>
      <c r="L674" s="439"/>
      <c r="M674" s="439"/>
      <c r="N674" s="443"/>
    </row>
    <row r="675" spans="2:14">
      <c r="B675" s="444"/>
      <c r="F675" s="439"/>
      <c r="G675" s="440"/>
      <c r="H675" s="439"/>
      <c r="I675" s="442"/>
      <c r="J675" s="442"/>
      <c r="K675" s="442"/>
      <c r="L675" s="439"/>
      <c r="M675" s="439"/>
      <c r="N675" s="443"/>
    </row>
    <row r="676" spans="2:14">
      <c r="B676" s="444"/>
      <c r="F676" s="439"/>
      <c r="G676" s="440"/>
      <c r="H676" s="439"/>
      <c r="I676" s="442"/>
      <c r="J676" s="442"/>
      <c r="K676" s="442"/>
      <c r="L676" s="439"/>
      <c r="M676" s="439"/>
      <c r="N676" s="443"/>
    </row>
    <row r="677" spans="2:14">
      <c r="B677" s="444"/>
      <c r="F677" s="439"/>
      <c r="G677" s="440"/>
      <c r="H677" s="439"/>
      <c r="I677" s="442"/>
      <c r="J677" s="442"/>
      <c r="K677" s="442"/>
      <c r="L677" s="439"/>
      <c r="M677" s="439"/>
      <c r="N677" s="443"/>
    </row>
    <row r="678" spans="2:14">
      <c r="B678" s="444"/>
      <c r="F678" s="439"/>
      <c r="G678" s="440"/>
      <c r="H678" s="439"/>
      <c r="I678" s="442"/>
      <c r="J678" s="442"/>
      <c r="K678" s="442"/>
      <c r="L678" s="439"/>
      <c r="M678" s="439"/>
      <c r="N678" s="443"/>
    </row>
    <row r="679" spans="2:14">
      <c r="B679" s="444"/>
      <c r="F679" s="439"/>
      <c r="G679" s="440"/>
      <c r="H679" s="439"/>
      <c r="I679" s="442"/>
      <c r="J679" s="442"/>
      <c r="K679" s="442"/>
      <c r="L679" s="439"/>
      <c r="M679" s="439"/>
      <c r="N679" s="443"/>
    </row>
    <row r="680" spans="2:14">
      <c r="B680" s="444"/>
      <c r="F680" s="439"/>
      <c r="G680" s="440"/>
      <c r="H680" s="439"/>
      <c r="I680" s="442"/>
      <c r="J680" s="442"/>
      <c r="K680" s="442"/>
      <c r="L680" s="439"/>
      <c r="M680" s="439"/>
      <c r="N680" s="443"/>
    </row>
    <row r="681" spans="2:14">
      <c r="B681" s="444"/>
      <c r="F681" s="439"/>
      <c r="G681" s="440"/>
      <c r="H681" s="439"/>
      <c r="I681" s="442"/>
      <c r="J681" s="442"/>
      <c r="K681" s="442"/>
      <c r="L681" s="439"/>
      <c r="M681" s="439"/>
      <c r="N681" s="443"/>
    </row>
    <row r="682" spans="2:14">
      <c r="B682" s="444"/>
      <c r="F682" s="439"/>
      <c r="G682" s="440"/>
      <c r="H682" s="439"/>
      <c r="I682" s="442"/>
      <c r="J682" s="442"/>
      <c r="K682" s="442"/>
      <c r="L682" s="439"/>
      <c r="M682" s="439"/>
      <c r="N682" s="443"/>
    </row>
    <row r="683" spans="2:14">
      <c r="B683" s="444"/>
      <c r="F683" s="439"/>
      <c r="G683" s="440"/>
      <c r="H683" s="439"/>
      <c r="I683" s="442"/>
      <c r="J683" s="442"/>
      <c r="K683" s="442"/>
      <c r="L683" s="439"/>
      <c r="M683" s="439"/>
      <c r="N683" s="443"/>
    </row>
    <row r="684" spans="2:14">
      <c r="B684" s="444"/>
      <c r="F684" s="439"/>
      <c r="G684" s="440"/>
      <c r="H684" s="439"/>
      <c r="I684" s="442"/>
      <c r="J684" s="442"/>
      <c r="K684" s="442"/>
      <c r="L684" s="439"/>
      <c r="M684" s="439"/>
      <c r="N684" s="443"/>
    </row>
    <row r="685" spans="2:14">
      <c r="B685" s="444"/>
      <c r="F685" s="439"/>
      <c r="G685" s="440"/>
      <c r="H685" s="439"/>
      <c r="I685" s="442"/>
      <c r="J685" s="442"/>
      <c r="K685" s="442"/>
      <c r="L685" s="439"/>
      <c r="M685" s="439"/>
      <c r="N685" s="443"/>
    </row>
    <row r="686" spans="2:14">
      <c r="B686" s="444"/>
      <c r="F686" s="439"/>
      <c r="G686" s="440"/>
      <c r="H686" s="439"/>
      <c r="I686" s="442"/>
      <c r="J686" s="442"/>
      <c r="K686" s="442"/>
      <c r="L686" s="439"/>
      <c r="M686" s="439"/>
      <c r="N686" s="443"/>
    </row>
    <row r="687" spans="2:14">
      <c r="B687" s="444"/>
      <c r="F687" s="439"/>
      <c r="G687" s="440"/>
      <c r="H687" s="439"/>
      <c r="I687" s="442"/>
      <c r="J687" s="442"/>
      <c r="K687" s="442"/>
      <c r="L687" s="439"/>
      <c r="M687" s="439"/>
      <c r="N687" s="443"/>
    </row>
    <row r="688" spans="2:14">
      <c r="B688" s="444"/>
      <c r="F688" s="439"/>
      <c r="G688" s="440"/>
      <c r="H688" s="439"/>
      <c r="I688" s="441"/>
      <c r="J688" s="442"/>
      <c r="K688" s="442"/>
      <c r="L688" s="439"/>
      <c r="M688" s="439"/>
      <c r="N688" s="443"/>
    </row>
    <row r="689" spans="2:14">
      <c r="B689" s="444"/>
      <c r="F689" s="439"/>
      <c r="G689" s="440"/>
      <c r="H689" s="439"/>
      <c r="I689" s="442"/>
      <c r="J689" s="442"/>
      <c r="K689" s="442"/>
      <c r="L689" s="439"/>
      <c r="M689" s="439"/>
      <c r="N689" s="443"/>
    </row>
    <row r="690" spans="2:14">
      <c r="B690" s="444"/>
      <c r="F690" s="439"/>
      <c r="G690" s="440"/>
      <c r="H690" s="439"/>
      <c r="I690" s="442"/>
      <c r="J690" s="442"/>
      <c r="K690" s="442"/>
      <c r="L690" s="439"/>
      <c r="M690" s="439"/>
      <c r="N690" s="443"/>
    </row>
    <row r="691" spans="2:14">
      <c r="B691" s="444"/>
      <c r="F691" s="439"/>
      <c r="G691" s="440"/>
      <c r="H691" s="439"/>
      <c r="I691" s="442"/>
      <c r="J691" s="442"/>
      <c r="K691" s="442"/>
      <c r="L691" s="439"/>
      <c r="M691" s="439"/>
      <c r="N691" s="443"/>
    </row>
    <row r="692" spans="2:14">
      <c r="B692" s="444"/>
      <c r="F692" s="439"/>
      <c r="G692" s="440"/>
      <c r="H692" s="439"/>
      <c r="I692" s="442"/>
      <c r="J692" s="442"/>
      <c r="K692" s="442"/>
      <c r="L692" s="439"/>
      <c r="M692" s="439"/>
      <c r="N692" s="443"/>
    </row>
    <row r="693" spans="2:14">
      <c r="B693" s="444"/>
      <c r="F693" s="439"/>
      <c r="G693" s="440"/>
      <c r="H693" s="439"/>
      <c r="I693" s="442"/>
      <c r="J693" s="442"/>
      <c r="K693" s="442"/>
      <c r="L693" s="439"/>
      <c r="M693" s="439"/>
      <c r="N693" s="443"/>
    </row>
    <row r="694" spans="2:14">
      <c r="B694" s="444"/>
      <c r="F694" s="439"/>
      <c r="G694" s="440"/>
      <c r="H694" s="439"/>
      <c r="I694" s="442"/>
      <c r="J694" s="442"/>
      <c r="K694" s="442"/>
      <c r="L694" s="439"/>
      <c r="M694" s="439"/>
      <c r="N694" s="443"/>
    </row>
    <row r="695" spans="2:14">
      <c r="B695" s="444"/>
      <c r="F695" s="439"/>
      <c r="G695" s="440"/>
      <c r="H695" s="439"/>
      <c r="I695" s="442"/>
      <c r="J695" s="442"/>
      <c r="K695" s="442"/>
      <c r="L695" s="439"/>
      <c r="M695" s="439"/>
      <c r="N695" s="443"/>
    </row>
    <row r="696" spans="2:14">
      <c r="B696" s="444"/>
      <c r="F696" s="439"/>
      <c r="G696" s="440"/>
      <c r="H696" s="439"/>
      <c r="I696" s="442"/>
      <c r="J696" s="442"/>
      <c r="K696" s="442"/>
      <c r="L696" s="439"/>
      <c r="M696" s="439"/>
      <c r="N696" s="443"/>
    </row>
    <row r="697" spans="2:14">
      <c r="B697" s="444"/>
      <c r="F697" s="439"/>
      <c r="G697" s="440"/>
      <c r="H697" s="439"/>
      <c r="I697" s="442"/>
      <c r="J697" s="442"/>
      <c r="K697" s="442"/>
      <c r="L697" s="439"/>
      <c r="M697" s="439"/>
      <c r="N697" s="443"/>
    </row>
    <row r="698" spans="2:14">
      <c r="B698" s="444"/>
      <c r="F698" s="439"/>
      <c r="G698" s="440"/>
      <c r="H698" s="439"/>
      <c r="I698" s="442"/>
      <c r="J698" s="442"/>
      <c r="K698" s="442"/>
      <c r="L698" s="439"/>
      <c r="M698" s="439"/>
      <c r="N698" s="443"/>
    </row>
    <row r="699" spans="2:14">
      <c r="B699" s="444"/>
      <c r="F699" s="439"/>
      <c r="G699" s="440"/>
      <c r="H699" s="439"/>
      <c r="I699" s="442"/>
      <c r="J699" s="442"/>
      <c r="K699" s="442"/>
      <c r="L699" s="439"/>
      <c r="M699" s="439"/>
      <c r="N699" s="443"/>
    </row>
    <row r="700" spans="2:14">
      <c r="B700" s="444"/>
      <c r="F700" s="439"/>
      <c r="G700" s="440"/>
      <c r="H700" s="439"/>
      <c r="I700" s="442"/>
      <c r="J700" s="442"/>
      <c r="K700" s="442"/>
      <c r="L700" s="439"/>
      <c r="M700" s="439"/>
      <c r="N700" s="443"/>
    </row>
    <row r="701" spans="2:14">
      <c r="B701" s="444"/>
      <c r="F701" s="439"/>
      <c r="G701" s="440"/>
      <c r="H701" s="439"/>
      <c r="I701" s="442"/>
      <c r="J701" s="442"/>
      <c r="K701" s="442"/>
      <c r="L701" s="439"/>
      <c r="M701" s="439"/>
      <c r="N701" s="443"/>
    </row>
    <row r="702" spans="2:14">
      <c r="B702" s="444"/>
      <c r="F702" s="439"/>
      <c r="G702" s="440"/>
      <c r="H702" s="439"/>
      <c r="I702" s="442"/>
      <c r="J702" s="442"/>
      <c r="K702" s="442"/>
      <c r="L702" s="439"/>
      <c r="M702" s="439"/>
      <c r="N702" s="443"/>
    </row>
    <row r="703" spans="2:14">
      <c r="B703" s="444"/>
      <c r="F703" s="439"/>
      <c r="G703" s="440"/>
      <c r="H703" s="439"/>
      <c r="I703" s="442"/>
      <c r="J703" s="442"/>
      <c r="K703" s="442"/>
      <c r="L703" s="439"/>
      <c r="M703" s="439"/>
      <c r="N703" s="443"/>
    </row>
    <row r="704" spans="2:14">
      <c r="B704" s="444"/>
      <c r="F704" s="439"/>
      <c r="G704" s="440"/>
      <c r="H704" s="439"/>
      <c r="I704" s="442"/>
      <c r="J704" s="442"/>
      <c r="K704" s="442"/>
      <c r="L704" s="439"/>
      <c r="M704" s="439"/>
      <c r="N704" s="443"/>
    </row>
    <row r="705" spans="2:14">
      <c r="B705" s="444"/>
      <c r="F705" s="439"/>
      <c r="G705" s="440"/>
      <c r="H705" s="439"/>
      <c r="I705" s="442"/>
      <c r="J705" s="442"/>
      <c r="K705" s="442"/>
      <c r="L705" s="439"/>
      <c r="M705" s="439"/>
      <c r="N705" s="443"/>
    </row>
    <row r="706" spans="2:14">
      <c r="B706" s="444"/>
      <c r="F706" s="439"/>
      <c r="G706" s="440"/>
      <c r="H706" s="439"/>
      <c r="I706" s="442"/>
      <c r="J706" s="442"/>
      <c r="K706" s="442"/>
      <c r="L706" s="439"/>
      <c r="M706" s="439"/>
      <c r="N706" s="443"/>
    </row>
    <row r="707" spans="2:14">
      <c r="B707" s="444"/>
      <c r="F707" s="439"/>
      <c r="G707" s="440"/>
      <c r="H707" s="439"/>
      <c r="I707" s="442"/>
      <c r="J707" s="442"/>
      <c r="K707" s="442"/>
      <c r="L707" s="439"/>
      <c r="M707" s="439"/>
      <c r="N707" s="443"/>
    </row>
    <row r="708" spans="2:14">
      <c r="B708" s="444"/>
      <c r="F708" s="439"/>
      <c r="G708" s="440"/>
      <c r="H708" s="439"/>
      <c r="I708" s="442"/>
      <c r="J708" s="442"/>
      <c r="K708" s="442"/>
      <c r="L708" s="439"/>
      <c r="M708" s="439"/>
      <c r="N708" s="443"/>
    </row>
    <row r="709" spans="2:14">
      <c r="B709" s="444"/>
      <c r="F709" s="439"/>
      <c r="G709" s="440"/>
      <c r="H709" s="439"/>
      <c r="I709" s="442"/>
      <c r="J709" s="442"/>
      <c r="K709" s="442"/>
      <c r="L709" s="439"/>
      <c r="M709" s="439"/>
      <c r="N709" s="443"/>
    </row>
    <row r="710" spans="2:14">
      <c r="B710" s="444"/>
      <c r="F710" s="439"/>
      <c r="G710" s="440"/>
      <c r="H710" s="439"/>
      <c r="I710" s="442"/>
      <c r="J710" s="442"/>
      <c r="K710" s="442"/>
      <c r="L710" s="439"/>
      <c r="M710" s="439"/>
      <c r="N710" s="443"/>
    </row>
    <row r="711" spans="2:14">
      <c r="B711" s="444"/>
      <c r="F711" s="439"/>
      <c r="G711" s="440"/>
      <c r="H711" s="439"/>
      <c r="I711" s="442"/>
      <c r="J711" s="442"/>
      <c r="K711" s="442"/>
      <c r="L711" s="439"/>
      <c r="M711" s="439"/>
      <c r="N711" s="443"/>
    </row>
    <row r="712" spans="2:14">
      <c r="B712" s="444"/>
      <c r="F712" s="439"/>
      <c r="G712" s="440"/>
      <c r="H712" s="439"/>
      <c r="I712" s="442"/>
      <c r="J712" s="442"/>
      <c r="K712" s="442"/>
      <c r="L712" s="439"/>
      <c r="M712" s="439"/>
      <c r="N712" s="443"/>
    </row>
    <row r="713" spans="2:14">
      <c r="B713" s="444"/>
      <c r="F713" s="439"/>
      <c r="G713" s="440"/>
      <c r="H713" s="439"/>
      <c r="I713" s="442"/>
      <c r="J713" s="442"/>
      <c r="K713" s="442"/>
      <c r="L713" s="439"/>
      <c r="M713" s="439"/>
      <c r="N713" s="443"/>
    </row>
    <row r="714" spans="2:14">
      <c r="B714" s="444"/>
      <c r="F714" s="439"/>
      <c r="G714" s="440"/>
      <c r="H714" s="439"/>
      <c r="I714" s="442"/>
      <c r="J714" s="442"/>
      <c r="K714" s="442"/>
      <c r="L714" s="439"/>
      <c r="M714" s="439"/>
      <c r="N714" s="443"/>
    </row>
    <row r="715" spans="2:14">
      <c r="B715" s="444"/>
      <c r="F715" s="439"/>
      <c r="G715" s="440"/>
      <c r="H715" s="439"/>
      <c r="I715" s="442"/>
      <c r="J715" s="442"/>
      <c r="K715" s="442"/>
      <c r="L715" s="439"/>
      <c r="M715" s="439"/>
      <c r="N715" s="443"/>
    </row>
    <row r="716" spans="2:14">
      <c r="B716" s="444"/>
      <c r="F716" s="439"/>
      <c r="G716" s="440"/>
      <c r="H716" s="439"/>
      <c r="I716" s="442"/>
      <c r="J716" s="442"/>
      <c r="K716" s="442"/>
      <c r="L716" s="439"/>
      <c r="M716" s="439"/>
      <c r="N716" s="443"/>
    </row>
    <row r="717" spans="2:14">
      <c r="B717" s="444"/>
      <c r="F717" s="439"/>
      <c r="G717" s="440"/>
      <c r="H717" s="439"/>
      <c r="I717" s="442"/>
      <c r="J717" s="442"/>
      <c r="K717" s="442"/>
      <c r="L717" s="439"/>
      <c r="M717" s="439"/>
      <c r="N717" s="443"/>
    </row>
    <row r="718" spans="2:14">
      <c r="B718" s="444"/>
      <c r="F718" s="439"/>
      <c r="G718" s="440"/>
      <c r="H718" s="439"/>
      <c r="I718" s="442"/>
      <c r="J718" s="442"/>
      <c r="K718" s="442"/>
      <c r="L718" s="439"/>
      <c r="M718" s="439"/>
      <c r="N718" s="443"/>
    </row>
    <row r="719" spans="2:14">
      <c r="B719" s="444"/>
      <c r="F719" s="439"/>
      <c r="G719" s="440"/>
      <c r="H719" s="439"/>
      <c r="I719" s="442"/>
      <c r="J719" s="442"/>
      <c r="K719" s="442"/>
      <c r="L719" s="439"/>
      <c r="M719" s="439"/>
      <c r="N719" s="443"/>
    </row>
    <row r="720" spans="2:14">
      <c r="B720" s="444"/>
      <c r="F720" s="439"/>
      <c r="G720" s="440"/>
      <c r="H720" s="439"/>
      <c r="I720" s="442"/>
      <c r="J720" s="442"/>
      <c r="K720" s="442"/>
      <c r="L720" s="439"/>
      <c r="M720" s="439"/>
      <c r="N720" s="443"/>
    </row>
    <row r="721" spans="2:14">
      <c r="B721" s="444"/>
      <c r="F721" s="439"/>
      <c r="G721" s="440"/>
      <c r="H721" s="439"/>
      <c r="I721" s="442"/>
      <c r="J721" s="442"/>
      <c r="K721" s="442"/>
      <c r="L721" s="439"/>
      <c r="M721" s="439"/>
      <c r="N721" s="443"/>
    </row>
    <row r="722" spans="2:14">
      <c r="B722" s="444"/>
      <c r="F722" s="439"/>
      <c r="G722" s="440"/>
      <c r="H722" s="439"/>
      <c r="I722" s="442"/>
      <c r="J722" s="442"/>
      <c r="K722" s="442"/>
      <c r="L722" s="439"/>
      <c r="M722" s="439"/>
      <c r="N722" s="443"/>
    </row>
    <row r="723" spans="2:14">
      <c r="B723" s="444"/>
      <c r="F723" s="439"/>
      <c r="G723" s="440"/>
      <c r="H723" s="439"/>
      <c r="I723" s="442"/>
      <c r="J723" s="442"/>
      <c r="K723" s="442"/>
      <c r="L723" s="439"/>
      <c r="M723" s="439"/>
      <c r="N723" s="443"/>
    </row>
    <row r="724" spans="2:14">
      <c r="B724" s="444"/>
      <c r="F724" s="439"/>
      <c r="G724" s="440"/>
      <c r="H724" s="439"/>
      <c r="I724" s="442"/>
      <c r="J724" s="442"/>
      <c r="K724" s="442"/>
      <c r="L724" s="439"/>
      <c r="M724" s="439"/>
      <c r="N724" s="443"/>
    </row>
    <row r="725" spans="2:14">
      <c r="B725" s="444"/>
      <c r="F725" s="439"/>
      <c r="G725" s="440"/>
      <c r="H725" s="439"/>
      <c r="I725" s="442"/>
      <c r="J725" s="442"/>
      <c r="K725" s="442"/>
      <c r="L725" s="439"/>
      <c r="M725" s="439"/>
      <c r="N725" s="443"/>
    </row>
    <row r="726" spans="2:14">
      <c r="B726" s="444"/>
      <c r="F726" s="439"/>
      <c r="G726" s="440"/>
      <c r="H726" s="439"/>
      <c r="I726" s="442"/>
      <c r="J726" s="442"/>
      <c r="K726" s="442"/>
      <c r="L726" s="439"/>
      <c r="M726" s="439"/>
      <c r="N726" s="443"/>
    </row>
    <row r="727" spans="2:14">
      <c r="B727" s="444"/>
      <c r="F727" s="439"/>
      <c r="G727" s="440"/>
      <c r="H727" s="439"/>
      <c r="I727" s="442"/>
      <c r="J727" s="442"/>
      <c r="K727" s="442"/>
      <c r="L727" s="439"/>
      <c r="M727" s="439"/>
      <c r="N727" s="443"/>
    </row>
    <row r="728" spans="2:14">
      <c r="B728" s="444"/>
      <c r="F728" s="439"/>
      <c r="G728" s="440"/>
      <c r="H728" s="439"/>
      <c r="I728" s="442"/>
      <c r="J728" s="442"/>
      <c r="K728" s="442"/>
      <c r="L728" s="439"/>
      <c r="M728" s="439"/>
      <c r="N728" s="443"/>
    </row>
    <row r="729" spans="2:14">
      <c r="B729" s="444"/>
      <c r="F729" s="439"/>
      <c r="G729" s="440"/>
      <c r="H729" s="439"/>
      <c r="I729" s="442"/>
      <c r="J729" s="442"/>
      <c r="K729" s="442"/>
      <c r="L729" s="439"/>
      <c r="M729" s="439"/>
      <c r="N729" s="443"/>
    </row>
    <row r="730" spans="2:14">
      <c r="B730" s="444"/>
      <c r="F730" s="439"/>
      <c r="G730" s="440"/>
      <c r="H730" s="439"/>
      <c r="I730" s="442"/>
      <c r="J730" s="442"/>
      <c r="K730" s="442"/>
      <c r="L730" s="439"/>
      <c r="M730" s="439"/>
      <c r="N730" s="443"/>
    </row>
    <row r="731" spans="2:14">
      <c r="B731" s="444"/>
      <c r="F731" s="439"/>
      <c r="G731" s="440"/>
      <c r="H731" s="439"/>
      <c r="I731" s="442"/>
      <c r="J731" s="442"/>
      <c r="K731" s="442"/>
      <c r="L731" s="439"/>
      <c r="M731" s="439"/>
      <c r="N731" s="443"/>
    </row>
    <row r="732" spans="2:14">
      <c r="B732" s="444"/>
      <c r="F732" s="439"/>
      <c r="G732" s="440"/>
      <c r="H732" s="439"/>
      <c r="I732" s="442"/>
      <c r="J732" s="442"/>
      <c r="K732" s="442"/>
      <c r="L732" s="439"/>
      <c r="M732" s="439"/>
      <c r="N732" s="443"/>
    </row>
    <row r="733" spans="2:14">
      <c r="B733" s="444"/>
      <c r="F733" s="439"/>
      <c r="G733" s="440"/>
      <c r="H733" s="439"/>
      <c r="I733" s="442"/>
      <c r="J733" s="442"/>
      <c r="K733" s="442"/>
      <c r="L733" s="439"/>
      <c r="M733" s="439"/>
      <c r="N733" s="443"/>
    </row>
    <row r="734" spans="2:14">
      <c r="B734" s="444"/>
      <c r="F734" s="439"/>
      <c r="G734" s="440"/>
      <c r="H734" s="439"/>
      <c r="I734" s="442"/>
      <c r="J734" s="442"/>
      <c r="K734" s="442"/>
      <c r="L734" s="439"/>
      <c r="M734" s="439"/>
      <c r="N734" s="443"/>
    </row>
    <row r="735" spans="2:14">
      <c r="B735" s="444"/>
      <c r="F735" s="439"/>
      <c r="G735" s="440"/>
      <c r="H735" s="439"/>
      <c r="I735" s="442"/>
      <c r="J735" s="442"/>
      <c r="K735" s="442"/>
      <c r="L735" s="439"/>
      <c r="M735" s="439"/>
      <c r="N735" s="443"/>
    </row>
    <row r="736" spans="2:14">
      <c r="B736" s="444"/>
      <c r="F736" s="439"/>
      <c r="G736" s="440"/>
      <c r="H736" s="439"/>
      <c r="I736" s="442"/>
      <c r="J736" s="442"/>
      <c r="K736" s="442"/>
      <c r="L736" s="439"/>
      <c r="M736" s="439"/>
      <c r="N736" s="443"/>
    </row>
    <row r="737" spans="2:14">
      <c r="B737" s="444"/>
      <c r="F737" s="439"/>
      <c r="G737" s="440"/>
      <c r="H737" s="439"/>
      <c r="I737" s="442"/>
      <c r="J737" s="442"/>
      <c r="K737" s="442"/>
      <c r="L737" s="439"/>
      <c r="M737" s="439"/>
      <c r="N737" s="443"/>
    </row>
    <row r="738" spans="2:14">
      <c r="B738" s="444"/>
      <c r="F738" s="439"/>
      <c r="G738" s="440"/>
      <c r="H738" s="439"/>
      <c r="I738" s="442"/>
      <c r="J738" s="442"/>
      <c r="K738" s="442"/>
      <c r="L738" s="439"/>
      <c r="M738" s="439"/>
      <c r="N738" s="443"/>
    </row>
    <row r="739" spans="2:14">
      <c r="B739" s="444"/>
      <c r="F739" s="439"/>
      <c r="G739" s="440"/>
      <c r="H739" s="439"/>
      <c r="I739" s="442"/>
      <c r="J739" s="442"/>
      <c r="K739" s="442"/>
      <c r="L739" s="439"/>
      <c r="M739" s="439"/>
      <c r="N739" s="443"/>
    </row>
    <row r="740" spans="2:14">
      <c r="B740" s="444"/>
      <c r="F740" s="439"/>
      <c r="G740" s="440"/>
      <c r="H740" s="439"/>
      <c r="I740" s="442"/>
      <c r="J740" s="442"/>
      <c r="K740" s="442"/>
      <c r="L740" s="439"/>
      <c r="M740" s="439"/>
      <c r="N740" s="443"/>
    </row>
    <row r="741" spans="2:14">
      <c r="B741" s="444"/>
      <c r="F741" s="439"/>
      <c r="G741" s="440"/>
      <c r="H741" s="439"/>
      <c r="I741" s="442"/>
      <c r="J741" s="442"/>
      <c r="K741" s="442"/>
      <c r="L741" s="439"/>
      <c r="M741" s="439"/>
      <c r="N741" s="443"/>
    </row>
    <row r="742" spans="2:14">
      <c r="B742" s="444"/>
      <c r="F742" s="439"/>
      <c r="G742" s="440"/>
      <c r="H742" s="439"/>
      <c r="I742" s="442"/>
      <c r="J742" s="442"/>
      <c r="K742" s="442"/>
      <c r="L742" s="439"/>
      <c r="M742" s="439"/>
      <c r="N742" s="443"/>
    </row>
    <row r="743" spans="2:14">
      <c r="B743" s="444"/>
      <c r="F743" s="439"/>
      <c r="G743" s="440"/>
      <c r="H743" s="439"/>
      <c r="I743" s="442"/>
      <c r="J743" s="442"/>
      <c r="K743" s="442"/>
      <c r="L743" s="439"/>
      <c r="M743" s="439"/>
      <c r="N743" s="443"/>
    </row>
    <row r="744" spans="2:14">
      <c r="B744" s="444"/>
      <c r="F744" s="439"/>
      <c r="G744" s="440"/>
      <c r="H744" s="439"/>
      <c r="I744" s="442"/>
      <c r="J744" s="442"/>
      <c r="K744" s="442"/>
      <c r="L744" s="439"/>
      <c r="M744" s="439"/>
      <c r="N744" s="443"/>
    </row>
    <row r="745" spans="2:14">
      <c r="B745" s="444"/>
      <c r="F745" s="439"/>
      <c r="G745" s="440"/>
      <c r="H745" s="439"/>
      <c r="I745" s="442"/>
      <c r="J745" s="442"/>
      <c r="K745" s="442"/>
      <c r="L745" s="439"/>
      <c r="M745" s="439"/>
      <c r="N745" s="443"/>
    </row>
    <row r="746" spans="2:14">
      <c r="B746" s="444"/>
      <c r="F746" s="439"/>
      <c r="G746" s="440"/>
      <c r="H746" s="439"/>
      <c r="I746" s="442"/>
      <c r="J746" s="442"/>
      <c r="K746" s="442"/>
      <c r="L746" s="439"/>
      <c r="M746" s="439"/>
      <c r="N746" s="443"/>
    </row>
    <row r="747" spans="2:14">
      <c r="B747" s="444"/>
      <c r="F747" s="439"/>
      <c r="G747" s="440"/>
      <c r="H747" s="439"/>
      <c r="I747" s="442"/>
      <c r="J747" s="442"/>
      <c r="K747" s="442"/>
      <c r="L747" s="439"/>
      <c r="M747" s="439"/>
      <c r="N747" s="443"/>
    </row>
    <row r="748" spans="2:14">
      <c r="B748" s="444"/>
      <c r="F748" s="439"/>
      <c r="G748" s="440"/>
      <c r="H748" s="439"/>
      <c r="I748" s="442"/>
      <c r="J748" s="442"/>
      <c r="K748" s="442"/>
      <c r="L748" s="439"/>
      <c r="M748" s="439"/>
      <c r="N748" s="443"/>
    </row>
    <row r="749" spans="2:14">
      <c r="B749" s="444"/>
      <c r="F749" s="439"/>
      <c r="G749" s="440"/>
      <c r="H749" s="439"/>
      <c r="I749" s="442"/>
      <c r="J749" s="442"/>
      <c r="K749" s="442"/>
      <c r="L749" s="439"/>
      <c r="M749" s="439"/>
      <c r="N749" s="443"/>
    </row>
    <row r="750" spans="2:14">
      <c r="B750" s="444"/>
      <c r="F750" s="439"/>
      <c r="G750" s="440"/>
      <c r="H750" s="439"/>
      <c r="I750" s="441"/>
      <c r="J750" s="441"/>
      <c r="K750" s="441"/>
      <c r="L750" s="439"/>
      <c r="M750" s="439"/>
      <c r="N750" s="443"/>
    </row>
    <row r="751" spans="2:14">
      <c r="B751" s="444"/>
      <c r="F751" s="439"/>
      <c r="G751" s="440"/>
      <c r="H751" s="439"/>
      <c r="I751" s="442"/>
      <c r="J751" s="442"/>
      <c r="K751" s="442"/>
      <c r="L751" s="439"/>
      <c r="M751" s="439"/>
      <c r="N751" s="443"/>
    </row>
    <row r="752" spans="2:14">
      <c r="B752" s="444"/>
      <c r="F752" s="439"/>
      <c r="G752" s="440"/>
      <c r="H752" s="439"/>
      <c r="I752" s="442"/>
      <c r="J752" s="442"/>
      <c r="K752" s="441"/>
      <c r="L752" s="439"/>
      <c r="M752" s="439"/>
      <c r="N752" s="443"/>
    </row>
    <row r="753" spans="2:14">
      <c r="B753" s="444"/>
      <c r="F753" s="439"/>
      <c r="G753" s="440"/>
      <c r="H753" s="439"/>
      <c r="I753" s="442"/>
      <c r="J753" s="442"/>
      <c r="K753" s="441"/>
      <c r="L753" s="439"/>
      <c r="M753" s="439"/>
      <c r="N753" s="443"/>
    </row>
    <row r="754" spans="2:14">
      <c r="B754" s="444"/>
      <c r="F754" s="439"/>
      <c r="G754" s="440"/>
      <c r="H754" s="439"/>
      <c r="I754" s="442"/>
      <c r="J754" s="442"/>
      <c r="K754" s="441"/>
      <c r="L754" s="439"/>
      <c r="M754" s="439"/>
      <c r="N754" s="443"/>
    </row>
    <row r="755" spans="2:14">
      <c r="B755" s="444"/>
      <c r="F755" s="439"/>
      <c r="G755" s="440"/>
      <c r="H755" s="439"/>
      <c r="I755" s="442"/>
      <c r="J755" s="442"/>
      <c r="K755" s="441"/>
      <c r="L755" s="439"/>
      <c r="M755" s="439"/>
      <c r="N755" s="443"/>
    </row>
    <row r="756" spans="2:14">
      <c r="B756" s="444"/>
      <c r="F756" s="439"/>
      <c r="G756" s="440"/>
      <c r="H756" s="439"/>
      <c r="I756" s="442"/>
      <c r="J756" s="442"/>
      <c r="K756" s="441"/>
      <c r="L756" s="439"/>
      <c r="M756" s="439"/>
      <c r="N756" s="443"/>
    </row>
    <row r="757" spans="2:14">
      <c r="B757" s="444"/>
      <c r="F757" s="439"/>
      <c r="G757" s="440"/>
      <c r="H757" s="439"/>
      <c r="I757" s="442"/>
      <c r="J757" s="442"/>
      <c r="K757" s="441"/>
      <c r="L757" s="439"/>
      <c r="M757" s="439"/>
      <c r="N757" s="443"/>
    </row>
    <row r="758" spans="2:14">
      <c r="B758" s="444"/>
      <c r="F758" s="439"/>
      <c r="G758" s="440"/>
      <c r="H758" s="439"/>
      <c r="I758" s="442"/>
      <c r="J758" s="442"/>
      <c r="K758" s="441"/>
      <c r="L758" s="439"/>
      <c r="M758" s="439"/>
      <c r="N758" s="443"/>
    </row>
    <row r="759" spans="2:14">
      <c r="B759" s="444"/>
      <c r="F759" s="439"/>
      <c r="G759" s="440"/>
      <c r="H759" s="439"/>
      <c r="I759" s="442"/>
      <c r="J759" s="442"/>
      <c r="K759" s="441"/>
      <c r="L759" s="439"/>
      <c r="M759" s="439"/>
      <c r="N759" s="443"/>
    </row>
    <row r="760" spans="2:14">
      <c r="B760" s="444"/>
      <c r="F760" s="439"/>
      <c r="G760" s="440"/>
      <c r="H760" s="439"/>
      <c r="I760" s="442"/>
      <c r="J760" s="442"/>
      <c r="K760" s="441"/>
      <c r="L760" s="439"/>
      <c r="M760" s="439"/>
      <c r="N760" s="443"/>
    </row>
    <row r="761" spans="2:14">
      <c r="B761" s="444"/>
      <c r="F761" s="439"/>
      <c r="G761" s="440"/>
      <c r="H761" s="439"/>
      <c r="I761" s="442"/>
      <c r="J761" s="442"/>
      <c r="K761" s="441"/>
      <c r="L761" s="439"/>
      <c r="M761" s="439"/>
      <c r="N761" s="443"/>
    </row>
    <row r="762" spans="2:14">
      <c r="B762" s="444"/>
      <c r="F762" s="439"/>
      <c r="G762" s="440"/>
      <c r="H762" s="439"/>
      <c r="I762" s="442"/>
      <c r="J762" s="442"/>
      <c r="K762" s="441"/>
      <c r="L762" s="439"/>
      <c r="M762" s="439"/>
      <c r="N762" s="443"/>
    </row>
    <row r="763" spans="2:14">
      <c r="B763" s="444"/>
      <c r="F763" s="439"/>
      <c r="G763" s="440"/>
      <c r="H763" s="439"/>
      <c r="I763" s="442"/>
      <c r="J763" s="442"/>
      <c r="K763" s="442"/>
      <c r="L763" s="439"/>
      <c r="M763" s="439"/>
      <c r="N763" s="443"/>
    </row>
    <row r="764" spans="2:14">
      <c r="B764" s="444"/>
      <c r="F764" s="439"/>
      <c r="G764" s="440"/>
      <c r="H764" s="439"/>
      <c r="I764" s="442"/>
      <c r="J764" s="442"/>
      <c r="K764" s="442"/>
      <c r="L764" s="439"/>
      <c r="M764" s="439"/>
      <c r="N764" s="443"/>
    </row>
    <row r="765" spans="2:14">
      <c r="B765" s="444"/>
      <c r="F765" s="439"/>
      <c r="G765" s="440"/>
      <c r="H765" s="439"/>
      <c r="I765" s="442"/>
      <c r="J765" s="442"/>
      <c r="K765" s="442"/>
      <c r="L765" s="439"/>
      <c r="M765" s="439"/>
      <c r="N765" s="443"/>
    </row>
    <row r="766" spans="2:14">
      <c r="B766" s="444"/>
      <c r="F766" s="439"/>
      <c r="G766" s="440"/>
      <c r="H766" s="439"/>
      <c r="I766" s="442"/>
      <c r="J766" s="442"/>
      <c r="K766" s="442"/>
      <c r="L766" s="439"/>
      <c r="M766" s="439"/>
      <c r="N766" s="443"/>
    </row>
    <row r="767" spans="2:14">
      <c r="B767" s="444"/>
      <c r="F767" s="439"/>
      <c r="G767" s="440"/>
      <c r="H767" s="439"/>
      <c r="I767" s="442"/>
      <c r="J767" s="442"/>
      <c r="K767" s="442"/>
      <c r="L767" s="439"/>
      <c r="M767" s="439"/>
      <c r="N767" s="443"/>
    </row>
    <row r="768" spans="2:14">
      <c r="B768" s="444"/>
      <c r="F768" s="439"/>
      <c r="G768" s="440"/>
      <c r="H768" s="439"/>
      <c r="I768" s="442"/>
      <c r="J768" s="442"/>
      <c r="K768" s="442"/>
      <c r="L768" s="439"/>
      <c r="M768" s="439"/>
      <c r="N768" s="443"/>
    </row>
    <row r="769" spans="2:14">
      <c r="B769" s="444"/>
      <c r="F769" s="439"/>
      <c r="G769" s="440"/>
      <c r="H769" s="439"/>
      <c r="I769" s="442"/>
      <c r="J769" s="442"/>
      <c r="K769" s="442"/>
      <c r="L769" s="439"/>
      <c r="M769" s="439"/>
      <c r="N769" s="443"/>
    </row>
    <row r="770" spans="2:14">
      <c r="B770" s="444"/>
      <c r="F770" s="439"/>
      <c r="G770" s="440"/>
      <c r="H770" s="439"/>
      <c r="I770" s="442"/>
      <c r="J770" s="442"/>
      <c r="K770" s="442"/>
      <c r="L770" s="439"/>
      <c r="M770" s="439"/>
      <c r="N770" s="443"/>
    </row>
    <row r="771" spans="2:14">
      <c r="B771" s="444"/>
      <c r="F771" s="439"/>
      <c r="G771" s="440"/>
      <c r="H771" s="439"/>
      <c r="I771" s="442"/>
      <c r="J771" s="442"/>
      <c r="K771" s="442"/>
      <c r="L771" s="439"/>
      <c r="M771" s="439"/>
      <c r="N771" s="443"/>
    </row>
    <row r="772" spans="2:14">
      <c r="B772" s="444"/>
      <c r="F772" s="439"/>
      <c r="G772" s="440"/>
      <c r="H772" s="439"/>
      <c r="I772" s="442"/>
      <c r="J772" s="442"/>
      <c r="K772" s="442"/>
      <c r="L772" s="439"/>
      <c r="M772" s="439"/>
      <c r="N772" s="443"/>
    </row>
    <row r="773" spans="2:14">
      <c r="B773" s="444"/>
      <c r="F773" s="439"/>
      <c r="G773" s="440"/>
      <c r="H773" s="439"/>
      <c r="I773" s="442"/>
      <c r="J773" s="442"/>
      <c r="K773" s="442"/>
      <c r="L773" s="439"/>
      <c r="M773" s="439"/>
      <c r="N773" s="443"/>
    </row>
    <row r="774" spans="2:14">
      <c r="B774" s="444"/>
      <c r="F774" s="439"/>
      <c r="G774" s="440"/>
      <c r="H774" s="439"/>
      <c r="I774" s="442"/>
      <c r="J774" s="442"/>
      <c r="K774" s="442"/>
      <c r="L774" s="439"/>
      <c r="M774" s="439"/>
      <c r="N774" s="443"/>
    </row>
    <row r="775" spans="2:14">
      <c r="B775" s="444"/>
      <c r="F775" s="439"/>
      <c r="G775" s="440"/>
      <c r="H775" s="439"/>
      <c r="I775" s="442"/>
      <c r="J775" s="442"/>
      <c r="K775" s="442"/>
      <c r="L775" s="439"/>
      <c r="M775" s="439"/>
      <c r="N775" s="443"/>
    </row>
    <row r="776" spans="2:14">
      <c r="B776" s="444"/>
      <c r="F776" s="439"/>
      <c r="G776" s="440"/>
      <c r="H776" s="439"/>
      <c r="I776" s="442"/>
      <c r="J776" s="442"/>
      <c r="K776" s="442"/>
      <c r="L776" s="439"/>
      <c r="M776" s="439"/>
      <c r="N776" s="443"/>
    </row>
    <row r="777" spans="2:14">
      <c r="B777" s="444"/>
      <c r="F777" s="439"/>
      <c r="G777" s="440"/>
      <c r="H777" s="439"/>
      <c r="I777" s="442"/>
      <c r="J777" s="442"/>
      <c r="K777" s="442"/>
      <c r="L777" s="439"/>
      <c r="M777" s="439"/>
      <c r="N777" s="443"/>
    </row>
    <row r="778" spans="2:14">
      <c r="B778" s="444"/>
      <c r="F778" s="439"/>
      <c r="G778" s="440"/>
      <c r="H778" s="439"/>
      <c r="I778" s="442"/>
      <c r="J778" s="442"/>
      <c r="K778" s="442"/>
      <c r="L778" s="439"/>
      <c r="M778" s="439"/>
      <c r="N778" s="443"/>
    </row>
    <row r="779" spans="2:14">
      <c r="B779" s="444"/>
      <c r="F779" s="439"/>
      <c r="G779" s="440"/>
      <c r="H779" s="439"/>
      <c r="I779" s="442"/>
      <c r="J779" s="442"/>
      <c r="K779" s="442"/>
      <c r="L779" s="439"/>
      <c r="M779" s="439"/>
      <c r="N779" s="443"/>
    </row>
    <row r="780" spans="2:14">
      <c r="B780" s="444"/>
      <c r="F780" s="439"/>
      <c r="G780" s="440"/>
      <c r="H780" s="439"/>
      <c r="I780" s="442"/>
      <c r="J780" s="442"/>
      <c r="K780" s="442"/>
      <c r="L780" s="439"/>
      <c r="M780" s="439"/>
      <c r="N780" s="443"/>
    </row>
    <row r="781" spans="2:14">
      <c r="B781" s="444"/>
      <c r="F781" s="439"/>
      <c r="G781" s="440"/>
      <c r="H781" s="439"/>
      <c r="I781" s="442"/>
      <c r="J781" s="442"/>
      <c r="K781" s="442"/>
      <c r="L781" s="439"/>
      <c r="M781" s="439"/>
      <c r="N781" s="443"/>
    </row>
    <row r="782" spans="2:14">
      <c r="B782" s="444"/>
      <c r="F782" s="439"/>
      <c r="G782" s="440"/>
      <c r="H782" s="439"/>
      <c r="I782" s="442"/>
      <c r="J782" s="442"/>
      <c r="K782" s="442"/>
      <c r="L782" s="439"/>
      <c r="M782" s="439"/>
      <c r="N782" s="443"/>
    </row>
    <row r="783" spans="2:14">
      <c r="B783" s="444"/>
      <c r="F783" s="439"/>
      <c r="G783" s="440"/>
      <c r="H783" s="439"/>
      <c r="I783" s="442"/>
      <c r="J783" s="442"/>
      <c r="K783" s="442"/>
      <c r="L783" s="439"/>
      <c r="M783" s="439"/>
      <c r="N783" s="443"/>
    </row>
    <row r="784" spans="2:14">
      <c r="B784" s="444"/>
      <c r="F784" s="439"/>
      <c r="G784" s="440"/>
      <c r="H784" s="439"/>
      <c r="I784" s="442"/>
      <c r="J784" s="442"/>
      <c r="K784" s="442"/>
      <c r="L784" s="439"/>
      <c r="M784" s="439"/>
      <c r="N784" s="443"/>
    </row>
    <row r="785" spans="2:14">
      <c r="B785" s="444"/>
      <c r="F785" s="439"/>
      <c r="G785" s="440"/>
      <c r="H785" s="439"/>
      <c r="I785" s="442"/>
      <c r="J785" s="442"/>
      <c r="K785" s="442"/>
      <c r="L785" s="439"/>
      <c r="M785" s="439"/>
      <c r="N785" s="443"/>
    </row>
    <row r="786" spans="2:14">
      <c r="B786" s="444"/>
      <c r="F786" s="439"/>
      <c r="G786" s="440"/>
      <c r="H786" s="439"/>
      <c r="I786" s="442"/>
      <c r="J786" s="442"/>
      <c r="K786" s="442"/>
      <c r="L786" s="439"/>
      <c r="M786" s="439"/>
      <c r="N786" s="443"/>
    </row>
    <row r="787" spans="2:14">
      <c r="B787" s="444"/>
      <c r="F787" s="439"/>
      <c r="G787" s="440"/>
      <c r="H787" s="439"/>
      <c r="I787" s="442"/>
      <c r="J787" s="442"/>
      <c r="K787" s="442"/>
      <c r="L787" s="439"/>
      <c r="M787" s="439"/>
      <c r="N787" s="443"/>
    </row>
    <row r="788" spans="2:14">
      <c r="B788" s="444"/>
      <c r="F788" s="439"/>
      <c r="G788" s="440"/>
      <c r="H788" s="439"/>
      <c r="I788" s="442"/>
      <c r="J788" s="442"/>
      <c r="K788" s="442"/>
      <c r="L788" s="439"/>
      <c r="M788" s="439"/>
      <c r="N788" s="443"/>
    </row>
    <row r="789" spans="2:14">
      <c r="B789" s="444"/>
      <c r="F789" s="439"/>
      <c r="G789" s="440"/>
      <c r="H789" s="439"/>
      <c r="I789" s="442"/>
      <c r="J789" s="442"/>
      <c r="K789" s="442"/>
      <c r="L789" s="439"/>
      <c r="M789" s="439"/>
      <c r="N789" s="443"/>
    </row>
    <row r="790" spans="2:14">
      <c r="B790" s="444"/>
      <c r="F790" s="439"/>
      <c r="G790" s="440"/>
      <c r="H790" s="439"/>
      <c r="I790" s="442"/>
      <c r="J790" s="442"/>
      <c r="K790" s="441"/>
      <c r="L790" s="439"/>
      <c r="M790" s="439"/>
      <c r="N790" s="443"/>
    </row>
    <row r="791" spans="2:14">
      <c r="B791" s="444"/>
      <c r="F791" s="439"/>
      <c r="G791" s="440"/>
      <c r="H791" s="439"/>
      <c r="I791" s="442"/>
      <c r="J791" s="442"/>
      <c r="K791" s="442"/>
      <c r="L791" s="439"/>
      <c r="M791" s="439"/>
      <c r="N791" s="443"/>
    </row>
    <row r="792" spans="2:14">
      <c r="B792" s="444"/>
      <c r="F792" s="439"/>
      <c r="G792" s="440"/>
      <c r="H792" s="439"/>
      <c r="I792" s="442"/>
      <c r="J792" s="442"/>
      <c r="K792" s="442"/>
      <c r="L792" s="439"/>
      <c r="M792" s="439"/>
      <c r="N792" s="443"/>
    </row>
    <row r="793" spans="2:14">
      <c r="B793" s="444"/>
      <c r="F793" s="439"/>
      <c r="G793" s="440"/>
      <c r="H793" s="439"/>
      <c r="I793" s="442"/>
      <c r="J793" s="442"/>
      <c r="K793" s="442"/>
      <c r="L793" s="439"/>
      <c r="M793" s="439"/>
      <c r="N793" s="443"/>
    </row>
    <row r="794" spans="2:14">
      <c r="B794" s="444"/>
      <c r="F794" s="439"/>
      <c r="G794" s="440"/>
      <c r="H794" s="439"/>
      <c r="I794" s="442"/>
      <c r="J794" s="442"/>
      <c r="K794" s="442"/>
      <c r="L794" s="439"/>
      <c r="M794" s="439"/>
      <c r="N794" s="443"/>
    </row>
    <row r="795" spans="2:14">
      <c r="B795" s="444"/>
      <c r="F795" s="439"/>
      <c r="G795" s="440"/>
      <c r="H795" s="439"/>
      <c r="I795" s="442"/>
      <c r="J795" s="442"/>
      <c r="K795" s="442"/>
      <c r="L795" s="439"/>
      <c r="M795" s="439"/>
      <c r="N795" s="443"/>
    </row>
    <row r="796" spans="2:14">
      <c r="B796" s="444"/>
      <c r="F796" s="439"/>
      <c r="G796" s="440"/>
      <c r="H796" s="439"/>
      <c r="I796" s="442"/>
      <c r="J796" s="442"/>
      <c r="K796" s="442"/>
      <c r="L796" s="439"/>
      <c r="M796" s="439"/>
      <c r="N796" s="443"/>
    </row>
    <row r="797" spans="2:14">
      <c r="B797" s="444"/>
      <c r="F797" s="439"/>
      <c r="G797" s="440"/>
      <c r="H797" s="439"/>
      <c r="I797" s="442"/>
      <c r="J797" s="442"/>
      <c r="K797" s="442"/>
      <c r="L797" s="439"/>
      <c r="M797" s="439"/>
      <c r="N797" s="443"/>
    </row>
    <row r="798" spans="2:14">
      <c r="B798" s="444"/>
      <c r="F798" s="439"/>
      <c r="G798" s="440"/>
      <c r="H798" s="439"/>
      <c r="I798" s="442"/>
      <c r="J798" s="442"/>
      <c r="K798" s="442"/>
      <c r="L798" s="439"/>
      <c r="M798" s="439"/>
      <c r="N798" s="443"/>
    </row>
    <row r="799" spans="2:14">
      <c r="B799" s="444"/>
      <c r="F799" s="439"/>
      <c r="G799" s="440"/>
      <c r="H799" s="439"/>
      <c r="I799" s="442"/>
      <c r="J799" s="442"/>
      <c r="K799" s="442"/>
      <c r="L799" s="439"/>
      <c r="M799" s="439"/>
      <c r="N799" s="443"/>
    </row>
    <row r="800" spans="2:14">
      <c r="B800" s="444"/>
      <c r="F800" s="439"/>
      <c r="G800" s="440"/>
      <c r="H800" s="439"/>
      <c r="I800" s="442"/>
      <c r="J800" s="442"/>
      <c r="K800" s="441"/>
      <c r="L800" s="439"/>
      <c r="M800" s="439"/>
      <c r="N800" s="443"/>
    </row>
    <row r="801" spans="2:14">
      <c r="B801" s="444"/>
      <c r="F801" s="439"/>
      <c r="G801" s="440"/>
      <c r="H801" s="439"/>
      <c r="I801" s="442"/>
      <c r="J801" s="442"/>
      <c r="K801" s="441"/>
      <c r="L801" s="439"/>
      <c r="M801" s="439"/>
      <c r="N801" s="443"/>
    </row>
    <row r="802" spans="2:14">
      <c r="B802" s="444"/>
      <c r="F802" s="439"/>
      <c r="G802" s="440"/>
      <c r="H802" s="439"/>
      <c r="I802" s="442"/>
      <c r="J802" s="442"/>
      <c r="K802" s="442"/>
      <c r="L802" s="439"/>
      <c r="M802" s="439"/>
      <c r="N802" s="443"/>
    </row>
    <row r="803" spans="2:14">
      <c r="B803" s="444"/>
      <c r="F803" s="439"/>
      <c r="G803" s="440"/>
      <c r="H803" s="439"/>
      <c r="I803" s="442"/>
      <c r="J803" s="442"/>
      <c r="K803" s="442"/>
      <c r="L803" s="439"/>
      <c r="M803" s="439"/>
      <c r="N803" s="443"/>
    </row>
    <row r="804" spans="2:14">
      <c r="B804" s="444"/>
      <c r="F804" s="439"/>
      <c r="G804" s="440"/>
      <c r="H804" s="439"/>
      <c r="I804" s="442"/>
      <c r="J804" s="442"/>
      <c r="K804" s="442"/>
      <c r="L804" s="439"/>
      <c r="M804" s="439"/>
      <c r="N804" s="443"/>
    </row>
    <row r="805" spans="2:14">
      <c r="B805" s="444"/>
      <c r="F805" s="439"/>
      <c r="G805" s="440"/>
      <c r="H805" s="439"/>
      <c r="I805" s="442"/>
      <c r="J805" s="442"/>
      <c r="K805" s="442"/>
      <c r="L805" s="439"/>
      <c r="M805" s="439"/>
      <c r="N805" s="443"/>
    </row>
    <row r="806" spans="2:14">
      <c r="B806" s="444"/>
      <c r="F806" s="439"/>
      <c r="G806" s="440"/>
      <c r="H806" s="439"/>
      <c r="I806" s="442"/>
      <c r="J806" s="442"/>
      <c r="K806" s="442"/>
      <c r="L806" s="439"/>
      <c r="M806" s="439"/>
      <c r="N806" s="443"/>
    </row>
    <row r="807" spans="2:14">
      <c r="B807" s="444"/>
      <c r="F807" s="439"/>
      <c r="G807" s="440"/>
      <c r="H807" s="439"/>
      <c r="I807" s="442"/>
      <c r="J807" s="442"/>
      <c r="K807" s="441"/>
      <c r="L807" s="439"/>
      <c r="M807" s="439"/>
      <c r="N807" s="443"/>
    </row>
    <row r="808" spans="2:14">
      <c r="B808" s="444"/>
      <c r="F808" s="439"/>
      <c r="G808" s="440"/>
      <c r="H808" s="439"/>
      <c r="I808" s="442"/>
      <c r="J808" s="442"/>
      <c r="K808" s="442"/>
      <c r="L808" s="439"/>
      <c r="M808" s="439"/>
      <c r="N808" s="443"/>
    </row>
    <row r="809" spans="2:14">
      <c r="B809" s="444"/>
      <c r="F809" s="439"/>
      <c r="G809" s="440"/>
      <c r="H809" s="439"/>
      <c r="I809" s="442"/>
      <c r="J809" s="442"/>
      <c r="K809" s="441"/>
      <c r="L809" s="439"/>
      <c r="M809" s="439"/>
      <c r="N809" s="443"/>
    </row>
    <row r="810" spans="2:14">
      <c r="B810" s="444"/>
      <c r="F810" s="439"/>
      <c r="G810" s="440"/>
      <c r="H810" s="439"/>
      <c r="I810" s="442"/>
      <c r="J810" s="442"/>
      <c r="K810" s="441"/>
      <c r="L810" s="439"/>
      <c r="M810" s="439"/>
      <c r="N810" s="443"/>
    </row>
    <row r="811" spans="2:14">
      <c r="B811" s="444"/>
      <c r="F811" s="439"/>
      <c r="G811" s="440"/>
      <c r="H811" s="439"/>
      <c r="I811" s="442"/>
      <c r="J811" s="442"/>
      <c r="K811" s="441"/>
      <c r="L811" s="439"/>
      <c r="M811" s="439"/>
      <c r="N811" s="443"/>
    </row>
    <row r="812" spans="2:14">
      <c r="B812" s="444"/>
      <c r="F812" s="439"/>
      <c r="G812" s="440"/>
      <c r="H812" s="439"/>
      <c r="I812" s="442"/>
      <c r="J812" s="442"/>
      <c r="K812" s="441"/>
      <c r="L812" s="439"/>
      <c r="M812" s="439"/>
      <c r="N812" s="443"/>
    </row>
    <row r="813" spans="2:14">
      <c r="B813" s="444"/>
      <c r="F813" s="439"/>
      <c r="G813" s="440"/>
      <c r="H813" s="439"/>
      <c r="I813" s="442"/>
      <c r="J813" s="442"/>
      <c r="K813" s="441"/>
      <c r="L813" s="439"/>
      <c r="M813" s="439"/>
      <c r="N813" s="443"/>
    </row>
    <row r="814" spans="2:14">
      <c r="B814" s="444"/>
      <c r="F814" s="439"/>
      <c r="G814" s="440"/>
      <c r="H814" s="439"/>
      <c r="I814" s="441"/>
      <c r="J814" s="442"/>
      <c r="K814" s="442"/>
      <c r="L814" s="439"/>
      <c r="M814" s="439"/>
      <c r="N814" s="443"/>
    </row>
    <row r="815" spans="2:14">
      <c r="B815" s="444"/>
      <c r="F815" s="439"/>
      <c r="G815" s="440"/>
      <c r="H815" s="439"/>
      <c r="I815" s="441"/>
      <c r="J815" s="442"/>
      <c r="K815" s="442"/>
      <c r="L815" s="439"/>
      <c r="M815" s="439"/>
      <c r="N815" s="443"/>
    </row>
    <row r="816" spans="2:14">
      <c r="B816" s="444"/>
      <c r="F816" s="439"/>
      <c r="G816" s="440"/>
      <c r="H816" s="439"/>
      <c r="I816" s="441"/>
      <c r="J816" s="442"/>
      <c r="K816" s="442"/>
      <c r="L816" s="439"/>
      <c r="M816" s="439"/>
      <c r="N816" s="443"/>
    </row>
    <row r="817" spans="2:14">
      <c r="B817" s="444"/>
      <c r="F817" s="439"/>
      <c r="G817" s="440"/>
      <c r="H817" s="439"/>
      <c r="I817" s="441"/>
      <c r="J817" s="442"/>
      <c r="K817" s="442"/>
      <c r="L817" s="439"/>
      <c r="M817" s="439"/>
      <c r="N817" s="443"/>
    </row>
    <row r="818" spans="2:14">
      <c r="B818" s="444"/>
      <c r="F818" s="439"/>
      <c r="G818" s="440"/>
      <c r="H818" s="439"/>
      <c r="I818" s="441"/>
      <c r="J818" s="442"/>
      <c r="K818" s="442"/>
      <c r="L818" s="439"/>
      <c r="M818" s="439"/>
      <c r="N818" s="443"/>
    </row>
    <row r="819" spans="2:14">
      <c r="B819" s="444"/>
      <c r="F819" s="439"/>
      <c r="G819" s="440"/>
      <c r="H819" s="439"/>
      <c r="I819" s="441"/>
      <c r="J819" s="442"/>
      <c r="K819" s="442"/>
      <c r="L819" s="439"/>
      <c r="M819" s="439"/>
      <c r="N819" s="443"/>
    </row>
    <row r="820" spans="2:14">
      <c r="B820" s="444"/>
      <c r="F820" s="439"/>
      <c r="G820" s="440"/>
      <c r="H820" s="439"/>
      <c r="I820" s="441"/>
      <c r="J820" s="442"/>
      <c r="K820" s="442"/>
      <c r="L820" s="439"/>
      <c r="M820" s="439"/>
      <c r="N820" s="443"/>
    </row>
    <row r="821" spans="2:14">
      <c r="B821" s="444"/>
      <c r="F821" s="439"/>
      <c r="G821" s="440"/>
      <c r="H821" s="439"/>
      <c r="I821" s="441"/>
      <c r="J821" s="442"/>
      <c r="K821" s="442"/>
      <c r="L821" s="439"/>
      <c r="M821" s="439"/>
      <c r="N821" s="443"/>
    </row>
    <row r="822" spans="2:14">
      <c r="B822" s="444"/>
      <c r="F822" s="439"/>
      <c r="G822" s="440"/>
      <c r="H822" s="439"/>
      <c r="I822" s="441"/>
      <c r="J822" s="442"/>
      <c r="K822" s="442"/>
      <c r="L822" s="439"/>
      <c r="M822" s="439"/>
      <c r="N822" s="443"/>
    </row>
    <row r="823" spans="2:14">
      <c r="B823" s="444"/>
      <c r="F823" s="439"/>
      <c r="G823" s="440"/>
      <c r="H823" s="439"/>
      <c r="I823" s="441"/>
      <c r="J823" s="442"/>
      <c r="K823" s="442"/>
      <c r="L823" s="439"/>
      <c r="M823" s="439"/>
      <c r="N823" s="443"/>
    </row>
    <row r="824" spans="2:14">
      <c r="B824" s="444"/>
      <c r="F824" s="439"/>
      <c r="G824" s="440"/>
      <c r="H824" s="439"/>
      <c r="I824" s="441"/>
      <c r="J824" s="442"/>
      <c r="K824" s="442"/>
      <c r="L824" s="439"/>
      <c r="M824" s="439"/>
      <c r="N824" s="443"/>
    </row>
    <row r="825" spans="2:14">
      <c r="B825" s="444"/>
      <c r="F825" s="439"/>
      <c r="G825" s="440"/>
      <c r="H825" s="439"/>
      <c r="I825" s="441"/>
      <c r="J825" s="442"/>
      <c r="K825" s="442"/>
      <c r="L825" s="439"/>
      <c r="M825" s="439"/>
      <c r="N825" s="443"/>
    </row>
    <row r="826" spans="2:14">
      <c r="B826" s="444"/>
      <c r="F826" s="439"/>
      <c r="G826" s="440"/>
      <c r="H826" s="439"/>
      <c r="I826" s="441"/>
      <c r="J826" s="441"/>
      <c r="K826" s="441"/>
      <c r="L826" s="439"/>
      <c r="M826" s="439"/>
      <c r="N826" s="443"/>
    </row>
    <row r="827" spans="2:14">
      <c r="B827" s="444"/>
      <c r="F827" s="439"/>
      <c r="G827" s="440"/>
      <c r="H827" s="439"/>
      <c r="I827" s="441"/>
      <c r="J827" s="442"/>
      <c r="K827" s="442"/>
      <c r="L827" s="439"/>
      <c r="M827" s="439"/>
      <c r="N827" s="443"/>
    </row>
    <row r="828" spans="2:14">
      <c r="B828" s="444"/>
      <c r="F828" s="439"/>
      <c r="G828" s="440"/>
      <c r="H828" s="439"/>
      <c r="I828" s="441"/>
      <c r="J828" s="442"/>
      <c r="K828" s="442"/>
      <c r="L828" s="439"/>
      <c r="M828" s="439"/>
      <c r="N828" s="443"/>
    </row>
    <row r="829" spans="2:14">
      <c r="B829" s="444"/>
      <c r="F829" s="439"/>
      <c r="G829" s="440"/>
      <c r="H829" s="439"/>
      <c r="I829" s="441"/>
      <c r="J829" s="442"/>
      <c r="K829" s="442"/>
      <c r="L829" s="439"/>
      <c r="M829" s="439"/>
      <c r="N829" s="443"/>
    </row>
    <row r="830" spans="2:14">
      <c r="B830" s="444"/>
      <c r="F830" s="439"/>
      <c r="G830" s="440"/>
      <c r="H830" s="439"/>
      <c r="I830" s="441"/>
      <c r="J830" s="442"/>
      <c r="K830" s="442"/>
      <c r="L830" s="439"/>
      <c r="M830" s="439"/>
      <c r="N830" s="443"/>
    </row>
    <row r="831" spans="2:14">
      <c r="B831" s="444"/>
      <c r="F831" s="439"/>
      <c r="G831" s="440"/>
      <c r="H831" s="439"/>
      <c r="I831" s="441"/>
      <c r="J831" s="442"/>
      <c r="K831" s="442"/>
      <c r="L831" s="439"/>
      <c r="M831" s="439"/>
      <c r="N831" s="443"/>
    </row>
    <row r="832" spans="2:14">
      <c r="B832" s="444"/>
      <c r="F832" s="439"/>
      <c r="G832" s="440"/>
      <c r="H832" s="439"/>
      <c r="I832" s="441"/>
      <c r="J832" s="442"/>
      <c r="K832" s="442"/>
      <c r="L832" s="439"/>
      <c r="M832" s="439"/>
      <c r="N832" s="443"/>
    </row>
    <row r="833" spans="2:14">
      <c r="B833" s="444"/>
      <c r="F833" s="439"/>
      <c r="G833" s="440"/>
      <c r="H833" s="439"/>
      <c r="I833" s="441"/>
      <c r="J833" s="442"/>
      <c r="K833" s="442"/>
      <c r="L833" s="439"/>
      <c r="M833" s="439"/>
      <c r="N833" s="443"/>
    </row>
    <row r="834" spans="2:14">
      <c r="B834" s="444"/>
      <c r="F834" s="439"/>
      <c r="G834" s="440"/>
      <c r="H834" s="439"/>
      <c r="I834" s="441"/>
      <c r="J834" s="442"/>
      <c r="K834" s="442"/>
      <c r="L834" s="439"/>
      <c r="M834" s="439"/>
      <c r="N834" s="443"/>
    </row>
    <row r="835" spans="2:14">
      <c r="B835" s="444"/>
      <c r="F835" s="439"/>
      <c r="G835" s="440"/>
      <c r="H835" s="439"/>
      <c r="I835" s="441"/>
      <c r="J835" s="442"/>
      <c r="K835" s="442"/>
      <c r="L835" s="439"/>
      <c r="M835" s="439"/>
      <c r="N835" s="443"/>
    </row>
    <row r="836" spans="2:14">
      <c r="B836" s="444"/>
      <c r="F836" s="439"/>
      <c r="G836" s="440"/>
      <c r="H836" s="439"/>
      <c r="I836" s="441"/>
      <c r="J836" s="442"/>
      <c r="K836" s="442"/>
      <c r="L836" s="439"/>
      <c r="M836" s="439"/>
      <c r="N836" s="443"/>
    </row>
    <row r="837" spans="2:14">
      <c r="B837" s="444"/>
      <c r="F837" s="439"/>
      <c r="G837" s="440"/>
      <c r="H837" s="439"/>
      <c r="I837" s="441"/>
      <c r="J837" s="442"/>
      <c r="K837" s="442"/>
      <c r="L837" s="439"/>
      <c r="M837" s="439"/>
      <c r="N837" s="443"/>
    </row>
    <row r="838" spans="2:14">
      <c r="B838" s="444"/>
      <c r="F838" s="439"/>
      <c r="G838" s="440"/>
      <c r="H838" s="439"/>
      <c r="I838" s="441"/>
      <c r="J838" s="442"/>
      <c r="K838" s="442"/>
      <c r="L838" s="439"/>
      <c r="M838" s="439"/>
      <c r="N838" s="443"/>
    </row>
    <row r="839" spans="2:14">
      <c r="B839" s="444"/>
      <c r="F839" s="439"/>
      <c r="G839" s="440"/>
      <c r="H839" s="439"/>
      <c r="I839" s="441"/>
      <c r="J839" s="442"/>
      <c r="K839" s="442"/>
      <c r="L839" s="439"/>
      <c r="M839" s="439"/>
      <c r="N839" s="443"/>
    </row>
    <row r="840" spans="2:14">
      <c r="B840" s="444"/>
      <c r="F840" s="439"/>
      <c r="G840" s="440"/>
      <c r="H840" s="439"/>
      <c r="I840" s="441"/>
      <c r="J840" s="442"/>
      <c r="K840" s="442"/>
      <c r="L840" s="439"/>
      <c r="M840" s="439"/>
      <c r="N840" s="443"/>
    </row>
    <row r="841" spans="2:14">
      <c r="B841" s="444"/>
      <c r="F841" s="439"/>
      <c r="G841" s="440"/>
      <c r="H841" s="439"/>
      <c r="I841" s="441"/>
      <c r="J841" s="442"/>
      <c r="K841" s="442"/>
      <c r="L841" s="439"/>
      <c r="M841" s="439"/>
      <c r="N841" s="443"/>
    </row>
    <row r="842" spans="2:14">
      <c r="B842" s="444"/>
      <c r="F842" s="439"/>
      <c r="G842" s="440"/>
      <c r="H842" s="439"/>
      <c r="I842" s="441"/>
      <c r="J842" s="442"/>
      <c r="K842" s="442"/>
      <c r="L842" s="439"/>
      <c r="M842" s="439"/>
      <c r="N842" s="443"/>
    </row>
    <row r="843" spans="2:14">
      <c r="B843" s="444"/>
      <c r="F843" s="439"/>
      <c r="G843" s="440"/>
      <c r="H843" s="439"/>
      <c r="I843" s="441"/>
      <c r="J843" s="442"/>
      <c r="K843" s="442"/>
      <c r="L843" s="439"/>
      <c r="M843" s="439"/>
      <c r="N843" s="443"/>
    </row>
    <row r="844" spans="2:14">
      <c r="B844" s="444"/>
      <c r="F844" s="439"/>
      <c r="G844" s="440"/>
      <c r="H844" s="439"/>
      <c r="I844" s="441"/>
      <c r="J844" s="442"/>
      <c r="K844" s="442"/>
      <c r="L844" s="439"/>
      <c r="M844" s="439"/>
      <c r="N844" s="443"/>
    </row>
    <row r="845" spans="2:14">
      <c r="B845" s="444"/>
      <c r="F845" s="439"/>
      <c r="G845" s="440"/>
      <c r="H845" s="439"/>
      <c r="I845" s="441"/>
      <c r="J845" s="442"/>
      <c r="K845" s="442"/>
      <c r="L845" s="439"/>
      <c r="M845" s="439"/>
      <c r="N845" s="443"/>
    </row>
    <row r="846" spans="2:14">
      <c r="B846" s="444"/>
      <c r="F846" s="439"/>
      <c r="G846" s="440"/>
      <c r="H846" s="439"/>
      <c r="I846" s="441"/>
      <c r="J846" s="442"/>
      <c r="K846" s="442"/>
      <c r="L846" s="439"/>
      <c r="M846" s="439"/>
      <c r="N846" s="443"/>
    </row>
    <row r="847" spans="2:14">
      <c r="B847" s="444"/>
      <c r="F847" s="439"/>
      <c r="G847" s="440"/>
      <c r="H847" s="439"/>
      <c r="I847" s="441"/>
      <c r="J847" s="442"/>
      <c r="K847" s="442"/>
      <c r="L847" s="439"/>
      <c r="M847" s="439"/>
      <c r="N847" s="443"/>
    </row>
    <row r="848" spans="2:14">
      <c r="B848" s="444"/>
      <c r="F848" s="439"/>
      <c r="G848" s="440"/>
      <c r="H848" s="439"/>
      <c r="I848" s="441"/>
      <c r="J848" s="442"/>
      <c r="K848" s="442"/>
      <c r="L848" s="439"/>
      <c r="M848" s="439"/>
      <c r="N848" s="443"/>
    </row>
    <row r="849" spans="2:14">
      <c r="B849" s="444"/>
      <c r="F849" s="439"/>
      <c r="G849" s="440"/>
      <c r="H849" s="439"/>
      <c r="I849" s="441"/>
      <c r="J849" s="442"/>
      <c r="K849" s="442"/>
      <c r="L849" s="439"/>
      <c r="M849" s="439"/>
      <c r="N849" s="443"/>
    </row>
    <row r="850" spans="2:14">
      <c r="B850" s="444"/>
      <c r="F850" s="439"/>
      <c r="G850" s="440"/>
      <c r="H850" s="439"/>
      <c r="I850" s="441"/>
      <c r="J850" s="442"/>
      <c r="K850" s="442"/>
      <c r="L850" s="439"/>
      <c r="M850" s="439"/>
      <c r="N850" s="443"/>
    </row>
    <row r="851" spans="2:14">
      <c r="B851" s="444"/>
      <c r="F851" s="439"/>
      <c r="G851" s="440"/>
      <c r="H851" s="439"/>
      <c r="I851" s="441"/>
      <c r="J851" s="442"/>
      <c r="K851" s="442"/>
      <c r="L851" s="439"/>
      <c r="M851" s="439"/>
      <c r="N851" s="443"/>
    </row>
    <row r="852" spans="2:14">
      <c r="B852" s="444"/>
      <c r="F852" s="439"/>
      <c r="G852" s="440"/>
      <c r="H852" s="439"/>
      <c r="I852" s="441"/>
      <c r="J852" s="442"/>
      <c r="K852" s="442"/>
      <c r="L852" s="439"/>
      <c r="M852" s="439"/>
      <c r="N852" s="443"/>
    </row>
    <row r="853" spans="2:14">
      <c r="B853" s="444"/>
      <c r="F853" s="439"/>
      <c r="G853" s="440"/>
      <c r="H853" s="439"/>
      <c r="I853" s="441"/>
      <c r="J853" s="442"/>
      <c r="K853" s="442"/>
      <c r="L853" s="439"/>
      <c r="M853" s="439"/>
      <c r="N853" s="443"/>
    </row>
    <row r="854" spans="2:14">
      <c r="B854" s="444"/>
      <c r="F854" s="439"/>
      <c r="G854" s="440"/>
      <c r="H854" s="439"/>
      <c r="I854" s="441"/>
      <c r="J854" s="442"/>
      <c r="K854" s="442"/>
      <c r="L854" s="439"/>
      <c r="M854" s="439"/>
      <c r="N854" s="443"/>
    </row>
    <row r="855" spans="2:14">
      <c r="B855" s="444"/>
      <c r="F855" s="439"/>
      <c r="G855" s="440"/>
      <c r="H855" s="439"/>
      <c r="I855" s="441"/>
      <c r="J855" s="442"/>
      <c r="K855" s="442"/>
      <c r="L855" s="439"/>
      <c r="M855" s="439"/>
      <c r="N855" s="443"/>
    </row>
    <row r="856" spans="2:14">
      <c r="B856" s="444"/>
      <c r="F856" s="439"/>
      <c r="G856" s="440"/>
      <c r="H856" s="439"/>
      <c r="I856" s="441"/>
      <c r="J856" s="442"/>
      <c r="K856" s="442"/>
      <c r="L856" s="439"/>
      <c r="M856" s="439"/>
      <c r="N856" s="443"/>
    </row>
    <row r="857" spans="2:14">
      <c r="B857" s="444"/>
      <c r="F857" s="439"/>
      <c r="G857" s="440"/>
      <c r="H857" s="439"/>
      <c r="I857" s="441"/>
      <c r="J857" s="442"/>
      <c r="K857" s="442"/>
      <c r="L857" s="439"/>
      <c r="M857" s="439"/>
      <c r="N857" s="443"/>
    </row>
    <row r="858" spans="2:14">
      <c r="B858" s="444"/>
      <c r="F858" s="439"/>
      <c r="G858" s="440"/>
      <c r="H858" s="439"/>
      <c r="I858" s="441"/>
      <c r="J858" s="442"/>
      <c r="K858" s="442"/>
      <c r="L858" s="439"/>
      <c r="M858" s="439"/>
      <c r="N858" s="443"/>
    </row>
    <row r="859" spans="2:14">
      <c r="B859" s="444"/>
      <c r="F859" s="439"/>
      <c r="G859" s="440"/>
      <c r="H859" s="439"/>
      <c r="I859" s="441"/>
      <c r="J859" s="442"/>
      <c r="K859" s="442"/>
      <c r="L859" s="439"/>
      <c r="M859" s="439"/>
      <c r="N859" s="443"/>
    </row>
    <row r="860" spans="2:14">
      <c r="B860" s="444"/>
      <c r="F860" s="439"/>
      <c r="G860" s="440"/>
      <c r="H860" s="439"/>
      <c r="I860" s="441"/>
      <c r="J860" s="442"/>
      <c r="K860" s="442"/>
      <c r="L860" s="439"/>
      <c r="M860" s="439"/>
      <c r="N860" s="443"/>
    </row>
    <row r="861" spans="2:14">
      <c r="B861" s="444"/>
      <c r="F861" s="439"/>
      <c r="G861" s="440"/>
      <c r="H861" s="439"/>
      <c r="I861" s="441"/>
      <c r="J861" s="442"/>
      <c r="K861" s="442"/>
      <c r="L861" s="439"/>
      <c r="M861" s="439"/>
      <c r="N861" s="443"/>
    </row>
    <row r="862" spans="2:14">
      <c r="B862" s="444"/>
      <c r="F862" s="439"/>
      <c r="G862" s="440"/>
      <c r="H862" s="439"/>
      <c r="I862" s="441"/>
      <c r="J862" s="442"/>
      <c r="K862" s="442"/>
      <c r="L862" s="439"/>
      <c r="M862" s="439"/>
      <c r="N862" s="443"/>
    </row>
    <row r="863" spans="2:14">
      <c r="B863" s="444"/>
      <c r="F863" s="439"/>
      <c r="G863" s="440"/>
      <c r="H863" s="439"/>
      <c r="I863" s="441"/>
      <c r="J863" s="442"/>
      <c r="K863" s="442"/>
      <c r="L863" s="439"/>
      <c r="M863" s="439"/>
      <c r="N863" s="443"/>
    </row>
    <row r="864" spans="2:14">
      <c r="B864" s="444"/>
      <c r="F864" s="439"/>
      <c r="G864" s="440"/>
      <c r="H864" s="439"/>
      <c r="I864" s="441"/>
      <c r="J864" s="442"/>
      <c r="K864" s="442"/>
      <c r="L864" s="439"/>
      <c r="M864" s="439"/>
      <c r="N864" s="443"/>
    </row>
    <row r="865" spans="2:14">
      <c r="B865" s="444"/>
      <c r="F865" s="439"/>
      <c r="G865" s="440"/>
      <c r="H865" s="439"/>
      <c r="I865" s="441"/>
      <c r="J865" s="442"/>
      <c r="K865" s="442"/>
      <c r="L865" s="439"/>
      <c r="M865" s="439"/>
      <c r="N865" s="443"/>
    </row>
    <row r="866" spans="2:14">
      <c r="B866" s="444"/>
      <c r="F866" s="439"/>
      <c r="G866" s="440"/>
      <c r="H866" s="439"/>
      <c r="I866" s="441"/>
      <c r="J866" s="442"/>
      <c r="K866" s="442"/>
      <c r="L866" s="439"/>
      <c r="M866" s="439"/>
      <c r="N866" s="443"/>
    </row>
    <row r="867" spans="2:14">
      <c r="B867" s="444"/>
      <c r="F867" s="439"/>
      <c r="G867" s="440"/>
      <c r="H867" s="439"/>
      <c r="I867" s="441"/>
      <c r="J867" s="442"/>
      <c r="K867" s="442"/>
      <c r="L867" s="439"/>
      <c r="M867" s="439"/>
      <c r="N867" s="443"/>
    </row>
    <row r="868" spans="2:14">
      <c r="B868" s="444"/>
      <c r="F868" s="439"/>
      <c r="G868" s="440"/>
      <c r="H868" s="439"/>
      <c r="I868" s="441"/>
      <c r="J868" s="442"/>
      <c r="K868" s="442"/>
      <c r="L868" s="439"/>
      <c r="M868" s="439"/>
      <c r="N868" s="443"/>
    </row>
    <row r="869" spans="2:14">
      <c r="B869" s="444"/>
      <c r="F869" s="439"/>
      <c r="G869" s="440"/>
      <c r="H869" s="439"/>
      <c r="I869" s="441"/>
      <c r="J869" s="442"/>
      <c r="K869" s="442"/>
      <c r="L869" s="439"/>
      <c r="M869" s="439"/>
      <c r="N869" s="443"/>
    </row>
    <row r="870" spans="2:14">
      <c r="B870" s="444"/>
      <c r="F870" s="439"/>
      <c r="G870" s="440"/>
      <c r="H870" s="439"/>
      <c r="I870" s="441"/>
      <c r="J870" s="442"/>
      <c r="K870" s="442"/>
      <c r="L870" s="439"/>
      <c r="M870" s="439"/>
      <c r="N870" s="443"/>
    </row>
    <row r="871" spans="2:14">
      <c r="B871" s="444"/>
      <c r="F871" s="439"/>
      <c r="G871" s="440"/>
      <c r="H871" s="439"/>
      <c r="I871" s="441"/>
      <c r="J871" s="442"/>
      <c r="K871" s="442"/>
      <c r="L871" s="439"/>
      <c r="M871" s="439"/>
      <c r="N871" s="443"/>
    </row>
    <row r="872" spans="2:14">
      <c r="B872" s="444"/>
      <c r="F872" s="439"/>
      <c r="G872" s="440"/>
      <c r="H872" s="439"/>
      <c r="I872" s="441"/>
      <c r="J872" s="442"/>
      <c r="K872" s="442"/>
      <c r="L872" s="439"/>
      <c r="M872" s="439"/>
      <c r="N872" s="443"/>
    </row>
    <row r="873" spans="2:14">
      <c r="B873" s="444"/>
      <c r="F873" s="439"/>
      <c r="G873" s="440"/>
      <c r="H873" s="439"/>
      <c r="I873" s="441"/>
      <c r="J873" s="442"/>
      <c r="K873" s="442"/>
      <c r="L873" s="439"/>
      <c r="M873" s="439"/>
      <c r="N873" s="443"/>
    </row>
    <row r="874" spans="2:14">
      <c r="B874" s="444"/>
      <c r="F874" s="439"/>
      <c r="G874" s="440"/>
      <c r="H874" s="439"/>
      <c r="I874" s="441"/>
      <c r="J874" s="442"/>
      <c r="K874" s="442"/>
      <c r="L874" s="439"/>
      <c r="M874" s="439"/>
      <c r="N874" s="443"/>
    </row>
    <row r="875" spans="2:14">
      <c r="B875" s="444"/>
      <c r="F875" s="439"/>
      <c r="G875" s="440"/>
      <c r="H875" s="439"/>
      <c r="I875" s="441"/>
      <c r="J875" s="442"/>
      <c r="K875" s="442"/>
      <c r="L875" s="439"/>
      <c r="M875" s="439"/>
      <c r="N875" s="443"/>
    </row>
    <row r="876" spans="2:14">
      <c r="B876" s="444"/>
      <c r="F876" s="439"/>
      <c r="G876" s="440"/>
      <c r="H876" s="439"/>
      <c r="I876" s="441"/>
      <c r="J876" s="442"/>
      <c r="K876" s="442"/>
      <c r="L876" s="439"/>
      <c r="M876" s="439"/>
      <c r="N876" s="443"/>
    </row>
    <row r="877" spans="2:14">
      <c r="B877" s="444"/>
      <c r="F877" s="439"/>
      <c r="G877" s="440"/>
      <c r="H877" s="439"/>
      <c r="I877" s="441"/>
      <c r="J877" s="442"/>
      <c r="K877" s="442"/>
      <c r="L877" s="439"/>
      <c r="M877" s="439"/>
      <c r="N877" s="443"/>
    </row>
    <row r="878" spans="2:14">
      <c r="B878" s="444"/>
      <c r="F878" s="439"/>
      <c r="G878" s="440"/>
      <c r="H878" s="439"/>
      <c r="I878" s="441"/>
      <c r="J878" s="442"/>
      <c r="K878" s="442"/>
      <c r="L878" s="439"/>
      <c r="M878" s="439"/>
      <c r="N878" s="443"/>
    </row>
    <row r="879" spans="2:14">
      <c r="B879" s="444"/>
      <c r="F879" s="439"/>
      <c r="G879" s="440"/>
      <c r="H879" s="439"/>
      <c r="I879" s="441"/>
      <c r="J879" s="442"/>
      <c r="K879" s="442"/>
      <c r="L879" s="439"/>
      <c r="M879" s="439"/>
      <c r="N879" s="443"/>
    </row>
    <row r="880" spans="2:14">
      <c r="B880" s="444"/>
      <c r="F880" s="439"/>
      <c r="G880" s="440"/>
      <c r="H880" s="439"/>
      <c r="I880" s="441"/>
      <c r="J880" s="442"/>
      <c r="K880" s="442"/>
      <c r="L880" s="439"/>
      <c r="M880" s="439"/>
      <c r="N880" s="443"/>
    </row>
    <row r="881" spans="2:14">
      <c r="B881" s="444"/>
      <c r="F881" s="439"/>
      <c r="G881" s="440"/>
      <c r="H881" s="439"/>
      <c r="I881" s="441"/>
      <c r="J881" s="442"/>
      <c r="K881" s="442"/>
      <c r="L881" s="439"/>
      <c r="M881" s="439"/>
      <c r="N881" s="443"/>
    </row>
    <row r="882" spans="2:14">
      <c r="B882" s="444"/>
      <c r="F882" s="439"/>
      <c r="G882" s="440"/>
      <c r="H882" s="439"/>
      <c r="I882" s="441"/>
      <c r="J882" s="442"/>
      <c r="K882" s="442"/>
      <c r="L882" s="439"/>
      <c r="M882" s="439"/>
      <c r="N882" s="443"/>
    </row>
    <row r="883" spans="2:14">
      <c r="B883" s="444"/>
      <c r="F883" s="439"/>
      <c r="G883" s="440"/>
      <c r="H883" s="439"/>
      <c r="I883" s="441"/>
      <c r="J883" s="442"/>
      <c r="K883" s="442"/>
      <c r="L883" s="439"/>
      <c r="M883" s="439"/>
      <c r="N883" s="443"/>
    </row>
    <row r="884" spans="2:14">
      <c r="B884" s="444"/>
      <c r="F884" s="439"/>
      <c r="G884" s="440"/>
      <c r="H884" s="439"/>
      <c r="I884" s="441"/>
      <c r="J884" s="442"/>
      <c r="K884" s="442"/>
      <c r="L884" s="439"/>
      <c r="M884" s="439"/>
      <c r="N884" s="443"/>
    </row>
    <row r="885" spans="2:14">
      <c r="B885" s="444"/>
      <c r="F885" s="439"/>
      <c r="G885" s="440"/>
      <c r="H885" s="439"/>
      <c r="I885" s="441"/>
      <c r="J885" s="442"/>
      <c r="K885" s="442"/>
      <c r="L885" s="439"/>
      <c r="M885" s="439"/>
      <c r="N885" s="443"/>
    </row>
    <row r="886" spans="2:14">
      <c r="B886" s="444"/>
      <c r="F886" s="439"/>
      <c r="G886" s="440"/>
      <c r="H886" s="439"/>
      <c r="I886" s="441"/>
      <c r="J886" s="442"/>
      <c r="K886" s="442"/>
      <c r="L886" s="439"/>
      <c r="M886" s="439"/>
      <c r="N886" s="443"/>
    </row>
    <row r="887" spans="2:14">
      <c r="B887" s="444"/>
      <c r="F887" s="439"/>
      <c r="G887" s="440"/>
      <c r="H887" s="439"/>
      <c r="I887" s="441"/>
      <c r="J887" s="442"/>
      <c r="K887" s="442"/>
      <c r="L887" s="439"/>
      <c r="M887" s="439"/>
      <c r="N887" s="443"/>
    </row>
    <row r="888" spans="2:14">
      <c r="B888" s="444"/>
      <c r="F888" s="439"/>
      <c r="G888" s="440"/>
      <c r="H888" s="439"/>
      <c r="I888" s="441"/>
      <c r="J888" s="442"/>
      <c r="K888" s="442"/>
      <c r="L888" s="439"/>
      <c r="M888" s="439"/>
      <c r="N888" s="443"/>
    </row>
    <row r="889" spans="2:14">
      <c r="B889" s="444"/>
      <c r="F889" s="439"/>
      <c r="G889" s="440"/>
      <c r="H889" s="439"/>
      <c r="I889" s="441"/>
      <c r="J889" s="442"/>
      <c r="K889" s="442"/>
      <c r="L889" s="439"/>
      <c r="M889" s="439"/>
      <c r="N889" s="443"/>
    </row>
    <row r="890" spans="2:14">
      <c r="B890" s="444"/>
      <c r="F890" s="439"/>
      <c r="G890" s="440"/>
      <c r="H890" s="439"/>
      <c r="I890" s="441"/>
      <c r="J890" s="442"/>
      <c r="K890" s="442"/>
      <c r="L890" s="439"/>
      <c r="M890" s="439"/>
      <c r="N890" s="443"/>
    </row>
    <row r="891" spans="2:14">
      <c r="B891" s="444"/>
      <c r="F891" s="439"/>
      <c r="G891" s="440"/>
      <c r="H891" s="439"/>
      <c r="I891" s="441"/>
      <c r="J891" s="442"/>
      <c r="K891" s="442"/>
      <c r="L891" s="439"/>
      <c r="M891" s="439"/>
      <c r="N891" s="443"/>
    </row>
    <row r="892" spans="2:14">
      <c r="B892" s="444"/>
      <c r="F892" s="439"/>
      <c r="G892" s="440"/>
      <c r="H892" s="439"/>
      <c r="I892" s="441"/>
      <c r="J892" s="442"/>
      <c r="K892" s="442"/>
      <c r="L892" s="439"/>
      <c r="M892" s="439"/>
      <c r="N892" s="443"/>
    </row>
    <row r="893" spans="2:14">
      <c r="B893" s="444"/>
      <c r="F893" s="439"/>
      <c r="G893" s="440"/>
      <c r="H893" s="439"/>
      <c r="I893" s="441"/>
      <c r="J893" s="442"/>
      <c r="K893" s="442"/>
      <c r="L893" s="439"/>
      <c r="M893" s="439"/>
      <c r="N893" s="443"/>
    </row>
    <row r="894" spans="2:14">
      <c r="B894" s="444"/>
      <c r="F894" s="439"/>
      <c r="G894" s="440"/>
      <c r="H894" s="439"/>
      <c r="I894" s="441"/>
      <c r="J894" s="442"/>
      <c r="K894" s="442"/>
      <c r="L894" s="439"/>
      <c r="M894" s="439"/>
      <c r="N894" s="443"/>
    </row>
    <row r="895" spans="2:14">
      <c r="B895" s="444"/>
      <c r="F895" s="439"/>
      <c r="G895" s="440"/>
      <c r="H895" s="439"/>
      <c r="I895" s="441"/>
      <c r="J895" s="442"/>
      <c r="K895" s="442"/>
      <c r="L895" s="439"/>
      <c r="M895" s="439"/>
      <c r="N895" s="443"/>
    </row>
    <row r="896" spans="2:14">
      <c r="B896" s="444"/>
      <c r="F896" s="439"/>
      <c r="G896" s="440"/>
      <c r="H896" s="439"/>
      <c r="I896" s="441"/>
      <c r="J896" s="442"/>
      <c r="K896" s="442"/>
      <c r="L896" s="439"/>
      <c r="M896" s="439"/>
      <c r="N896" s="443"/>
    </row>
    <row r="897" spans="2:14">
      <c r="B897" s="444"/>
      <c r="F897" s="439"/>
      <c r="G897" s="440"/>
      <c r="H897" s="439"/>
      <c r="I897" s="441"/>
      <c r="J897" s="442"/>
      <c r="K897" s="442"/>
      <c r="L897" s="439"/>
      <c r="M897" s="439"/>
      <c r="N897" s="443"/>
    </row>
    <row r="898" spans="2:14">
      <c r="B898" s="444"/>
      <c r="F898" s="439"/>
      <c r="G898" s="440"/>
      <c r="H898" s="439"/>
      <c r="I898" s="441"/>
      <c r="J898" s="442"/>
      <c r="K898" s="442"/>
      <c r="L898" s="439"/>
      <c r="M898" s="439"/>
      <c r="N898" s="443"/>
    </row>
    <row r="899" spans="2:14">
      <c r="B899" s="444"/>
      <c r="F899" s="439"/>
      <c r="G899" s="440"/>
      <c r="H899" s="439"/>
      <c r="I899" s="441"/>
      <c r="J899" s="442"/>
      <c r="K899" s="442"/>
      <c r="L899" s="439"/>
      <c r="M899" s="439"/>
      <c r="N899" s="443"/>
    </row>
    <row r="900" spans="2:14">
      <c r="B900" s="444"/>
      <c r="F900" s="439"/>
      <c r="G900" s="440"/>
      <c r="H900" s="439"/>
      <c r="I900" s="441"/>
      <c r="J900" s="442"/>
      <c r="K900" s="442"/>
      <c r="L900" s="439"/>
      <c r="M900" s="439"/>
      <c r="N900" s="443"/>
    </row>
    <row r="901" spans="2:14">
      <c r="B901" s="444"/>
      <c r="F901" s="439"/>
      <c r="G901" s="440"/>
      <c r="H901" s="439"/>
      <c r="I901" s="441"/>
      <c r="J901" s="442"/>
      <c r="K901" s="442"/>
      <c r="L901" s="439"/>
      <c r="M901" s="439"/>
      <c r="N901" s="443"/>
    </row>
    <row r="902" spans="2:14">
      <c r="B902" s="444"/>
      <c r="F902" s="439"/>
      <c r="G902" s="440"/>
      <c r="H902" s="439"/>
      <c r="I902" s="441"/>
      <c r="J902" s="442"/>
      <c r="K902" s="442"/>
      <c r="L902" s="439"/>
      <c r="M902" s="439"/>
      <c r="N902" s="443"/>
    </row>
    <row r="903" spans="2:14">
      <c r="B903" s="444"/>
      <c r="F903" s="439"/>
      <c r="G903" s="440"/>
      <c r="H903" s="439"/>
      <c r="I903" s="441"/>
      <c r="J903" s="442"/>
      <c r="K903" s="442"/>
      <c r="L903" s="439"/>
      <c r="M903" s="439"/>
      <c r="N903" s="443"/>
    </row>
    <row r="904" spans="2:14">
      <c r="B904" s="444"/>
      <c r="F904" s="439"/>
      <c r="G904" s="440"/>
      <c r="H904" s="439"/>
      <c r="I904" s="441"/>
      <c r="J904" s="442"/>
      <c r="K904" s="442"/>
      <c r="L904" s="439"/>
      <c r="M904" s="439"/>
      <c r="N904" s="443"/>
    </row>
    <row r="905" spans="2:14">
      <c r="B905" s="444"/>
      <c r="F905" s="439"/>
      <c r="G905" s="440"/>
      <c r="H905" s="439"/>
      <c r="I905" s="441"/>
      <c r="J905" s="442"/>
      <c r="K905" s="442"/>
      <c r="L905" s="439"/>
      <c r="M905" s="439"/>
      <c r="N905" s="443"/>
    </row>
    <row r="906" spans="2:14">
      <c r="B906" s="444"/>
      <c r="F906" s="439"/>
      <c r="G906" s="440"/>
      <c r="H906" s="439"/>
      <c r="I906" s="441"/>
      <c r="J906" s="442"/>
      <c r="K906" s="442"/>
      <c r="L906" s="439"/>
      <c r="M906" s="439"/>
      <c r="N906" s="443"/>
    </row>
    <row r="907" spans="2:14">
      <c r="B907" s="444"/>
      <c r="F907" s="439"/>
      <c r="G907" s="440"/>
      <c r="H907" s="439"/>
      <c r="I907" s="441"/>
      <c r="J907" s="442"/>
      <c r="K907" s="442"/>
      <c r="L907" s="439"/>
      <c r="M907" s="439"/>
      <c r="N907" s="443"/>
    </row>
    <row r="908" spans="2:14">
      <c r="B908" s="444"/>
      <c r="F908" s="439"/>
      <c r="G908" s="440"/>
      <c r="H908" s="439"/>
      <c r="I908" s="441"/>
      <c r="J908" s="442"/>
      <c r="K908" s="442"/>
      <c r="L908" s="439"/>
      <c r="M908" s="439"/>
      <c r="N908" s="443"/>
    </row>
    <row r="909" spans="2:14">
      <c r="B909" s="444"/>
      <c r="F909" s="439"/>
      <c r="G909" s="440"/>
      <c r="H909" s="439"/>
      <c r="I909" s="441"/>
      <c r="J909" s="442"/>
      <c r="K909" s="442"/>
      <c r="L909" s="439"/>
      <c r="M909" s="439"/>
      <c r="N909" s="443"/>
    </row>
    <row r="910" spans="2:14">
      <c r="B910" s="444"/>
      <c r="F910" s="439"/>
      <c r="G910" s="440"/>
      <c r="H910" s="439"/>
      <c r="I910" s="441"/>
      <c r="J910" s="442"/>
      <c r="K910" s="442"/>
      <c r="L910" s="439"/>
      <c r="M910" s="439"/>
      <c r="N910" s="443"/>
    </row>
    <row r="911" spans="2:14">
      <c r="B911" s="444"/>
      <c r="F911" s="439"/>
      <c r="G911" s="440"/>
      <c r="H911" s="439"/>
      <c r="I911" s="441"/>
      <c r="J911" s="442"/>
      <c r="K911" s="442"/>
      <c r="L911" s="439"/>
      <c r="M911" s="439"/>
      <c r="N911" s="443"/>
    </row>
    <row r="912" spans="2:14">
      <c r="B912" s="444"/>
      <c r="F912" s="439"/>
      <c r="G912" s="440"/>
      <c r="H912" s="439"/>
      <c r="I912" s="441"/>
      <c r="J912" s="442"/>
      <c r="K912" s="442"/>
      <c r="L912" s="439"/>
      <c r="M912" s="439"/>
      <c r="N912" s="443"/>
    </row>
    <row r="913" spans="2:14">
      <c r="B913" s="444"/>
      <c r="F913" s="439"/>
      <c r="G913" s="440"/>
      <c r="H913" s="439"/>
      <c r="I913" s="441"/>
      <c r="J913" s="442"/>
      <c r="K913" s="442"/>
      <c r="L913" s="439"/>
      <c r="M913" s="439"/>
      <c r="N913" s="443"/>
    </row>
    <row r="914" spans="2:14">
      <c r="B914" s="444"/>
      <c r="F914" s="439"/>
      <c r="G914" s="440"/>
      <c r="H914" s="439"/>
      <c r="I914" s="441"/>
      <c r="J914" s="442"/>
      <c r="K914" s="442"/>
      <c r="L914" s="439"/>
      <c r="M914" s="439"/>
      <c r="N914" s="443"/>
    </row>
    <row r="915" spans="2:14">
      <c r="B915" s="444"/>
      <c r="F915" s="439"/>
      <c r="G915" s="440"/>
      <c r="H915" s="439"/>
      <c r="I915" s="441"/>
      <c r="J915" s="442"/>
      <c r="K915" s="442"/>
      <c r="L915" s="439"/>
      <c r="M915" s="439"/>
      <c r="N915" s="443"/>
    </row>
    <row r="916" spans="2:14">
      <c r="B916" s="444"/>
      <c r="F916" s="439"/>
      <c r="G916" s="440"/>
      <c r="H916" s="439"/>
      <c r="I916" s="441"/>
      <c r="J916" s="442"/>
      <c r="K916" s="442"/>
      <c r="L916" s="439"/>
      <c r="M916" s="439"/>
      <c r="N916" s="443"/>
    </row>
    <row r="917" spans="2:14">
      <c r="B917" s="444"/>
      <c r="F917" s="439"/>
      <c r="G917" s="440"/>
      <c r="H917" s="439"/>
      <c r="I917" s="441"/>
      <c r="J917" s="442"/>
      <c r="K917" s="442"/>
      <c r="L917" s="439"/>
      <c r="M917" s="439"/>
      <c r="N917" s="443"/>
    </row>
    <row r="918" spans="2:14">
      <c r="B918" s="444"/>
      <c r="F918" s="439"/>
      <c r="G918" s="440"/>
      <c r="H918" s="439"/>
      <c r="I918" s="441"/>
      <c r="J918" s="442"/>
      <c r="K918" s="442"/>
      <c r="L918" s="439"/>
      <c r="M918" s="439"/>
      <c r="N918" s="443"/>
    </row>
    <row r="919" spans="2:14">
      <c r="B919" s="444"/>
      <c r="F919" s="439"/>
      <c r="G919" s="440"/>
      <c r="H919" s="439"/>
      <c r="I919" s="441"/>
      <c r="J919" s="442"/>
      <c r="K919" s="442"/>
      <c r="L919" s="439"/>
      <c r="M919" s="439"/>
      <c r="N919" s="443"/>
    </row>
    <row r="920" spans="2:14">
      <c r="B920" s="444"/>
      <c r="F920" s="439"/>
      <c r="G920" s="440"/>
      <c r="H920" s="439"/>
      <c r="I920" s="441"/>
      <c r="J920" s="442"/>
      <c r="K920" s="442"/>
      <c r="L920" s="439"/>
      <c r="M920" s="439"/>
      <c r="N920" s="443"/>
    </row>
    <row r="921" spans="2:14">
      <c r="B921" s="444"/>
      <c r="F921" s="439"/>
      <c r="G921" s="440"/>
      <c r="H921" s="439"/>
      <c r="I921" s="441"/>
      <c r="J921" s="442"/>
      <c r="K921" s="442"/>
      <c r="L921" s="439"/>
      <c r="M921" s="439"/>
      <c r="N921" s="443"/>
    </row>
    <row r="922" spans="2:14">
      <c r="B922" s="444"/>
      <c r="F922" s="439"/>
      <c r="G922" s="440"/>
      <c r="H922" s="439"/>
      <c r="I922" s="441"/>
      <c r="J922" s="442"/>
      <c r="K922" s="442"/>
      <c r="L922" s="439"/>
      <c r="M922" s="439"/>
      <c r="N922" s="443"/>
    </row>
    <row r="923" spans="2:14">
      <c r="B923" s="444"/>
      <c r="F923" s="439"/>
      <c r="G923" s="440"/>
      <c r="H923" s="439"/>
      <c r="I923" s="441"/>
      <c r="J923" s="442"/>
      <c r="K923" s="442"/>
      <c r="L923" s="439"/>
      <c r="M923" s="439"/>
      <c r="N923" s="443"/>
    </row>
    <row r="924" spans="2:14">
      <c r="B924" s="444"/>
      <c r="F924" s="439"/>
      <c r="G924" s="440"/>
      <c r="H924" s="439"/>
      <c r="I924" s="441"/>
      <c r="J924" s="442"/>
      <c r="K924" s="442"/>
      <c r="L924" s="439"/>
      <c r="M924" s="439"/>
      <c r="N924" s="443"/>
    </row>
    <row r="925" spans="2:14">
      <c r="B925" s="444"/>
      <c r="F925" s="439"/>
      <c r="G925" s="440"/>
      <c r="H925" s="439"/>
      <c r="I925" s="441"/>
      <c r="J925" s="442"/>
      <c r="K925" s="442"/>
      <c r="L925" s="439"/>
      <c r="M925" s="439"/>
      <c r="N925" s="443"/>
    </row>
    <row r="926" spans="2:14">
      <c r="B926" s="444"/>
      <c r="F926" s="439"/>
      <c r="G926" s="440"/>
      <c r="H926" s="439"/>
      <c r="I926" s="441"/>
      <c r="J926" s="442"/>
      <c r="K926" s="442"/>
      <c r="L926" s="439"/>
      <c r="M926" s="439"/>
      <c r="N926" s="443"/>
    </row>
    <row r="927" spans="2:14">
      <c r="B927" s="444"/>
      <c r="F927" s="439"/>
      <c r="G927" s="440"/>
      <c r="H927" s="439"/>
      <c r="I927" s="441"/>
      <c r="J927" s="442"/>
      <c r="K927" s="442"/>
      <c r="L927" s="439"/>
      <c r="M927" s="439"/>
      <c r="N927" s="443"/>
    </row>
    <row r="928" spans="2:14">
      <c r="B928" s="444"/>
      <c r="F928" s="439"/>
      <c r="G928" s="440"/>
      <c r="H928" s="439"/>
      <c r="I928" s="441"/>
      <c r="J928" s="442"/>
      <c r="K928" s="442"/>
      <c r="L928" s="439"/>
      <c r="M928" s="439"/>
      <c r="N928" s="443"/>
    </row>
    <row r="929" spans="2:14">
      <c r="B929" s="444"/>
      <c r="F929" s="439"/>
      <c r="G929" s="440"/>
      <c r="H929" s="439"/>
      <c r="I929" s="441"/>
      <c r="J929" s="442"/>
      <c r="K929" s="442"/>
      <c r="L929" s="439"/>
      <c r="M929" s="439"/>
      <c r="N929" s="443"/>
    </row>
    <row r="930" spans="2:14">
      <c r="B930" s="444"/>
      <c r="F930" s="439"/>
      <c r="G930" s="440"/>
      <c r="H930" s="439"/>
      <c r="I930" s="441"/>
      <c r="J930" s="442"/>
      <c r="K930" s="442"/>
      <c r="L930" s="439"/>
      <c r="M930" s="439"/>
      <c r="N930" s="443"/>
    </row>
    <row r="931" spans="2:14">
      <c r="B931" s="444"/>
      <c r="F931" s="439"/>
      <c r="G931" s="440"/>
      <c r="H931" s="439"/>
      <c r="I931" s="441"/>
      <c r="J931" s="442"/>
      <c r="K931" s="442"/>
      <c r="L931" s="439"/>
      <c r="M931" s="439"/>
      <c r="N931" s="443"/>
    </row>
    <row r="932" spans="2:14">
      <c r="B932" s="444"/>
      <c r="F932" s="439"/>
      <c r="G932" s="440"/>
      <c r="H932" s="439"/>
      <c r="I932" s="442"/>
      <c r="J932" s="442"/>
      <c r="K932" s="442"/>
      <c r="L932" s="439"/>
      <c r="M932" s="439"/>
      <c r="N932" s="443"/>
    </row>
    <row r="933" spans="2:14">
      <c r="B933" s="444"/>
      <c r="F933" s="439"/>
      <c r="G933" s="440"/>
      <c r="H933" s="439"/>
      <c r="I933" s="442"/>
      <c r="J933" s="442"/>
      <c r="K933" s="442"/>
      <c r="L933" s="439"/>
      <c r="M933" s="439"/>
      <c r="N933" s="443"/>
    </row>
    <row r="934" spans="2:14">
      <c r="B934" s="444"/>
      <c r="F934" s="439"/>
      <c r="G934" s="440"/>
      <c r="H934" s="439"/>
      <c r="I934" s="442"/>
      <c r="J934" s="442"/>
      <c r="K934" s="442"/>
      <c r="L934" s="439"/>
      <c r="M934" s="439"/>
      <c r="N934" s="443"/>
    </row>
    <row r="935" spans="2:14">
      <c r="B935" s="444"/>
      <c r="F935" s="439"/>
      <c r="G935" s="440"/>
      <c r="H935" s="439"/>
      <c r="I935" s="442"/>
      <c r="J935" s="442"/>
      <c r="K935" s="442"/>
      <c r="L935" s="439"/>
      <c r="M935" s="439"/>
      <c r="N935" s="443"/>
    </row>
    <row r="936" spans="2:14">
      <c r="B936" s="444"/>
      <c r="F936" s="439"/>
      <c r="G936" s="440"/>
      <c r="H936" s="439"/>
      <c r="I936" s="442"/>
      <c r="J936" s="442"/>
      <c r="K936" s="442"/>
      <c r="L936" s="439"/>
      <c r="M936" s="439"/>
      <c r="N936" s="443"/>
    </row>
    <row r="937" spans="2:14">
      <c r="B937" s="444"/>
      <c r="F937" s="439"/>
      <c r="G937" s="440"/>
      <c r="H937" s="439"/>
      <c r="I937" s="442"/>
      <c r="J937" s="442"/>
      <c r="K937" s="442"/>
      <c r="L937" s="439"/>
      <c r="M937" s="439"/>
      <c r="N937" s="443"/>
    </row>
    <row r="938" spans="2:14">
      <c r="B938" s="444"/>
      <c r="F938" s="439"/>
      <c r="G938" s="440"/>
      <c r="H938" s="439"/>
      <c r="I938" s="442"/>
      <c r="J938" s="442"/>
      <c r="K938" s="442"/>
      <c r="L938" s="439"/>
      <c r="M938" s="439"/>
      <c r="N938" s="443"/>
    </row>
    <row r="939" spans="2:14">
      <c r="B939" s="444"/>
      <c r="F939" s="439"/>
      <c r="G939" s="440"/>
      <c r="H939" s="439"/>
      <c r="I939" s="442"/>
      <c r="J939" s="442"/>
      <c r="K939" s="442"/>
      <c r="L939" s="439"/>
      <c r="M939" s="439"/>
      <c r="N939" s="443"/>
    </row>
    <row r="940" spans="2:14">
      <c r="B940" s="444"/>
      <c r="F940" s="439"/>
      <c r="G940" s="440"/>
      <c r="H940" s="439"/>
      <c r="I940" s="442"/>
      <c r="J940" s="442"/>
      <c r="K940" s="441"/>
      <c r="L940" s="439"/>
      <c r="M940" s="439"/>
      <c r="N940" s="443"/>
    </row>
    <row r="941" spans="2:14">
      <c r="B941" s="444"/>
      <c r="F941" s="439"/>
      <c r="G941" s="440"/>
      <c r="H941" s="439"/>
      <c r="I941" s="442"/>
      <c r="J941" s="442"/>
      <c r="K941" s="442"/>
      <c r="L941" s="439"/>
      <c r="M941" s="439"/>
      <c r="N941" s="443"/>
    </row>
    <row r="942" spans="2:14">
      <c r="B942" s="444"/>
      <c r="F942" s="439"/>
      <c r="G942" s="440"/>
      <c r="H942" s="439"/>
      <c r="I942" s="442"/>
      <c r="J942" s="442"/>
      <c r="K942" s="441"/>
      <c r="L942" s="439"/>
      <c r="M942" s="439"/>
      <c r="N942" s="443"/>
    </row>
    <row r="943" spans="2:14">
      <c r="B943" s="444"/>
      <c r="F943" s="439"/>
      <c r="G943" s="440"/>
      <c r="H943" s="439"/>
      <c r="I943" s="442"/>
      <c r="J943" s="442"/>
      <c r="K943" s="441"/>
      <c r="L943" s="439"/>
      <c r="M943" s="439"/>
      <c r="N943" s="443"/>
    </row>
    <row r="944" spans="2:14">
      <c r="B944" s="444"/>
      <c r="F944" s="439"/>
      <c r="G944" s="440"/>
      <c r="H944" s="439"/>
      <c r="I944" s="442"/>
      <c r="J944" s="442"/>
      <c r="K944" s="441"/>
      <c r="L944" s="439"/>
      <c r="M944" s="439"/>
      <c r="N944" s="443"/>
    </row>
    <row r="945" spans="2:14">
      <c r="B945" s="444"/>
      <c r="F945" s="439"/>
      <c r="G945" s="440"/>
      <c r="H945" s="439"/>
      <c r="I945" s="442"/>
      <c r="J945" s="442"/>
      <c r="K945" s="441"/>
      <c r="L945" s="439"/>
      <c r="M945" s="439"/>
      <c r="N945" s="443"/>
    </row>
    <row r="946" spans="2:14">
      <c r="B946" s="444"/>
      <c r="F946" s="439"/>
      <c r="G946" s="440"/>
      <c r="H946" s="439"/>
      <c r="I946" s="442"/>
      <c r="J946" s="442"/>
      <c r="K946" s="441"/>
      <c r="L946" s="439"/>
      <c r="M946" s="439"/>
      <c r="N946" s="443"/>
    </row>
    <row r="947" spans="2:14">
      <c r="B947" s="444"/>
      <c r="F947" s="439"/>
      <c r="G947" s="440"/>
      <c r="H947" s="439"/>
      <c r="I947" s="442"/>
      <c r="J947" s="442"/>
      <c r="K947" s="442"/>
      <c r="L947" s="439"/>
      <c r="M947" s="439"/>
      <c r="N947" s="443"/>
    </row>
    <row r="948" spans="2:14">
      <c r="B948" s="444"/>
      <c r="F948" s="439"/>
      <c r="G948" s="440"/>
      <c r="H948" s="439"/>
      <c r="I948" s="442"/>
      <c r="J948" s="442"/>
      <c r="K948" s="442"/>
      <c r="L948" s="439"/>
      <c r="M948" s="439"/>
      <c r="N948" s="443"/>
    </row>
    <row r="949" spans="2:14">
      <c r="B949" s="444"/>
      <c r="F949" s="439"/>
      <c r="G949" s="440"/>
      <c r="H949" s="439"/>
      <c r="I949" s="442"/>
      <c r="J949" s="442"/>
      <c r="K949" s="442"/>
      <c r="L949" s="439"/>
      <c r="M949" s="439"/>
      <c r="N949" s="443"/>
    </row>
    <row r="950" spans="2:14">
      <c r="B950" s="444"/>
      <c r="F950" s="439"/>
      <c r="G950" s="440"/>
      <c r="H950" s="439"/>
      <c r="I950" s="442"/>
      <c r="J950" s="442"/>
      <c r="K950" s="441"/>
      <c r="L950" s="439"/>
      <c r="M950" s="439"/>
      <c r="N950" s="443"/>
    </row>
    <row r="951" spans="2:14">
      <c r="B951" s="444"/>
      <c r="F951" s="439"/>
      <c r="G951" s="440"/>
      <c r="H951" s="439"/>
      <c r="I951" s="442"/>
      <c r="J951" s="442"/>
      <c r="K951" s="442"/>
      <c r="L951" s="439"/>
      <c r="M951" s="439"/>
      <c r="N951" s="443"/>
    </row>
    <row r="952" spans="2:14">
      <c r="B952" s="444"/>
      <c r="F952" s="439"/>
      <c r="G952" s="440"/>
      <c r="H952" s="439"/>
      <c r="I952" s="442"/>
      <c r="J952" s="442"/>
      <c r="K952" s="441"/>
      <c r="L952" s="439"/>
      <c r="M952" s="439"/>
      <c r="N952" s="443"/>
    </row>
    <row r="953" spans="2:14">
      <c r="B953" s="444"/>
      <c r="F953" s="439"/>
      <c r="G953" s="440"/>
      <c r="H953" s="439"/>
      <c r="I953" s="442"/>
      <c r="J953" s="442"/>
      <c r="K953" s="441"/>
      <c r="L953" s="439"/>
      <c r="M953" s="439"/>
      <c r="N953" s="443"/>
    </row>
    <row r="954" spans="2:14">
      <c r="B954" s="444"/>
      <c r="F954" s="439"/>
      <c r="G954" s="440"/>
      <c r="H954" s="439"/>
      <c r="I954" s="442"/>
      <c r="J954" s="442"/>
      <c r="K954" s="441"/>
      <c r="L954" s="439"/>
      <c r="M954" s="439"/>
      <c r="N954" s="443"/>
    </row>
    <row r="955" spans="2:14">
      <c r="B955" s="444"/>
      <c r="F955" s="439"/>
      <c r="G955" s="440"/>
      <c r="H955" s="439"/>
      <c r="I955" s="442"/>
      <c r="J955" s="442"/>
      <c r="K955" s="441"/>
      <c r="L955" s="439"/>
      <c r="M955" s="439"/>
      <c r="N955" s="443"/>
    </row>
    <row r="956" spans="2:14">
      <c r="B956" s="444"/>
      <c r="F956" s="439"/>
      <c r="G956" s="440"/>
      <c r="H956" s="439"/>
      <c r="I956" s="442"/>
      <c r="J956" s="442"/>
      <c r="K956" s="441"/>
      <c r="L956" s="439"/>
      <c r="M956" s="439"/>
      <c r="N956" s="443"/>
    </row>
    <row r="957" spans="2:14">
      <c r="B957" s="444"/>
      <c r="F957" s="439"/>
      <c r="G957" s="440"/>
      <c r="H957" s="439"/>
      <c r="I957" s="442"/>
      <c r="J957" s="442"/>
      <c r="K957" s="442"/>
      <c r="L957" s="439"/>
      <c r="M957" s="439"/>
      <c r="N957" s="443"/>
    </row>
    <row r="958" spans="2:14">
      <c r="B958" s="444"/>
      <c r="F958" s="439"/>
      <c r="G958" s="440"/>
      <c r="H958" s="439"/>
      <c r="I958" s="441"/>
      <c r="J958" s="442"/>
      <c r="K958" s="442"/>
      <c r="L958" s="439"/>
      <c r="M958" s="439"/>
      <c r="N958" s="443"/>
    </row>
    <row r="959" spans="2:14">
      <c r="B959" s="444"/>
      <c r="F959" s="439"/>
      <c r="G959" s="440"/>
      <c r="H959" s="439"/>
      <c r="I959" s="441"/>
      <c r="J959" s="442"/>
      <c r="K959" s="442"/>
      <c r="L959" s="439"/>
      <c r="M959" s="439"/>
      <c r="N959" s="443"/>
    </row>
    <row r="960" spans="2:14">
      <c r="B960" s="444"/>
      <c r="F960" s="439"/>
      <c r="G960" s="440"/>
      <c r="H960" s="439"/>
      <c r="I960" s="441"/>
      <c r="J960" s="442"/>
      <c r="K960" s="442"/>
      <c r="L960" s="439"/>
      <c r="M960" s="439"/>
      <c r="N960" s="443"/>
    </row>
    <row r="961" spans="2:14">
      <c r="B961" s="444"/>
      <c r="F961" s="439"/>
      <c r="G961" s="440"/>
      <c r="H961" s="439"/>
      <c r="I961" s="442"/>
      <c r="J961" s="442"/>
      <c r="K961" s="442"/>
      <c r="L961" s="439"/>
      <c r="M961" s="439"/>
      <c r="N961" s="443"/>
    </row>
    <row r="962" spans="2:14">
      <c r="B962" s="444"/>
      <c r="F962" s="439"/>
      <c r="G962" s="440"/>
      <c r="H962" s="439"/>
      <c r="I962" s="442"/>
      <c r="J962" s="442"/>
      <c r="K962" s="442"/>
      <c r="L962" s="439"/>
      <c r="M962" s="439"/>
      <c r="N962" s="443"/>
    </row>
    <row r="963" spans="2:14">
      <c r="B963" s="444"/>
      <c r="F963" s="439"/>
      <c r="G963" s="440"/>
      <c r="H963" s="439"/>
      <c r="I963" s="442"/>
      <c r="J963" s="442"/>
      <c r="K963" s="442"/>
      <c r="L963" s="439"/>
      <c r="M963" s="439"/>
      <c r="N963" s="443"/>
    </row>
    <row r="964" spans="2:14">
      <c r="B964" s="444"/>
      <c r="F964" s="439"/>
      <c r="G964" s="440"/>
      <c r="H964" s="439"/>
      <c r="I964" s="442"/>
      <c r="J964" s="442"/>
      <c r="K964" s="442"/>
      <c r="L964" s="439"/>
      <c r="M964" s="439"/>
      <c r="N964" s="443"/>
    </row>
    <row r="965" spans="2:14">
      <c r="B965" s="444"/>
      <c r="F965" s="439"/>
      <c r="G965" s="440"/>
      <c r="H965" s="439"/>
      <c r="I965" s="442"/>
      <c r="J965" s="442"/>
      <c r="K965" s="442"/>
      <c r="L965" s="439"/>
      <c r="M965" s="439"/>
      <c r="N965" s="443"/>
    </row>
    <row r="966" spans="2:14">
      <c r="B966" s="444"/>
      <c r="F966" s="439"/>
      <c r="G966" s="440"/>
      <c r="H966" s="439"/>
      <c r="I966" s="442"/>
      <c r="J966" s="442"/>
      <c r="K966" s="442"/>
      <c r="L966" s="439"/>
      <c r="M966" s="439"/>
      <c r="N966" s="443"/>
    </row>
    <row r="967" spans="2:14">
      <c r="B967" s="444"/>
      <c r="F967" s="439"/>
      <c r="G967" s="440"/>
      <c r="H967" s="439"/>
      <c r="I967" s="442"/>
      <c r="J967" s="442"/>
      <c r="K967" s="442"/>
      <c r="L967" s="439"/>
      <c r="M967" s="439"/>
      <c r="N967" s="443"/>
    </row>
    <row r="968" spans="2:14">
      <c r="B968" s="444"/>
      <c r="F968" s="439"/>
      <c r="G968" s="440"/>
      <c r="H968" s="439"/>
      <c r="I968" s="442"/>
      <c r="J968" s="442"/>
      <c r="K968" s="442"/>
      <c r="L968" s="439"/>
      <c r="M968" s="439"/>
      <c r="N968" s="443"/>
    </row>
    <row r="969" spans="2:14">
      <c r="B969" s="444"/>
      <c r="F969" s="439"/>
      <c r="G969" s="440"/>
      <c r="H969" s="439"/>
      <c r="I969" s="442"/>
      <c r="J969" s="442"/>
      <c r="K969" s="442"/>
      <c r="L969" s="439"/>
      <c r="M969" s="439"/>
      <c r="N969" s="443"/>
    </row>
    <row r="970" spans="2:14">
      <c r="B970" s="444"/>
      <c r="F970" s="439"/>
      <c r="G970" s="440"/>
      <c r="H970" s="439"/>
      <c r="I970" s="442"/>
      <c r="J970" s="442"/>
      <c r="K970" s="442"/>
      <c r="L970" s="439"/>
      <c r="M970" s="439"/>
      <c r="N970" s="443"/>
    </row>
    <row r="971" spans="2:14">
      <c r="B971" s="444"/>
      <c r="F971" s="439"/>
      <c r="G971" s="440"/>
      <c r="H971" s="439"/>
      <c r="I971" s="442"/>
      <c r="J971" s="442"/>
      <c r="K971" s="442"/>
      <c r="L971" s="439"/>
      <c r="M971" s="439"/>
      <c r="N971" s="443"/>
    </row>
    <row r="972" spans="2:14">
      <c r="B972" s="444"/>
      <c r="F972" s="439"/>
      <c r="G972" s="440"/>
      <c r="H972" s="439"/>
      <c r="I972" s="442"/>
      <c r="J972" s="442"/>
      <c r="K972" s="442"/>
      <c r="L972" s="439"/>
      <c r="M972" s="439"/>
      <c r="N972" s="443"/>
    </row>
    <row r="973" spans="2:14">
      <c r="B973" s="444"/>
      <c r="F973" s="439"/>
      <c r="G973" s="440"/>
      <c r="H973" s="439"/>
      <c r="I973" s="442"/>
      <c r="J973" s="442"/>
      <c r="K973" s="442"/>
      <c r="L973" s="439"/>
      <c r="M973" s="439"/>
      <c r="N973" s="443"/>
    </row>
    <row r="974" spans="2:14">
      <c r="B974" s="444"/>
      <c r="F974" s="439"/>
      <c r="G974" s="440"/>
      <c r="H974" s="439"/>
      <c r="I974" s="442"/>
      <c r="J974" s="442"/>
      <c r="K974" s="442"/>
      <c r="L974" s="439"/>
      <c r="M974" s="439"/>
      <c r="N974" s="443"/>
    </row>
    <row r="975" spans="2:14">
      <c r="B975" s="444"/>
      <c r="F975" s="439"/>
      <c r="G975" s="440"/>
      <c r="H975" s="439"/>
      <c r="I975" s="441"/>
      <c r="J975" s="442"/>
      <c r="K975" s="442"/>
      <c r="L975" s="439"/>
      <c r="M975" s="439"/>
      <c r="N975" s="443"/>
    </row>
    <row r="976" spans="2:14">
      <c r="B976" s="444"/>
      <c r="F976" s="439"/>
      <c r="G976" s="440"/>
      <c r="H976" s="439"/>
      <c r="I976" s="441"/>
      <c r="J976" s="442"/>
      <c r="K976" s="442"/>
      <c r="L976" s="439"/>
      <c r="M976" s="439"/>
      <c r="N976" s="443"/>
    </row>
    <row r="977" spans="2:14">
      <c r="B977" s="444"/>
      <c r="F977" s="439"/>
      <c r="G977" s="440"/>
      <c r="H977" s="439"/>
      <c r="I977" s="441"/>
      <c r="J977" s="442"/>
      <c r="K977" s="442"/>
      <c r="L977" s="439"/>
      <c r="M977" s="439"/>
      <c r="N977" s="443"/>
    </row>
    <row r="978" spans="2:14">
      <c r="B978" s="444"/>
      <c r="F978" s="439"/>
      <c r="G978" s="440"/>
      <c r="H978" s="439"/>
      <c r="I978" s="441"/>
      <c r="J978" s="442"/>
      <c r="K978" s="442"/>
      <c r="L978" s="439"/>
      <c r="M978" s="439"/>
      <c r="N978" s="443"/>
    </row>
    <row r="979" spans="2:14">
      <c r="B979" s="444"/>
      <c r="F979" s="439"/>
      <c r="G979" s="440"/>
      <c r="H979" s="439"/>
      <c r="I979" s="441"/>
      <c r="J979" s="442"/>
      <c r="K979" s="442"/>
      <c r="L979" s="439"/>
      <c r="M979" s="439"/>
      <c r="N979" s="443"/>
    </row>
    <row r="980" spans="2:14">
      <c r="B980" s="444"/>
      <c r="F980" s="439"/>
      <c r="G980" s="440"/>
      <c r="H980" s="439"/>
      <c r="I980" s="441"/>
      <c r="J980" s="442"/>
      <c r="K980" s="442"/>
      <c r="L980" s="439"/>
      <c r="M980" s="439"/>
      <c r="N980" s="443"/>
    </row>
    <row r="981" spans="2:14">
      <c r="B981" s="444"/>
      <c r="F981" s="439"/>
      <c r="G981" s="440"/>
      <c r="H981" s="439"/>
      <c r="I981" s="441"/>
      <c r="J981" s="442"/>
      <c r="K981" s="442"/>
      <c r="L981" s="439"/>
      <c r="M981" s="439"/>
      <c r="N981" s="443"/>
    </row>
    <row r="982" spans="2:14">
      <c r="B982" s="444"/>
      <c r="F982" s="439"/>
      <c r="G982" s="440"/>
      <c r="H982" s="439"/>
      <c r="I982" s="441"/>
      <c r="J982" s="442"/>
      <c r="K982" s="442"/>
      <c r="L982" s="439"/>
      <c r="M982" s="439"/>
      <c r="N982" s="443"/>
    </row>
    <row r="983" spans="2:14">
      <c r="B983" s="444"/>
      <c r="F983" s="439"/>
      <c r="G983" s="440"/>
      <c r="H983" s="439"/>
      <c r="I983" s="441"/>
      <c r="J983" s="442"/>
      <c r="K983" s="442"/>
      <c r="L983" s="439"/>
      <c r="M983" s="439"/>
      <c r="N983" s="443"/>
    </row>
    <row r="984" spans="2:14">
      <c r="B984" s="444"/>
      <c r="F984" s="439"/>
      <c r="G984" s="440"/>
      <c r="H984" s="439"/>
      <c r="I984" s="441"/>
      <c r="J984" s="442"/>
      <c r="K984" s="442"/>
      <c r="L984" s="439"/>
      <c r="M984" s="439"/>
      <c r="N984" s="443"/>
    </row>
    <row r="985" spans="2:14">
      <c r="B985" s="444"/>
      <c r="F985" s="439"/>
      <c r="G985" s="440"/>
      <c r="H985" s="439"/>
      <c r="I985" s="441"/>
      <c r="J985" s="442"/>
      <c r="K985" s="442"/>
      <c r="L985" s="439"/>
      <c r="M985" s="439"/>
      <c r="N985" s="443"/>
    </row>
    <row r="986" spans="2:14">
      <c r="B986" s="444"/>
      <c r="F986" s="439"/>
      <c r="G986" s="440"/>
      <c r="H986" s="439"/>
      <c r="I986" s="441"/>
      <c r="J986" s="442"/>
      <c r="K986" s="442"/>
      <c r="L986" s="439"/>
      <c r="M986" s="439"/>
      <c r="N986" s="443"/>
    </row>
    <row r="987" spans="2:14">
      <c r="B987" s="444"/>
      <c r="F987" s="439"/>
      <c r="G987" s="440"/>
      <c r="H987" s="439"/>
      <c r="I987" s="441"/>
      <c r="J987" s="441"/>
      <c r="K987" s="441"/>
      <c r="L987" s="439"/>
      <c r="M987" s="439"/>
      <c r="N987" s="443"/>
    </row>
    <row r="988" spans="2:14">
      <c r="B988" s="444"/>
      <c r="F988" s="439"/>
      <c r="G988" s="440"/>
      <c r="H988" s="439"/>
      <c r="I988" s="441"/>
      <c r="J988" s="441"/>
      <c r="K988" s="441"/>
      <c r="L988" s="439"/>
      <c r="M988" s="439"/>
      <c r="N988" s="443"/>
    </row>
    <row r="989" spans="2:14">
      <c r="B989" s="444"/>
      <c r="F989" s="439"/>
      <c r="G989" s="440"/>
      <c r="H989" s="439"/>
      <c r="I989" s="441"/>
      <c r="J989" s="441"/>
      <c r="K989" s="441"/>
      <c r="L989" s="439"/>
      <c r="M989" s="439"/>
      <c r="N989" s="443"/>
    </row>
    <row r="990" spans="2:14">
      <c r="B990" s="444"/>
      <c r="F990" s="439"/>
      <c r="G990" s="440"/>
      <c r="H990" s="439"/>
      <c r="I990" s="441"/>
      <c r="J990" s="441"/>
      <c r="K990" s="441"/>
      <c r="L990" s="439"/>
      <c r="M990" s="439"/>
      <c r="N990" s="443"/>
    </row>
    <row r="991" spans="2:14">
      <c r="B991" s="444"/>
      <c r="F991" s="439"/>
      <c r="G991" s="440"/>
      <c r="H991" s="439"/>
      <c r="I991" s="441"/>
      <c r="J991" s="441"/>
      <c r="K991" s="441"/>
      <c r="L991" s="439"/>
      <c r="M991" s="439"/>
      <c r="N991" s="443"/>
    </row>
    <row r="992" spans="2:14">
      <c r="B992" s="444"/>
      <c r="F992" s="439"/>
      <c r="G992" s="440"/>
      <c r="H992" s="439"/>
      <c r="I992" s="441"/>
      <c r="J992" s="441"/>
      <c r="K992" s="441"/>
      <c r="L992" s="439"/>
      <c r="M992" s="439"/>
      <c r="N992" s="443"/>
    </row>
    <row r="993" spans="2:14">
      <c r="B993" s="444"/>
      <c r="F993" s="439"/>
      <c r="G993" s="440"/>
      <c r="H993" s="439"/>
      <c r="I993" s="441"/>
      <c r="J993" s="441"/>
      <c r="K993" s="441"/>
      <c r="L993" s="439"/>
      <c r="M993" s="439"/>
      <c r="N993" s="443"/>
    </row>
    <row r="994" spans="2:14">
      <c r="B994" s="444"/>
      <c r="F994" s="439"/>
      <c r="G994" s="440"/>
      <c r="H994" s="439"/>
      <c r="I994" s="441"/>
      <c r="J994" s="441"/>
      <c r="K994" s="441"/>
      <c r="L994" s="439"/>
      <c r="M994" s="439"/>
      <c r="N994" s="443"/>
    </row>
    <row r="995" spans="2:14">
      <c r="B995" s="444"/>
      <c r="F995" s="439"/>
      <c r="G995" s="440"/>
      <c r="H995" s="439"/>
      <c r="I995" s="441"/>
      <c r="J995" s="441"/>
      <c r="K995" s="441"/>
      <c r="L995" s="439"/>
      <c r="M995" s="439"/>
      <c r="N995" s="443"/>
    </row>
    <row r="996" spans="2:14">
      <c r="B996" s="444"/>
      <c r="F996" s="439"/>
      <c r="G996" s="440"/>
      <c r="H996" s="439"/>
      <c r="I996" s="441"/>
      <c r="J996" s="441"/>
      <c r="K996" s="441"/>
      <c r="L996" s="439"/>
      <c r="M996" s="439"/>
      <c r="N996" s="443"/>
    </row>
    <row r="997" spans="2:14">
      <c r="B997" s="444"/>
      <c r="F997" s="439"/>
      <c r="G997" s="440"/>
      <c r="H997" s="439"/>
      <c r="I997" s="441"/>
      <c r="J997" s="441"/>
      <c r="K997" s="441"/>
      <c r="L997" s="439"/>
      <c r="M997" s="439"/>
      <c r="N997" s="443"/>
    </row>
    <row r="998" spans="2:14">
      <c r="B998" s="444"/>
      <c r="F998" s="439"/>
      <c r="G998" s="440"/>
      <c r="H998" s="439"/>
      <c r="I998" s="441"/>
      <c r="J998" s="441"/>
      <c r="K998" s="441"/>
      <c r="L998" s="439"/>
      <c r="M998" s="439"/>
      <c r="N998" s="443"/>
    </row>
    <row r="999" spans="2:14">
      <c r="B999" s="444"/>
      <c r="F999" s="439"/>
      <c r="G999" s="440"/>
      <c r="H999" s="439"/>
      <c r="I999" s="441"/>
      <c r="J999" s="441"/>
      <c r="K999" s="441"/>
      <c r="L999" s="439"/>
      <c r="M999" s="439"/>
      <c r="N999" s="443"/>
    </row>
    <row r="1000" spans="2:14">
      <c r="B1000" s="444"/>
      <c r="F1000" s="439"/>
      <c r="G1000" s="440"/>
      <c r="H1000" s="439"/>
      <c r="I1000" s="441"/>
      <c r="J1000" s="441"/>
      <c r="K1000" s="441"/>
      <c r="L1000" s="439"/>
      <c r="M1000" s="439"/>
      <c r="N1000" s="443"/>
    </row>
    <row r="1001" spans="2:14">
      <c r="B1001" s="444"/>
      <c r="F1001" s="439"/>
      <c r="G1001" s="440"/>
      <c r="H1001" s="439"/>
      <c r="I1001" s="441"/>
      <c r="J1001" s="441"/>
      <c r="K1001" s="441"/>
      <c r="L1001" s="439"/>
      <c r="M1001" s="439"/>
      <c r="N1001" s="443"/>
    </row>
    <row r="1002" spans="2:14">
      <c r="B1002" s="444"/>
      <c r="F1002" s="439"/>
      <c r="G1002" s="440"/>
      <c r="H1002" s="439"/>
      <c r="I1002" s="441"/>
      <c r="J1002" s="441"/>
      <c r="K1002" s="441"/>
      <c r="L1002" s="439"/>
      <c r="M1002" s="439"/>
      <c r="N1002" s="443"/>
    </row>
    <row r="1003" spans="2:14">
      <c r="B1003" s="444"/>
      <c r="F1003" s="439"/>
      <c r="G1003" s="440"/>
      <c r="H1003" s="439"/>
      <c r="I1003" s="441"/>
      <c r="J1003" s="441"/>
      <c r="K1003" s="441"/>
      <c r="L1003" s="439"/>
      <c r="M1003" s="439"/>
      <c r="N1003" s="443"/>
    </row>
    <row r="1004" spans="2:14">
      <c r="B1004" s="444"/>
      <c r="F1004" s="439"/>
      <c r="G1004" s="440"/>
      <c r="H1004" s="439"/>
      <c r="I1004" s="441"/>
      <c r="J1004" s="441"/>
      <c r="K1004" s="441"/>
      <c r="L1004" s="439"/>
      <c r="M1004" s="439"/>
      <c r="N1004" s="443"/>
    </row>
    <row r="1005" spans="2:14">
      <c r="B1005" s="444"/>
      <c r="F1005" s="439"/>
      <c r="G1005" s="440"/>
      <c r="H1005" s="439"/>
      <c r="I1005" s="441"/>
      <c r="J1005" s="441"/>
      <c r="K1005" s="441"/>
      <c r="L1005" s="439"/>
      <c r="M1005" s="439"/>
      <c r="N1005" s="443"/>
    </row>
    <row r="1006" spans="2:14">
      <c r="B1006" s="444"/>
      <c r="F1006" s="439"/>
      <c r="G1006" s="440"/>
      <c r="H1006" s="439"/>
      <c r="I1006" s="441"/>
      <c r="J1006" s="441"/>
      <c r="K1006" s="441"/>
      <c r="L1006" s="439"/>
      <c r="M1006" s="439"/>
      <c r="N1006" s="443"/>
    </row>
    <row r="1007" spans="2:14">
      <c r="B1007" s="444"/>
      <c r="F1007" s="439"/>
      <c r="G1007" s="440"/>
      <c r="H1007" s="439"/>
      <c r="I1007" s="441"/>
      <c r="J1007" s="441"/>
      <c r="K1007" s="441"/>
      <c r="L1007" s="439"/>
      <c r="M1007" s="439"/>
      <c r="N1007" s="443"/>
    </row>
    <row r="1008" spans="2:14">
      <c r="B1008" s="444"/>
      <c r="F1008" s="439"/>
      <c r="G1008" s="440"/>
      <c r="H1008" s="439"/>
      <c r="I1008" s="441"/>
      <c r="J1008" s="442"/>
      <c r="K1008" s="442"/>
      <c r="L1008" s="439"/>
      <c r="M1008" s="439"/>
      <c r="N1008" s="443"/>
    </row>
    <row r="1009" spans="2:14">
      <c r="B1009" s="444"/>
      <c r="F1009" s="439"/>
      <c r="G1009" s="440"/>
      <c r="H1009" s="439"/>
      <c r="I1009" s="441"/>
      <c r="J1009" s="442"/>
      <c r="K1009" s="442"/>
      <c r="L1009" s="439"/>
      <c r="M1009" s="439"/>
      <c r="N1009" s="443"/>
    </row>
    <row r="1010" spans="2:14">
      <c r="B1010" s="444"/>
      <c r="F1010" s="439"/>
      <c r="G1010" s="440"/>
      <c r="H1010" s="439"/>
      <c r="I1010" s="441"/>
      <c r="J1010" s="441"/>
      <c r="K1010" s="441"/>
      <c r="L1010" s="439"/>
      <c r="M1010" s="439"/>
      <c r="N1010" s="443"/>
    </row>
    <row r="1011" spans="2:14">
      <c r="B1011" s="444"/>
      <c r="F1011" s="439"/>
      <c r="G1011" s="440"/>
      <c r="H1011" s="439"/>
      <c r="I1011" s="441"/>
      <c r="J1011" s="441"/>
      <c r="K1011" s="441"/>
      <c r="L1011" s="439"/>
      <c r="M1011" s="439"/>
      <c r="N1011" s="443"/>
    </row>
    <row r="1012" spans="2:14">
      <c r="B1012" s="444"/>
      <c r="F1012" s="439"/>
      <c r="G1012" s="440"/>
      <c r="H1012" s="439"/>
      <c r="I1012" s="441"/>
      <c r="J1012" s="441"/>
      <c r="K1012" s="441"/>
      <c r="L1012" s="439"/>
      <c r="M1012" s="439"/>
      <c r="N1012" s="443"/>
    </row>
    <row r="1013" spans="2:14">
      <c r="B1013" s="444"/>
      <c r="F1013" s="439"/>
      <c r="G1013" s="440"/>
      <c r="H1013" s="439"/>
      <c r="I1013" s="441"/>
      <c r="J1013" s="441"/>
      <c r="K1013" s="441"/>
      <c r="L1013" s="439"/>
      <c r="M1013" s="439"/>
      <c r="N1013" s="443"/>
    </row>
    <row r="1014" spans="2:14">
      <c r="B1014" s="444"/>
      <c r="F1014" s="439"/>
      <c r="G1014" s="440"/>
      <c r="H1014" s="439"/>
      <c r="I1014" s="441"/>
      <c r="J1014" s="441"/>
      <c r="K1014" s="441"/>
      <c r="L1014" s="439"/>
      <c r="M1014" s="439"/>
      <c r="N1014" s="443"/>
    </row>
    <row r="1015" spans="2:14">
      <c r="B1015" s="444"/>
      <c r="F1015" s="439"/>
      <c r="G1015" s="440"/>
      <c r="H1015" s="439"/>
      <c r="I1015" s="441"/>
      <c r="J1015" s="441"/>
      <c r="K1015" s="441"/>
      <c r="L1015" s="439"/>
      <c r="M1015" s="439"/>
      <c r="N1015" s="443"/>
    </row>
    <row r="1016" spans="2:14">
      <c r="B1016" s="444"/>
      <c r="F1016" s="439"/>
      <c r="G1016" s="440"/>
      <c r="H1016" s="439"/>
      <c r="I1016" s="441"/>
      <c r="J1016" s="441"/>
      <c r="K1016" s="441"/>
      <c r="L1016" s="439"/>
      <c r="M1016" s="439"/>
      <c r="N1016" s="443"/>
    </row>
    <row r="1017" spans="2:14">
      <c r="B1017" s="444"/>
      <c r="F1017" s="439"/>
      <c r="G1017" s="440"/>
      <c r="H1017" s="439"/>
      <c r="I1017" s="441"/>
      <c r="J1017" s="441"/>
      <c r="K1017" s="441"/>
      <c r="L1017" s="439"/>
      <c r="M1017" s="439"/>
      <c r="N1017" s="443"/>
    </row>
    <row r="1018" spans="2:14">
      <c r="B1018" s="444"/>
      <c r="F1018" s="439"/>
      <c r="G1018" s="440"/>
      <c r="H1018" s="439"/>
      <c r="I1018" s="441"/>
      <c r="J1018" s="442"/>
      <c r="K1018" s="442"/>
      <c r="L1018" s="439"/>
      <c r="M1018" s="439"/>
      <c r="N1018" s="443"/>
    </row>
    <row r="1019" spans="2:14">
      <c r="B1019" s="444"/>
      <c r="F1019" s="439"/>
      <c r="G1019" s="440"/>
      <c r="H1019" s="439"/>
      <c r="I1019" s="441"/>
      <c r="J1019" s="442"/>
      <c r="K1019" s="442"/>
      <c r="L1019" s="439"/>
      <c r="M1019" s="439"/>
      <c r="N1019" s="443"/>
    </row>
    <row r="1020" spans="2:14">
      <c r="B1020" s="444"/>
      <c r="F1020" s="439"/>
      <c r="G1020" s="440"/>
      <c r="H1020" s="439"/>
      <c r="I1020" s="441"/>
      <c r="J1020" s="442"/>
      <c r="K1020" s="442"/>
      <c r="L1020" s="439"/>
      <c r="M1020" s="439"/>
      <c r="N1020" s="443"/>
    </row>
    <row r="1021" spans="2:14">
      <c r="B1021" s="444"/>
      <c r="F1021" s="439"/>
      <c r="G1021" s="440"/>
      <c r="H1021" s="439"/>
      <c r="I1021" s="441"/>
      <c r="J1021" s="441"/>
      <c r="K1021" s="441"/>
      <c r="L1021" s="439"/>
      <c r="M1021" s="439"/>
      <c r="N1021" s="443"/>
    </row>
    <row r="1022" spans="2:14">
      <c r="B1022" s="444"/>
      <c r="F1022" s="439"/>
      <c r="G1022" s="440"/>
      <c r="H1022" s="439"/>
      <c r="I1022" s="441"/>
      <c r="J1022" s="441"/>
      <c r="K1022" s="441"/>
      <c r="L1022" s="439"/>
      <c r="M1022" s="439"/>
      <c r="N1022" s="443"/>
    </row>
    <row r="1023" spans="2:14">
      <c r="B1023" s="444"/>
      <c r="F1023" s="439"/>
      <c r="G1023" s="440"/>
      <c r="H1023" s="439"/>
      <c r="I1023" s="441"/>
      <c r="J1023" s="441"/>
      <c r="K1023" s="441"/>
      <c r="L1023" s="439"/>
      <c r="M1023" s="439"/>
      <c r="N1023" s="443"/>
    </row>
    <row r="1024" spans="2:14">
      <c r="B1024" s="444"/>
      <c r="F1024" s="439"/>
      <c r="G1024" s="440"/>
      <c r="H1024" s="439"/>
      <c r="I1024" s="441"/>
      <c r="J1024" s="442"/>
      <c r="K1024" s="442"/>
      <c r="L1024" s="439"/>
      <c r="M1024" s="439"/>
      <c r="N1024" s="443"/>
    </row>
    <row r="1025" spans="2:14">
      <c r="B1025" s="444"/>
      <c r="F1025" s="439"/>
      <c r="G1025" s="440"/>
      <c r="H1025" s="439"/>
      <c r="I1025" s="441"/>
      <c r="J1025" s="442"/>
      <c r="K1025" s="442"/>
      <c r="L1025" s="439"/>
      <c r="M1025" s="439"/>
      <c r="N1025" s="443"/>
    </row>
    <row r="1026" spans="2:14">
      <c r="B1026" s="444"/>
      <c r="F1026" s="439"/>
      <c r="G1026" s="440"/>
      <c r="H1026" s="439"/>
      <c r="I1026" s="441"/>
      <c r="J1026" s="441"/>
      <c r="K1026" s="441"/>
      <c r="L1026" s="439"/>
      <c r="M1026" s="439"/>
      <c r="N1026" s="443"/>
    </row>
    <row r="1027" spans="2:14">
      <c r="B1027" s="444"/>
      <c r="F1027" s="439"/>
      <c r="G1027" s="440"/>
      <c r="H1027" s="439"/>
      <c r="I1027" s="441"/>
      <c r="J1027" s="441"/>
      <c r="K1027" s="441"/>
      <c r="L1027" s="439"/>
      <c r="M1027" s="439"/>
      <c r="N1027" s="443"/>
    </row>
    <row r="1028" spans="2:14">
      <c r="B1028" s="444"/>
      <c r="F1028" s="439"/>
      <c r="G1028" s="440"/>
      <c r="H1028" s="439"/>
      <c r="I1028" s="441"/>
      <c r="J1028" s="441"/>
      <c r="K1028" s="441"/>
      <c r="L1028" s="439"/>
      <c r="M1028" s="439"/>
      <c r="N1028" s="443"/>
    </row>
    <row r="1029" spans="2:14">
      <c r="B1029" s="444"/>
      <c r="F1029" s="439"/>
      <c r="G1029" s="440"/>
      <c r="H1029" s="439"/>
      <c r="I1029" s="441"/>
      <c r="J1029" s="441"/>
      <c r="K1029" s="441"/>
      <c r="L1029" s="439"/>
      <c r="M1029" s="439"/>
      <c r="N1029" s="443"/>
    </row>
    <row r="1030" spans="2:14">
      <c r="B1030" s="444"/>
      <c r="F1030" s="439"/>
      <c r="G1030" s="440"/>
      <c r="H1030" s="439"/>
      <c r="I1030" s="441"/>
      <c r="J1030" s="442"/>
      <c r="K1030" s="442"/>
      <c r="L1030" s="439"/>
      <c r="M1030" s="439"/>
      <c r="N1030" s="443"/>
    </row>
    <row r="1031" spans="2:14">
      <c r="B1031" s="444"/>
      <c r="F1031" s="439"/>
      <c r="G1031" s="440"/>
      <c r="H1031" s="439"/>
      <c r="I1031" s="441"/>
      <c r="J1031" s="442"/>
      <c r="K1031" s="442"/>
      <c r="L1031" s="439"/>
      <c r="M1031" s="439"/>
      <c r="N1031" s="443"/>
    </row>
    <row r="1032" spans="2:14">
      <c r="B1032" s="444"/>
      <c r="F1032" s="439"/>
      <c r="G1032" s="440"/>
      <c r="H1032" s="439"/>
      <c r="I1032" s="441"/>
      <c r="J1032" s="442"/>
      <c r="K1032" s="442"/>
      <c r="L1032" s="439"/>
      <c r="M1032" s="439"/>
      <c r="N1032" s="443"/>
    </row>
    <row r="1033" spans="2:14">
      <c r="B1033" s="444"/>
      <c r="F1033" s="439"/>
      <c r="G1033" s="440"/>
      <c r="H1033" s="439"/>
      <c r="I1033" s="441"/>
      <c r="J1033" s="442"/>
      <c r="K1033" s="442"/>
      <c r="L1033" s="439"/>
      <c r="M1033" s="439"/>
      <c r="N1033" s="443"/>
    </row>
    <row r="1034" spans="2:14">
      <c r="B1034" s="444"/>
      <c r="F1034" s="439"/>
      <c r="G1034" s="440"/>
      <c r="H1034" s="439"/>
      <c r="I1034" s="441"/>
      <c r="J1034" s="442"/>
      <c r="K1034" s="442"/>
      <c r="L1034" s="439"/>
      <c r="M1034" s="439"/>
      <c r="N1034" s="443"/>
    </row>
    <row r="1035" spans="2:14">
      <c r="B1035" s="444"/>
      <c r="F1035" s="439"/>
      <c r="G1035" s="440"/>
      <c r="H1035" s="439"/>
      <c r="I1035" s="441"/>
      <c r="J1035" s="441"/>
      <c r="K1035" s="441"/>
      <c r="L1035" s="439"/>
      <c r="M1035" s="439"/>
      <c r="N1035" s="443"/>
    </row>
    <row r="1036" spans="2:14">
      <c r="B1036" s="444"/>
      <c r="F1036" s="439"/>
      <c r="G1036" s="440"/>
      <c r="H1036" s="439"/>
      <c r="I1036" s="441"/>
      <c r="J1036" s="441"/>
      <c r="K1036" s="441"/>
      <c r="L1036" s="439"/>
      <c r="M1036" s="439"/>
      <c r="N1036" s="443"/>
    </row>
    <row r="1037" spans="2:14">
      <c r="B1037" s="444"/>
      <c r="F1037" s="439"/>
      <c r="G1037" s="440"/>
      <c r="H1037" s="439"/>
      <c r="I1037" s="441"/>
      <c r="J1037" s="441"/>
      <c r="K1037" s="441"/>
      <c r="L1037" s="439"/>
      <c r="M1037" s="439"/>
      <c r="N1037" s="443"/>
    </row>
    <row r="1038" spans="2:14">
      <c r="B1038" s="444"/>
      <c r="F1038" s="439"/>
      <c r="G1038" s="440"/>
      <c r="H1038" s="439"/>
      <c r="I1038" s="441"/>
      <c r="J1038" s="441"/>
      <c r="K1038" s="441"/>
      <c r="L1038" s="439"/>
      <c r="M1038" s="439"/>
      <c r="N1038" s="443"/>
    </row>
    <row r="1039" spans="2:14">
      <c r="B1039" s="444"/>
      <c r="F1039" s="439"/>
      <c r="G1039" s="440"/>
      <c r="H1039" s="439"/>
      <c r="I1039" s="441"/>
      <c r="J1039" s="442"/>
      <c r="K1039" s="442"/>
      <c r="L1039" s="439"/>
      <c r="M1039" s="439"/>
      <c r="N1039" s="443"/>
    </row>
    <row r="1040" spans="2:14">
      <c r="B1040" s="444"/>
      <c r="F1040" s="439"/>
      <c r="G1040" s="440"/>
      <c r="H1040" s="439"/>
      <c r="I1040" s="441"/>
      <c r="J1040" s="442"/>
      <c r="K1040" s="442"/>
      <c r="L1040" s="439"/>
      <c r="M1040" s="439"/>
      <c r="N1040" s="443"/>
    </row>
    <row r="1041" spans="2:14">
      <c r="B1041" s="444"/>
      <c r="F1041" s="439"/>
      <c r="G1041" s="440"/>
      <c r="H1041" s="439"/>
      <c r="I1041" s="441"/>
      <c r="J1041" s="442"/>
      <c r="K1041" s="442"/>
      <c r="L1041" s="439"/>
      <c r="M1041" s="439"/>
      <c r="N1041" s="443"/>
    </row>
    <row r="1042" spans="2:14">
      <c r="B1042" s="444"/>
      <c r="F1042" s="439"/>
      <c r="G1042" s="440"/>
      <c r="H1042" s="439"/>
      <c r="I1042" s="441"/>
      <c r="J1042" s="442"/>
      <c r="K1042" s="442"/>
      <c r="L1042" s="439"/>
      <c r="M1042" s="439"/>
      <c r="N1042" s="443"/>
    </row>
    <row r="1043" spans="2:14">
      <c r="B1043" s="444"/>
      <c r="F1043" s="439"/>
      <c r="G1043" s="440"/>
      <c r="H1043" s="439"/>
      <c r="I1043" s="441"/>
      <c r="J1043" s="442"/>
      <c r="K1043" s="442"/>
      <c r="L1043" s="439"/>
      <c r="M1043" s="439"/>
      <c r="N1043" s="443"/>
    </row>
    <row r="1044" spans="2:14">
      <c r="B1044" s="444"/>
      <c r="F1044" s="439"/>
      <c r="G1044" s="440"/>
      <c r="H1044" s="439"/>
      <c r="I1044" s="441"/>
      <c r="J1044" s="442"/>
      <c r="K1044" s="442"/>
      <c r="L1044" s="439"/>
      <c r="M1044" s="439"/>
      <c r="N1044" s="443"/>
    </row>
    <row r="1045" spans="2:14">
      <c r="B1045" s="444"/>
      <c r="F1045" s="439"/>
      <c r="G1045" s="440"/>
      <c r="H1045" s="439"/>
      <c r="I1045" s="441"/>
      <c r="J1045" s="442"/>
      <c r="K1045" s="442"/>
      <c r="L1045" s="439"/>
      <c r="M1045" s="439"/>
      <c r="N1045" s="443"/>
    </row>
    <row r="1046" spans="2:14">
      <c r="B1046" s="444"/>
      <c r="F1046" s="439"/>
      <c r="G1046" s="440"/>
      <c r="H1046" s="439"/>
      <c r="I1046" s="441"/>
      <c r="J1046" s="442"/>
      <c r="K1046" s="442"/>
      <c r="L1046" s="439"/>
      <c r="M1046" s="439"/>
      <c r="N1046" s="443"/>
    </row>
    <row r="1047" spans="2:14">
      <c r="B1047" s="444"/>
      <c r="F1047" s="439"/>
      <c r="G1047" s="440"/>
      <c r="H1047" s="439"/>
      <c r="I1047" s="441"/>
      <c r="J1047" s="442"/>
      <c r="K1047" s="442"/>
      <c r="L1047" s="439"/>
      <c r="M1047" s="439"/>
      <c r="N1047" s="443"/>
    </row>
    <row r="1048" spans="2:14">
      <c r="B1048" s="444"/>
      <c r="F1048" s="439"/>
      <c r="G1048" s="440"/>
      <c r="H1048" s="439"/>
      <c r="I1048" s="441"/>
      <c r="J1048" s="442"/>
      <c r="K1048" s="442"/>
      <c r="L1048" s="439"/>
      <c r="M1048" s="439"/>
      <c r="N1048" s="443"/>
    </row>
    <row r="1049" spans="2:14">
      <c r="B1049" s="444"/>
      <c r="F1049" s="439"/>
      <c r="G1049" s="440"/>
      <c r="H1049" s="439"/>
      <c r="I1049" s="441"/>
      <c r="J1049" s="442"/>
      <c r="K1049" s="442"/>
      <c r="L1049" s="439"/>
      <c r="M1049" s="439"/>
      <c r="N1049" s="443"/>
    </row>
    <row r="1050" spans="2:14">
      <c r="B1050" s="444"/>
      <c r="F1050" s="439"/>
      <c r="G1050" s="440"/>
      <c r="H1050" s="439"/>
      <c r="I1050" s="441"/>
      <c r="J1050" s="442"/>
      <c r="K1050" s="442"/>
      <c r="L1050" s="439"/>
      <c r="M1050" s="439"/>
      <c r="N1050" s="443"/>
    </row>
    <row r="1051" spans="2:14">
      <c r="B1051" s="444"/>
      <c r="F1051" s="439"/>
      <c r="G1051" s="440"/>
      <c r="H1051" s="439"/>
      <c r="I1051" s="441"/>
      <c r="J1051" s="442"/>
      <c r="K1051" s="442"/>
      <c r="L1051" s="439"/>
      <c r="M1051" s="439"/>
      <c r="N1051" s="443"/>
    </row>
    <row r="1052" spans="2:14">
      <c r="B1052" s="444"/>
      <c r="F1052" s="439"/>
      <c r="G1052" s="440"/>
      <c r="H1052" s="439"/>
      <c r="I1052" s="441"/>
      <c r="J1052" s="442"/>
      <c r="K1052" s="442"/>
      <c r="L1052" s="439"/>
      <c r="M1052" s="439"/>
      <c r="N1052" s="443"/>
    </row>
    <row r="1053" spans="2:14">
      <c r="B1053" s="444"/>
      <c r="F1053" s="439"/>
      <c r="G1053" s="440"/>
      <c r="H1053" s="439"/>
      <c r="I1053" s="441"/>
      <c r="J1053" s="442"/>
      <c r="K1053" s="442"/>
      <c r="L1053" s="439"/>
      <c r="M1053" s="439"/>
      <c r="N1053" s="443"/>
    </row>
    <row r="1054" spans="2:14">
      <c r="B1054" s="444"/>
      <c r="F1054" s="439"/>
      <c r="G1054" s="440"/>
      <c r="H1054" s="439"/>
      <c r="I1054" s="441"/>
      <c r="J1054" s="441"/>
      <c r="K1054" s="441"/>
      <c r="L1054" s="439"/>
      <c r="M1054" s="439"/>
      <c r="N1054" s="443"/>
    </row>
    <row r="1055" spans="2:14">
      <c r="B1055" s="444"/>
      <c r="F1055" s="439"/>
      <c r="G1055" s="440"/>
      <c r="H1055" s="439"/>
      <c r="I1055" s="441"/>
      <c r="J1055" s="441"/>
      <c r="K1055" s="441"/>
      <c r="L1055" s="439"/>
      <c r="M1055" s="439"/>
      <c r="N1055" s="443"/>
    </row>
    <row r="1056" spans="2:14">
      <c r="B1056" s="444"/>
      <c r="F1056" s="439"/>
      <c r="G1056" s="440"/>
      <c r="H1056" s="439"/>
      <c r="I1056" s="441"/>
      <c r="J1056" s="441"/>
      <c r="K1056" s="441"/>
      <c r="L1056" s="439"/>
      <c r="M1056" s="439"/>
      <c r="N1056" s="443"/>
    </row>
    <row r="1057" spans="2:14">
      <c r="B1057" s="444"/>
      <c r="F1057" s="439"/>
      <c r="G1057" s="440"/>
      <c r="H1057" s="439"/>
      <c r="I1057" s="441"/>
      <c r="J1057" s="441"/>
      <c r="K1057" s="441"/>
      <c r="L1057" s="439"/>
      <c r="M1057" s="439"/>
      <c r="N1057" s="443"/>
    </row>
    <row r="1058" spans="2:14">
      <c r="B1058" s="444"/>
      <c r="F1058" s="439"/>
      <c r="G1058" s="440"/>
      <c r="H1058" s="439"/>
      <c r="I1058" s="441"/>
      <c r="J1058" s="441"/>
      <c r="K1058" s="441"/>
      <c r="L1058" s="439"/>
      <c r="M1058" s="439"/>
      <c r="N1058" s="443"/>
    </row>
    <row r="1059" spans="2:14">
      <c r="B1059" s="444"/>
      <c r="F1059" s="439"/>
      <c r="G1059" s="440"/>
      <c r="H1059" s="439"/>
      <c r="I1059" s="441"/>
      <c r="J1059" s="441"/>
      <c r="K1059" s="441"/>
      <c r="L1059" s="439"/>
      <c r="M1059" s="439"/>
      <c r="N1059" s="443"/>
    </row>
    <row r="1060" spans="2:14">
      <c r="B1060" s="444"/>
      <c r="F1060" s="439"/>
      <c r="G1060" s="440"/>
      <c r="H1060" s="439"/>
      <c r="I1060" s="441"/>
      <c r="J1060" s="441"/>
      <c r="K1060" s="441"/>
      <c r="L1060" s="439"/>
      <c r="M1060" s="439"/>
      <c r="N1060" s="443"/>
    </row>
    <row r="1061" spans="2:14">
      <c r="B1061" s="444"/>
      <c r="F1061" s="439"/>
      <c r="G1061" s="440"/>
      <c r="H1061" s="439"/>
      <c r="I1061" s="441"/>
      <c r="J1061" s="442"/>
      <c r="K1061" s="442"/>
      <c r="L1061" s="439"/>
      <c r="M1061" s="439"/>
      <c r="N1061" s="443"/>
    </row>
    <row r="1062" spans="2:14">
      <c r="B1062" s="444"/>
      <c r="F1062" s="439"/>
      <c r="G1062" s="440"/>
      <c r="H1062" s="439"/>
      <c r="I1062" s="441"/>
      <c r="J1062" s="441"/>
      <c r="K1062" s="441"/>
      <c r="L1062" s="439"/>
      <c r="M1062" s="439"/>
      <c r="N1062" s="443"/>
    </row>
    <row r="1063" spans="2:14">
      <c r="B1063" s="444"/>
      <c r="F1063" s="439"/>
      <c r="G1063" s="440"/>
      <c r="H1063" s="439"/>
      <c r="I1063" s="441"/>
      <c r="J1063" s="441"/>
      <c r="K1063" s="441"/>
      <c r="L1063" s="439"/>
      <c r="M1063" s="439"/>
      <c r="N1063" s="443"/>
    </row>
    <row r="1064" spans="2:14">
      <c r="B1064" s="444"/>
      <c r="F1064" s="439"/>
      <c r="G1064" s="440"/>
      <c r="H1064" s="439"/>
      <c r="I1064" s="441"/>
      <c r="J1064" s="441"/>
      <c r="K1064" s="441"/>
      <c r="L1064" s="439"/>
      <c r="M1064" s="439"/>
      <c r="N1064" s="443"/>
    </row>
    <row r="1065" spans="2:14">
      <c r="B1065" s="444"/>
      <c r="F1065" s="439"/>
      <c r="G1065" s="440"/>
      <c r="H1065" s="439"/>
      <c r="I1065" s="441"/>
      <c r="J1065" s="441"/>
      <c r="K1065" s="441"/>
      <c r="L1065" s="439"/>
      <c r="M1065" s="439"/>
      <c r="N1065" s="443"/>
    </row>
    <row r="1066" spans="2:14">
      <c r="B1066" s="444"/>
      <c r="F1066" s="439"/>
      <c r="G1066" s="440"/>
      <c r="H1066" s="439"/>
      <c r="I1066" s="441"/>
      <c r="J1066" s="442"/>
      <c r="K1066" s="442"/>
      <c r="L1066" s="439"/>
      <c r="M1066" s="439"/>
      <c r="N1066" s="443"/>
    </row>
    <row r="1067" spans="2:14">
      <c r="B1067" s="444"/>
      <c r="F1067" s="439"/>
      <c r="G1067" s="440"/>
      <c r="H1067" s="439"/>
      <c r="I1067" s="441"/>
      <c r="J1067" s="442"/>
      <c r="K1067" s="442"/>
      <c r="L1067" s="439"/>
      <c r="M1067" s="439"/>
      <c r="N1067" s="443"/>
    </row>
    <row r="1068" spans="2:14">
      <c r="B1068" s="444"/>
      <c r="F1068" s="439"/>
      <c r="G1068" s="440"/>
      <c r="H1068" s="439"/>
      <c r="I1068" s="441"/>
      <c r="J1068" s="442"/>
      <c r="K1068" s="442"/>
      <c r="L1068" s="439"/>
      <c r="M1068" s="439"/>
      <c r="N1068" s="443"/>
    </row>
    <row r="1069" spans="2:14">
      <c r="B1069" s="444"/>
      <c r="F1069" s="439"/>
      <c r="G1069" s="440"/>
      <c r="H1069" s="439"/>
      <c r="I1069" s="441"/>
      <c r="J1069" s="442"/>
      <c r="K1069" s="442"/>
      <c r="L1069" s="439"/>
      <c r="M1069" s="439"/>
      <c r="N1069" s="443"/>
    </row>
    <row r="1070" spans="2:14">
      <c r="B1070" s="444"/>
      <c r="F1070" s="439"/>
      <c r="G1070" s="440"/>
      <c r="H1070" s="439"/>
      <c r="I1070" s="442"/>
      <c r="J1070" s="442"/>
      <c r="K1070" s="441"/>
      <c r="L1070" s="439"/>
      <c r="M1070" s="439"/>
      <c r="N1070" s="443"/>
    </row>
    <row r="1071" spans="2:14">
      <c r="B1071" s="444"/>
      <c r="F1071" s="439"/>
      <c r="G1071" s="440"/>
      <c r="H1071" s="439"/>
      <c r="I1071" s="442"/>
      <c r="J1071" s="442"/>
      <c r="K1071" s="441"/>
      <c r="L1071" s="439"/>
      <c r="M1071" s="439"/>
      <c r="N1071" s="443"/>
    </row>
    <row r="1072" spans="2:14">
      <c r="B1072" s="444"/>
      <c r="F1072" s="439"/>
      <c r="G1072" s="440"/>
      <c r="H1072" s="439"/>
      <c r="I1072" s="442"/>
      <c r="J1072" s="442"/>
      <c r="K1072" s="442"/>
      <c r="L1072" s="439"/>
      <c r="M1072" s="439"/>
      <c r="N1072" s="443"/>
    </row>
    <row r="1073" spans="2:14">
      <c r="B1073" s="444"/>
      <c r="F1073" s="439"/>
      <c r="G1073" s="440"/>
      <c r="H1073" s="439"/>
      <c r="I1073" s="441"/>
      <c r="J1073" s="442"/>
      <c r="K1073" s="442"/>
      <c r="L1073" s="439"/>
      <c r="M1073" s="439"/>
      <c r="N1073" s="443"/>
    </row>
    <row r="1074" spans="2:14">
      <c r="B1074" s="444"/>
      <c r="F1074" s="439"/>
      <c r="G1074" s="440"/>
      <c r="H1074" s="439"/>
      <c r="I1074" s="441"/>
      <c r="J1074" s="442"/>
      <c r="K1074" s="442"/>
      <c r="L1074" s="439"/>
      <c r="M1074" s="439"/>
      <c r="N1074" s="443"/>
    </row>
    <row r="1075" spans="2:14">
      <c r="B1075" s="444"/>
      <c r="F1075" s="439"/>
      <c r="G1075" s="440"/>
      <c r="H1075" s="439"/>
      <c r="I1075" s="442"/>
      <c r="J1075" s="442"/>
      <c r="K1075" s="442"/>
      <c r="L1075" s="439"/>
      <c r="M1075" s="439"/>
      <c r="N1075" s="443"/>
    </row>
    <row r="1076" spans="2:14">
      <c r="B1076" s="444"/>
      <c r="F1076" s="439"/>
      <c r="G1076" s="440"/>
      <c r="H1076" s="439"/>
      <c r="I1076" s="442"/>
      <c r="J1076" s="442"/>
      <c r="K1076" s="442"/>
      <c r="L1076" s="439"/>
      <c r="M1076" s="439"/>
      <c r="N1076" s="443"/>
    </row>
    <row r="1077" spans="2:14">
      <c r="B1077" s="444"/>
      <c r="F1077" s="439"/>
      <c r="G1077" s="440"/>
      <c r="H1077" s="439"/>
      <c r="I1077" s="441"/>
      <c r="J1077" s="442"/>
      <c r="K1077" s="442"/>
      <c r="L1077" s="439"/>
      <c r="M1077" s="439"/>
      <c r="N1077" s="443"/>
    </row>
    <row r="1078" spans="2:14">
      <c r="B1078" s="444"/>
      <c r="F1078" s="439"/>
      <c r="G1078" s="440"/>
      <c r="H1078" s="439"/>
      <c r="I1078" s="441"/>
      <c r="J1078" s="442"/>
      <c r="K1078" s="442"/>
      <c r="L1078" s="439"/>
      <c r="M1078" s="439"/>
      <c r="N1078" s="443"/>
    </row>
    <row r="1079" spans="2:14">
      <c r="B1079" s="444"/>
      <c r="F1079" s="439"/>
      <c r="G1079" s="440"/>
      <c r="H1079" s="439"/>
      <c r="I1079" s="441"/>
      <c r="J1079" s="442"/>
      <c r="K1079" s="442"/>
      <c r="L1079" s="439"/>
      <c r="M1079" s="439"/>
      <c r="N1079" s="443"/>
    </row>
    <row r="1080" spans="2:14">
      <c r="B1080" s="444"/>
      <c r="F1080" s="439"/>
      <c r="G1080" s="440"/>
      <c r="H1080" s="439"/>
      <c r="I1080" s="441"/>
      <c r="J1080" s="442"/>
      <c r="K1080" s="442"/>
      <c r="L1080" s="439"/>
      <c r="M1080" s="439"/>
      <c r="N1080" s="443"/>
    </row>
    <row r="1081" spans="2:14">
      <c r="B1081" s="444"/>
      <c r="F1081" s="439"/>
      <c r="G1081" s="440"/>
      <c r="H1081" s="439"/>
      <c r="I1081" s="441"/>
      <c r="J1081" s="442"/>
      <c r="K1081" s="442"/>
      <c r="L1081" s="439"/>
      <c r="M1081" s="439"/>
      <c r="N1081" s="443"/>
    </row>
    <row r="1082" spans="2:14">
      <c r="B1082" s="444"/>
      <c r="F1082" s="439"/>
      <c r="G1082" s="440"/>
      <c r="H1082" s="439"/>
      <c r="I1082" s="441"/>
      <c r="J1082" s="442"/>
      <c r="K1082" s="442"/>
      <c r="L1082" s="439"/>
      <c r="M1082" s="439"/>
      <c r="N1082" s="443"/>
    </row>
    <row r="1083" spans="2:14">
      <c r="B1083" s="444"/>
      <c r="F1083" s="439"/>
      <c r="G1083" s="440"/>
      <c r="H1083" s="439"/>
      <c r="I1083" s="441"/>
      <c r="J1083" s="442"/>
      <c r="K1083" s="442"/>
      <c r="L1083" s="439"/>
      <c r="M1083" s="439"/>
      <c r="N1083" s="443"/>
    </row>
    <row r="1084" spans="2:14">
      <c r="B1084" s="444"/>
      <c r="F1084" s="439"/>
      <c r="G1084" s="440"/>
      <c r="H1084" s="439"/>
      <c r="I1084" s="441"/>
      <c r="J1084" s="442"/>
      <c r="K1084" s="442"/>
      <c r="L1084" s="439"/>
      <c r="M1084" s="439"/>
      <c r="N1084" s="443"/>
    </row>
    <row r="1085" spans="2:14">
      <c r="B1085" s="444"/>
      <c r="F1085" s="439"/>
      <c r="G1085" s="440"/>
      <c r="H1085" s="439"/>
      <c r="I1085" s="441"/>
      <c r="J1085" s="441"/>
      <c r="K1085" s="441"/>
      <c r="L1085" s="439"/>
      <c r="M1085" s="439"/>
      <c r="N1085" s="443"/>
    </row>
    <row r="1086" spans="2:14">
      <c r="B1086" s="444"/>
      <c r="F1086" s="439"/>
      <c r="G1086" s="440"/>
      <c r="H1086" s="439"/>
      <c r="I1086" s="441"/>
      <c r="J1086" s="442"/>
      <c r="K1086" s="442"/>
      <c r="L1086" s="439"/>
      <c r="M1086" s="439"/>
      <c r="N1086" s="443"/>
    </row>
  </sheetData>
  <autoFilter ref="A2:N1086"/>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C3" sqref="C3"/>
    </sheetView>
  </sheetViews>
  <sheetFormatPr baseColWidth="10" defaultColWidth="9.28515625" defaultRowHeight="11.25"/>
  <cols>
    <col min="1" max="1" width="10.7109375" style="4" customWidth="1"/>
    <col min="2" max="2" width="62.85546875" style="4" customWidth="1"/>
    <col min="3" max="3" width="20.140625" style="4" customWidth="1"/>
    <col min="4" max="256" width="9.28515625" style="4"/>
    <col min="257" max="257" width="10.7109375" style="4" customWidth="1"/>
    <col min="258" max="258" width="62.85546875" style="4" customWidth="1"/>
    <col min="259" max="259" width="20.140625" style="4" customWidth="1"/>
    <col min="260" max="512" width="9.28515625" style="4"/>
    <col min="513" max="513" width="10.7109375" style="4" customWidth="1"/>
    <col min="514" max="514" width="62.85546875" style="4" customWidth="1"/>
    <col min="515" max="515" width="20.140625" style="4" customWidth="1"/>
    <col min="516" max="768" width="9.28515625" style="4"/>
    <col min="769" max="769" width="10.7109375" style="4" customWidth="1"/>
    <col min="770" max="770" width="62.85546875" style="4" customWidth="1"/>
    <col min="771" max="771" width="20.140625" style="4" customWidth="1"/>
    <col min="772" max="1024" width="9.28515625" style="4"/>
    <col min="1025" max="1025" width="10.7109375" style="4" customWidth="1"/>
    <col min="1026" max="1026" width="62.85546875" style="4" customWidth="1"/>
    <col min="1027" max="1027" width="20.140625" style="4" customWidth="1"/>
    <col min="1028" max="1280" width="9.28515625" style="4"/>
    <col min="1281" max="1281" width="10.7109375" style="4" customWidth="1"/>
    <col min="1282" max="1282" width="62.85546875" style="4" customWidth="1"/>
    <col min="1283" max="1283" width="20.140625" style="4" customWidth="1"/>
    <col min="1284" max="1536" width="9.28515625" style="4"/>
    <col min="1537" max="1537" width="10.7109375" style="4" customWidth="1"/>
    <col min="1538" max="1538" width="62.85546875" style="4" customWidth="1"/>
    <col min="1539" max="1539" width="20.140625" style="4" customWidth="1"/>
    <col min="1540" max="1792" width="9.28515625" style="4"/>
    <col min="1793" max="1793" width="10.7109375" style="4" customWidth="1"/>
    <col min="1794" max="1794" width="62.85546875" style="4" customWidth="1"/>
    <col min="1795" max="1795" width="20.140625" style="4" customWidth="1"/>
    <col min="1796" max="2048" width="9.28515625" style="4"/>
    <col min="2049" max="2049" width="10.7109375" style="4" customWidth="1"/>
    <col min="2050" max="2050" width="62.85546875" style="4" customWidth="1"/>
    <col min="2051" max="2051" width="20.140625" style="4" customWidth="1"/>
    <col min="2052" max="2304" width="9.28515625" style="4"/>
    <col min="2305" max="2305" width="10.7109375" style="4" customWidth="1"/>
    <col min="2306" max="2306" width="62.85546875" style="4" customWidth="1"/>
    <col min="2307" max="2307" width="20.140625" style="4" customWidth="1"/>
    <col min="2308" max="2560" width="9.28515625" style="4"/>
    <col min="2561" max="2561" width="10.7109375" style="4" customWidth="1"/>
    <col min="2562" max="2562" width="62.85546875" style="4" customWidth="1"/>
    <col min="2563" max="2563" width="20.140625" style="4" customWidth="1"/>
    <col min="2564" max="2816" width="9.28515625" style="4"/>
    <col min="2817" max="2817" width="10.7109375" style="4" customWidth="1"/>
    <col min="2818" max="2818" width="62.85546875" style="4" customWidth="1"/>
    <col min="2819" max="2819" width="20.140625" style="4" customWidth="1"/>
    <col min="2820" max="3072" width="9.28515625" style="4"/>
    <col min="3073" max="3073" width="10.7109375" style="4" customWidth="1"/>
    <col min="3074" max="3074" width="62.85546875" style="4" customWidth="1"/>
    <col min="3075" max="3075" width="20.140625" style="4" customWidth="1"/>
    <col min="3076" max="3328" width="9.28515625" style="4"/>
    <col min="3329" max="3329" width="10.7109375" style="4" customWidth="1"/>
    <col min="3330" max="3330" width="62.85546875" style="4" customWidth="1"/>
    <col min="3331" max="3331" width="20.140625" style="4" customWidth="1"/>
    <col min="3332" max="3584" width="9.28515625" style="4"/>
    <col min="3585" max="3585" width="10.7109375" style="4" customWidth="1"/>
    <col min="3586" max="3586" width="62.85546875" style="4" customWidth="1"/>
    <col min="3587" max="3587" width="20.140625" style="4" customWidth="1"/>
    <col min="3588" max="3840" width="9.28515625" style="4"/>
    <col min="3841" max="3841" width="10.7109375" style="4" customWidth="1"/>
    <col min="3842" max="3842" width="62.85546875" style="4" customWidth="1"/>
    <col min="3843" max="3843" width="20.140625" style="4" customWidth="1"/>
    <col min="3844" max="4096" width="9.28515625" style="4"/>
    <col min="4097" max="4097" width="10.7109375" style="4" customWidth="1"/>
    <col min="4098" max="4098" width="62.85546875" style="4" customWidth="1"/>
    <col min="4099" max="4099" width="20.140625" style="4" customWidth="1"/>
    <col min="4100" max="4352" width="9.28515625" style="4"/>
    <col min="4353" max="4353" width="10.7109375" style="4" customWidth="1"/>
    <col min="4354" max="4354" width="62.85546875" style="4" customWidth="1"/>
    <col min="4355" max="4355" width="20.140625" style="4" customWidth="1"/>
    <col min="4356" max="4608" width="9.28515625" style="4"/>
    <col min="4609" max="4609" width="10.7109375" style="4" customWidth="1"/>
    <col min="4610" max="4610" width="62.85546875" style="4" customWidth="1"/>
    <col min="4611" max="4611" width="20.140625" style="4" customWidth="1"/>
    <col min="4612" max="4864" width="9.28515625" style="4"/>
    <col min="4865" max="4865" width="10.7109375" style="4" customWidth="1"/>
    <col min="4866" max="4866" width="62.85546875" style="4" customWidth="1"/>
    <col min="4867" max="4867" width="20.140625" style="4" customWidth="1"/>
    <col min="4868" max="5120" width="9.28515625" style="4"/>
    <col min="5121" max="5121" width="10.7109375" style="4" customWidth="1"/>
    <col min="5122" max="5122" width="62.85546875" style="4" customWidth="1"/>
    <col min="5123" max="5123" width="20.140625" style="4" customWidth="1"/>
    <col min="5124" max="5376" width="9.28515625" style="4"/>
    <col min="5377" max="5377" width="10.7109375" style="4" customWidth="1"/>
    <col min="5378" max="5378" width="62.85546875" style="4" customWidth="1"/>
    <col min="5379" max="5379" width="20.140625" style="4" customWidth="1"/>
    <col min="5380" max="5632" width="9.28515625" style="4"/>
    <col min="5633" max="5633" width="10.7109375" style="4" customWidth="1"/>
    <col min="5634" max="5634" width="62.85546875" style="4" customWidth="1"/>
    <col min="5635" max="5635" width="20.140625" style="4" customWidth="1"/>
    <col min="5636" max="5888" width="9.28515625" style="4"/>
    <col min="5889" max="5889" width="10.7109375" style="4" customWidth="1"/>
    <col min="5890" max="5890" width="62.85546875" style="4" customWidth="1"/>
    <col min="5891" max="5891" width="20.140625" style="4" customWidth="1"/>
    <col min="5892" max="6144" width="9.28515625" style="4"/>
    <col min="6145" max="6145" width="10.7109375" style="4" customWidth="1"/>
    <col min="6146" max="6146" width="62.85546875" style="4" customWidth="1"/>
    <col min="6147" max="6147" width="20.140625" style="4" customWidth="1"/>
    <col min="6148" max="6400" width="9.28515625" style="4"/>
    <col min="6401" max="6401" width="10.7109375" style="4" customWidth="1"/>
    <col min="6402" max="6402" width="62.85546875" style="4" customWidth="1"/>
    <col min="6403" max="6403" width="20.140625" style="4" customWidth="1"/>
    <col min="6404" max="6656" width="9.28515625" style="4"/>
    <col min="6657" max="6657" width="10.7109375" style="4" customWidth="1"/>
    <col min="6658" max="6658" width="62.85546875" style="4" customWidth="1"/>
    <col min="6659" max="6659" width="20.140625" style="4" customWidth="1"/>
    <col min="6660" max="6912" width="9.28515625" style="4"/>
    <col min="6913" max="6913" width="10.7109375" style="4" customWidth="1"/>
    <col min="6914" max="6914" width="62.85546875" style="4" customWidth="1"/>
    <col min="6915" max="6915" width="20.140625" style="4" customWidth="1"/>
    <col min="6916" max="7168" width="9.28515625" style="4"/>
    <col min="7169" max="7169" width="10.7109375" style="4" customWidth="1"/>
    <col min="7170" max="7170" width="62.85546875" style="4" customWidth="1"/>
    <col min="7171" max="7171" width="20.140625" style="4" customWidth="1"/>
    <col min="7172" max="7424" width="9.28515625" style="4"/>
    <col min="7425" max="7425" width="10.7109375" style="4" customWidth="1"/>
    <col min="7426" max="7426" width="62.85546875" style="4" customWidth="1"/>
    <col min="7427" max="7427" width="20.140625" style="4" customWidth="1"/>
    <col min="7428" max="7680" width="9.28515625" style="4"/>
    <col min="7681" max="7681" width="10.7109375" style="4" customWidth="1"/>
    <col min="7682" max="7682" width="62.85546875" style="4" customWidth="1"/>
    <col min="7683" max="7683" width="20.140625" style="4" customWidth="1"/>
    <col min="7684" max="7936" width="9.28515625" style="4"/>
    <col min="7937" max="7937" width="10.7109375" style="4" customWidth="1"/>
    <col min="7938" max="7938" width="62.85546875" style="4" customWidth="1"/>
    <col min="7939" max="7939" width="20.140625" style="4" customWidth="1"/>
    <col min="7940" max="8192" width="9.28515625" style="4"/>
    <col min="8193" max="8193" width="10.7109375" style="4" customWidth="1"/>
    <col min="8194" max="8194" width="62.85546875" style="4" customWidth="1"/>
    <col min="8195" max="8195" width="20.140625" style="4" customWidth="1"/>
    <col min="8196" max="8448" width="9.28515625" style="4"/>
    <col min="8449" max="8449" width="10.7109375" style="4" customWidth="1"/>
    <col min="8450" max="8450" width="62.85546875" style="4" customWidth="1"/>
    <col min="8451" max="8451" width="20.140625" style="4" customWidth="1"/>
    <col min="8452" max="8704" width="9.28515625" style="4"/>
    <col min="8705" max="8705" width="10.7109375" style="4" customWidth="1"/>
    <col min="8706" max="8706" width="62.85546875" style="4" customWidth="1"/>
    <col min="8707" max="8707" width="20.140625" style="4" customWidth="1"/>
    <col min="8708" max="8960" width="9.28515625" style="4"/>
    <col min="8961" max="8961" width="10.7109375" style="4" customWidth="1"/>
    <col min="8962" max="8962" width="62.85546875" style="4" customWidth="1"/>
    <col min="8963" max="8963" width="20.140625" style="4" customWidth="1"/>
    <col min="8964" max="9216" width="9.28515625" style="4"/>
    <col min="9217" max="9217" width="10.7109375" style="4" customWidth="1"/>
    <col min="9218" max="9218" width="62.85546875" style="4" customWidth="1"/>
    <col min="9219" max="9219" width="20.140625" style="4" customWidth="1"/>
    <col min="9220" max="9472" width="9.28515625" style="4"/>
    <col min="9473" max="9473" width="10.7109375" style="4" customWidth="1"/>
    <col min="9474" max="9474" width="62.85546875" style="4" customWidth="1"/>
    <col min="9475" max="9475" width="20.140625" style="4" customWidth="1"/>
    <col min="9476" max="9728" width="9.28515625" style="4"/>
    <col min="9729" max="9729" width="10.7109375" style="4" customWidth="1"/>
    <col min="9730" max="9730" width="62.85546875" style="4" customWidth="1"/>
    <col min="9731" max="9731" width="20.140625" style="4" customWidth="1"/>
    <col min="9732" max="9984" width="9.28515625" style="4"/>
    <col min="9985" max="9985" width="10.7109375" style="4" customWidth="1"/>
    <col min="9986" max="9986" width="62.85546875" style="4" customWidth="1"/>
    <col min="9987" max="9987" width="20.140625" style="4" customWidth="1"/>
    <col min="9988" max="10240" width="9.28515625" style="4"/>
    <col min="10241" max="10241" width="10.7109375" style="4" customWidth="1"/>
    <col min="10242" max="10242" width="62.85546875" style="4" customWidth="1"/>
    <col min="10243" max="10243" width="20.140625" style="4" customWidth="1"/>
    <col min="10244" max="10496" width="9.28515625" style="4"/>
    <col min="10497" max="10497" width="10.7109375" style="4" customWidth="1"/>
    <col min="10498" max="10498" width="62.85546875" style="4" customWidth="1"/>
    <col min="10499" max="10499" width="20.140625" style="4" customWidth="1"/>
    <col min="10500" max="10752" width="9.28515625" style="4"/>
    <col min="10753" max="10753" width="10.7109375" style="4" customWidth="1"/>
    <col min="10754" max="10754" width="62.85546875" style="4" customWidth="1"/>
    <col min="10755" max="10755" width="20.140625" style="4" customWidth="1"/>
    <col min="10756" max="11008" width="9.28515625" style="4"/>
    <col min="11009" max="11009" width="10.7109375" style="4" customWidth="1"/>
    <col min="11010" max="11010" width="62.85546875" style="4" customWidth="1"/>
    <col min="11011" max="11011" width="20.140625" style="4" customWidth="1"/>
    <col min="11012" max="11264" width="9.28515625" style="4"/>
    <col min="11265" max="11265" width="10.7109375" style="4" customWidth="1"/>
    <col min="11266" max="11266" width="62.85546875" style="4" customWidth="1"/>
    <col min="11267" max="11267" width="20.140625" style="4" customWidth="1"/>
    <col min="11268" max="11520" width="9.28515625" style="4"/>
    <col min="11521" max="11521" width="10.7109375" style="4" customWidth="1"/>
    <col min="11522" max="11522" width="62.85546875" style="4" customWidth="1"/>
    <col min="11523" max="11523" width="20.140625" style="4" customWidth="1"/>
    <col min="11524" max="11776" width="9.28515625" style="4"/>
    <col min="11777" max="11777" width="10.7109375" style="4" customWidth="1"/>
    <col min="11778" max="11778" width="62.85546875" style="4" customWidth="1"/>
    <col min="11779" max="11779" width="20.140625" style="4" customWidth="1"/>
    <col min="11780" max="12032" width="9.28515625" style="4"/>
    <col min="12033" max="12033" width="10.7109375" style="4" customWidth="1"/>
    <col min="12034" max="12034" width="62.85546875" style="4" customWidth="1"/>
    <col min="12035" max="12035" width="20.140625" style="4" customWidth="1"/>
    <col min="12036" max="12288" width="9.28515625" style="4"/>
    <col min="12289" max="12289" width="10.7109375" style="4" customWidth="1"/>
    <col min="12290" max="12290" width="62.85546875" style="4" customWidth="1"/>
    <col min="12291" max="12291" width="20.140625" style="4" customWidth="1"/>
    <col min="12292" max="12544" width="9.28515625" style="4"/>
    <col min="12545" max="12545" width="10.7109375" style="4" customWidth="1"/>
    <col min="12546" max="12546" width="62.85546875" style="4" customWidth="1"/>
    <col min="12547" max="12547" width="20.140625" style="4" customWidth="1"/>
    <col min="12548" max="12800" width="9.28515625" style="4"/>
    <col min="12801" max="12801" width="10.7109375" style="4" customWidth="1"/>
    <col min="12802" max="12802" width="62.85546875" style="4" customWidth="1"/>
    <col min="12803" max="12803" width="20.140625" style="4" customWidth="1"/>
    <col min="12804" max="13056" width="9.28515625" style="4"/>
    <col min="13057" max="13057" width="10.7109375" style="4" customWidth="1"/>
    <col min="13058" max="13058" width="62.85546875" style="4" customWidth="1"/>
    <col min="13059" max="13059" width="20.140625" style="4" customWidth="1"/>
    <col min="13060" max="13312" width="9.28515625" style="4"/>
    <col min="13313" max="13313" width="10.7109375" style="4" customWidth="1"/>
    <col min="13314" max="13314" width="62.85546875" style="4" customWidth="1"/>
    <col min="13315" max="13315" width="20.140625" style="4" customWidth="1"/>
    <col min="13316" max="13568" width="9.28515625" style="4"/>
    <col min="13569" max="13569" width="10.7109375" style="4" customWidth="1"/>
    <col min="13570" max="13570" width="62.85546875" style="4" customWidth="1"/>
    <col min="13571" max="13571" width="20.140625" style="4" customWidth="1"/>
    <col min="13572" max="13824" width="9.28515625" style="4"/>
    <col min="13825" max="13825" width="10.7109375" style="4" customWidth="1"/>
    <col min="13826" max="13826" width="62.85546875" style="4" customWidth="1"/>
    <col min="13827" max="13827" width="20.140625" style="4" customWidth="1"/>
    <col min="13828" max="14080" width="9.28515625" style="4"/>
    <col min="14081" max="14081" width="10.7109375" style="4" customWidth="1"/>
    <col min="14082" max="14082" width="62.85546875" style="4" customWidth="1"/>
    <col min="14083" max="14083" width="20.140625" style="4" customWidth="1"/>
    <col min="14084" max="14336" width="9.28515625" style="4"/>
    <col min="14337" max="14337" width="10.7109375" style="4" customWidth="1"/>
    <col min="14338" max="14338" width="62.85546875" style="4" customWidth="1"/>
    <col min="14339" max="14339" width="20.140625" style="4" customWidth="1"/>
    <col min="14340" max="14592" width="9.28515625" style="4"/>
    <col min="14593" max="14593" width="10.7109375" style="4" customWidth="1"/>
    <col min="14594" max="14594" width="62.85546875" style="4" customWidth="1"/>
    <col min="14595" max="14595" width="20.140625" style="4" customWidth="1"/>
    <col min="14596" max="14848" width="9.28515625" style="4"/>
    <col min="14849" max="14849" width="10.7109375" style="4" customWidth="1"/>
    <col min="14850" max="14850" width="62.85546875" style="4" customWidth="1"/>
    <col min="14851" max="14851" width="20.140625" style="4" customWidth="1"/>
    <col min="14852" max="15104" width="9.28515625" style="4"/>
    <col min="15105" max="15105" width="10.7109375" style="4" customWidth="1"/>
    <col min="15106" max="15106" width="62.85546875" style="4" customWidth="1"/>
    <col min="15107" max="15107" width="20.140625" style="4" customWidth="1"/>
    <col min="15108" max="15360" width="9.28515625" style="4"/>
    <col min="15361" max="15361" width="10.7109375" style="4" customWidth="1"/>
    <col min="15362" max="15362" width="62.85546875" style="4" customWidth="1"/>
    <col min="15363" max="15363" width="20.140625" style="4" customWidth="1"/>
    <col min="15364" max="15616" width="9.28515625" style="4"/>
    <col min="15617" max="15617" width="10.7109375" style="4" customWidth="1"/>
    <col min="15618" max="15618" width="62.85546875" style="4" customWidth="1"/>
    <col min="15619" max="15619" width="20.140625" style="4" customWidth="1"/>
    <col min="15620" max="15872" width="9.28515625" style="4"/>
    <col min="15873" max="15873" width="10.7109375" style="4" customWidth="1"/>
    <col min="15874" max="15874" width="62.85546875" style="4" customWidth="1"/>
    <col min="15875" max="15875" width="20.140625" style="4" customWidth="1"/>
    <col min="15876" max="16128" width="9.28515625" style="4"/>
    <col min="16129" max="16129" width="10.7109375" style="4" customWidth="1"/>
    <col min="16130" max="16130" width="62.85546875" style="4" customWidth="1"/>
    <col min="16131" max="16131" width="20.140625" style="4" customWidth="1"/>
    <col min="16132" max="16384" width="9.28515625" style="4"/>
  </cols>
  <sheetData>
    <row r="1" spans="1:3" s="243" customFormat="1" ht="35.1" customHeight="1">
      <c r="A1" s="1001" t="s">
        <v>710</v>
      </c>
      <c r="B1" s="1002"/>
      <c r="C1" s="1002"/>
    </row>
    <row r="2" spans="1:3" s="243" customFormat="1" ht="15" customHeight="1">
      <c r="A2" s="142" t="s">
        <v>711</v>
      </c>
      <c r="B2" s="142" t="s">
        <v>712</v>
      </c>
      <c r="C2" s="142" t="s">
        <v>713</v>
      </c>
    </row>
    <row r="3" spans="1:3">
      <c r="A3" s="302">
        <v>900001</v>
      </c>
      <c r="B3" s="303" t="s">
        <v>290</v>
      </c>
      <c r="C3" s="700">
        <f>SUM(C4:C1040000)</f>
        <v>0</v>
      </c>
    </row>
  </sheetData>
  <sheetProtection insertColumns="0" deleteRows="0" autoFilter="0"/>
  <mergeCells count="1">
    <mergeCell ref="A1:C1"/>
  </mergeCells>
  <dataValidations count="3">
    <dataValidation allowBlank="1" showInputMessage="1" showErrorMessage="1" prompt="Importe registrado en la contabilidad."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03 IY65503 SU65503 ACQ65503 AMM65503 AWI65503 BGE65503 BQA65503 BZW65503 CJS65503 CTO65503 DDK65503 DNG65503 DXC65503 EGY65503 EQU65503 FAQ65503 FKM65503 FUI65503 GEE65503 GOA65503 GXW65503 HHS65503 HRO65503 IBK65503 ILG65503 IVC65503 JEY65503 JOU65503 JYQ65503 KIM65503 KSI65503 LCE65503 LMA65503 LVW65503 MFS65503 MPO65503 MZK65503 NJG65503 NTC65503 OCY65503 OMU65503 OWQ65503 PGM65503 PQI65503 QAE65503 QKA65503 QTW65503 RDS65503 RNO65503 RXK65503 SHG65503 SRC65503 TAY65503 TKU65503 TUQ65503 UEM65503 UOI65503 UYE65503 VIA65503 VRW65503 WBS65503 WLO65503 WVK65503 C131039 IY131039 SU131039 ACQ131039 AMM131039 AWI131039 BGE131039 BQA131039 BZW131039 CJS131039 CTO131039 DDK131039 DNG131039 DXC131039 EGY131039 EQU131039 FAQ131039 FKM131039 FUI131039 GEE131039 GOA131039 GXW131039 HHS131039 HRO131039 IBK131039 ILG131039 IVC131039 JEY131039 JOU131039 JYQ131039 KIM131039 KSI131039 LCE131039 LMA131039 LVW131039 MFS131039 MPO131039 MZK131039 NJG131039 NTC131039 OCY131039 OMU131039 OWQ131039 PGM131039 PQI131039 QAE131039 QKA131039 QTW131039 RDS131039 RNO131039 RXK131039 SHG131039 SRC131039 TAY131039 TKU131039 TUQ131039 UEM131039 UOI131039 UYE131039 VIA131039 VRW131039 WBS131039 WLO131039 WVK131039 C196575 IY196575 SU196575 ACQ196575 AMM196575 AWI196575 BGE196575 BQA196575 BZW196575 CJS196575 CTO196575 DDK196575 DNG196575 DXC196575 EGY196575 EQU196575 FAQ196575 FKM196575 FUI196575 GEE196575 GOA196575 GXW196575 HHS196575 HRO196575 IBK196575 ILG196575 IVC196575 JEY196575 JOU196575 JYQ196575 KIM196575 KSI196575 LCE196575 LMA196575 LVW196575 MFS196575 MPO196575 MZK196575 NJG196575 NTC196575 OCY196575 OMU196575 OWQ196575 PGM196575 PQI196575 QAE196575 QKA196575 QTW196575 RDS196575 RNO196575 RXK196575 SHG196575 SRC196575 TAY196575 TKU196575 TUQ196575 UEM196575 UOI196575 UYE196575 VIA196575 VRW196575 WBS196575 WLO196575 WVK196575 C262111 IY262111 SU262111 ACQ262111 AMM262111 AWI262111 BGE262111 BQA262111 BZW262111 CJS262111 CTO262111 DDK262111 DNG262111 DXC262111 EGY262111 EQU262111 FAQ262111 FKM262111 FUI262111 GEE262111 GOA262111 GXW262111 HHS262111 HRO262111 IBK262111 ILG262111 IVC262111 JEY262111 JOU262111 JYQ262111 KIM262111 KSI262111 LCE262111 LMA262111 LVW262111 MFS262111 MPO262111 MZK262111 NJG262111 NTC262111 OCY262111 OMU262111 OWQ262111 PGM262111 PQI262111 QAE262111 QKA262111 QTW262111 RDS262111 RNO262111 RXK262111 SHG262111 SRC262111 TAY262111 TKU262111 TUQ262111 UEM262111 UOI262111 UYE262111 VIA262111 VRW262111 WBS262111 WLO262111 WVK262111 C327647 IY327647 SU327647 ACQ327647 AMM327647 AWI327647 BGE327647 BQA327647 BZW327647 CJS327647 CTO327647 DDK327647 DNG327647 DXC327647 EGY327647 EQU327647 FAQ327647 FKM327647 FUI327647 GEE327647 GOA327647 GXW327647 HHS327647 HRO327647 IBK327647 ILG327647 IVC327647 JEY327647 JOU327647 JYQ327647 KIM327647 KSI327647 LCE327647 LMA327647 LVW327647 MFS327647 MPO327647 MZK327647 NJG327647 NTC327647 OCY327647 OMU327647 OWQ327647 PGM327647 PQI327647 QAE327647 QKA327647 QTW327647 RDS327647 RNO327647 RXK327647 SHG327647 SRC327647 TAY327647 TKU327647 TUQ327647 UEM327647 UOI327647 UYE327647 VIA327647 VRW327647 WBS327647 WLO327647 WVK327647 C393183 IY393183 SU393183 ACQ393183 AMM393183 AWI393183 BGE393183 BQA393183 BZW393183 CJS393183 CTO393183 DDK393183 DNG393183 DXC393183 EGY393183 EQU393183 FAQ393183 FKM393183 FUI393183 GEE393183 GOA393183 GXW393183 HHS393183 HRO393183 IBK393183 ILG393183 IVC393183 JEY393183 JOU393183 JYQ393183 KIM393183 KSI393183 LCE393183 LMA393183 LVW393183 MFS393183 MPO393183 MZK393183 NJG393183 NTC393183 OCY393183 OMU393183 OWQ393183 PGM393183 PQI393183 QAE393183 QKA393183 QTW393183 RDS393183 RNO393183 RXK393183 SHG393183 SRC393183 TAY393183 TKU393183 TUQ393183 UEM393183 UOI393183 UYE393183 VIA393183 VRW393183 WBS393183 WLO393183 WVK393183 C458719 IY458719 SU458719 ACQ458719 AMM458719 AWI458719 BGE458719 BQA458719 BZW458719 CJS458719 CTO458719 DDK458719 DNG458719 DXC458719 EGY458719 EQU458719 FAQ458719 FKM458719 FUI458719 GEE458719 GOA458719 GXW458719 HHS458719 HRO458719 IBK458719 ILG458719 IVC458719 JEY458719 JOU458719 JYQ458719 KIM458719 KSI458719 LCE458719 LMA458719 LVW458719 MFS458719 MPO458719 MZK458719 NJG458719 NTC458719 OCY458719 OMU458719 OWQ458719 PGM458719 PQI458719 QAE458719 QKA458719 QTW458719 RDS458719 RNO458719 RXK458719 SHG458719 SRC458719 TAY458719 TKU458719 TUQ458719 UEM458719 UOI458719 UYE458719 VIA458719 VRW458719 WBS458719 WLO458719 WVK458719 C524255 IY524255 SU524255 ACQ524255 AMM524255 AWI524255 BGE524255 BQA524255 BZW524255 CJS524255 CTO524255 DDK524255 DNG524255 DXC524255 EGY524255 EQU524255 FAQ524255 FKM524255 FUI524255 GEE524255 GOA524255 GXW524255 HHS524255 HRO524255 IBK524255 ILG524255 IVC524255 JEY524255 JOU524255 JYQ524255 KIM524255 KSI524255 LCE524255 LMA524255 LVW524255 MFS524255 MPO524255 MZK524255 NJG524255 NTC524255 OCY524255 OMU524255 OWQ524255 PGM524255 PQI524255 QAE524255 QKA524255 QTW524255 RDS524255 RNO524255 RXK524255 SHG524255 SRC524255 TAY524255 TKU524255 TUQ524255 UEM524255 UOI524255 UYE524255 VIA524255 VRW524255 WBS524255 WLO524255 WVK524255 C589791 IY589791 SU589791 ACQ589791 AMM589791 AWI589791 BGE589791 BQA589791 BZW589791 CJS589791 CTO589791 DDK589791 DNG589791 DXC589791 EGY589791 EQU589791 FAQ589791 FKM589791 FUI589791 GEE589791 GOA589791 GXW589791 HHS589791 HRO589791 IBK589791 ILG589791 IVC589791 JEY589791 JOU589791 JYQ589791 KIM589791 KSI589791 LCE589791 LMA589791 LVW589791 MFS589791 MPO589791 MZK589791 NJG589791 NTC589791 OCY589791 OMU589791 OWQ589791 PGM589791 PQI589791 QAE589791 QKA589791 QTW589791 RDS589791 RNO589791 RXK589791 SHG589791 SRC589791 TAY589791 TKU589791 TUQ589791 UEM589791 UOI589791 UYE589791 VIA589791 VRW589791 WBS589791 WLO589791 WVK589791 C655327 IY655327 SU655327 ACQ655327 AMM655327 AWI655327 BGE655327 BQA655327 BZW655327 CJS655327 CTO655327 DDK655327 DNG655327 DXC655327 EGY655327 EQU655327 FAQ655327 FKM655327 FUI655327 GEE655327 GOA655327 GXW655327 HHS655327 HRO655327 IBK655327 ILG655327 IVC655327 JEY655327 JOU655327 JYQ655327 KIM655327 KSI655327 LCE655327 LMA655327 LVW655327 MFS655327 MPO655327 MZK655327 NJG655327 NTC655327 OCY655327 OMU655327 OWQ655327 PGM655327 PQI655327 QAE655327 QKA655327 QTW655327 RDS655327 RNO655327 RXK655327 SHG655327 SRC655327 TAY655327 TKU655327 TUQ655327 UEM655327 UOI655327 UYE655327 VIA655327 VRW655327 WBS655327 WLO655327 WVK655327 C720863 IY720863 SU720863 ACQ720863 AMM720863 AWI720863 BGE720863 BQA720863 BZW720863 CJS720863 CTO720863 DDK720863 DNG720863 DXC720863 EGY720863 EQU720863 FAQ720863 FKM720863 FUI720863 GEE720863 GOA720863 GXW720863 HHS720863 HRO720863 IBK720863 ILG720863 IVC720863 JEY720863 JOU720863 JYQ720863 KIM720863 KSI720863 LCE720863 LMA720863 LVW720863 MFS720863 MPO720863 MZK720863 NJG720863 NTC720863 OCY720863 OMU720863 OWQ720863 PGM720863 PQI720863 QAE720863 QKA720863 QTW720863 RDS720863 RNO720863 RXK720863 SHG720863 SRC720863 TAY720863 TKU720863 TUQ720863 UEM720863 UOI720863 UYE720863 VIA720863 VRW720863 WBS720863 WLO720863 WVK720863 C786399 IY786399 SU786399 ACQ786399 AMM786399 AWI786399 BGE786399 BQA786399 BZW786399 CJS786399 CTO786399 DDK786399 DNG786399 DXC786399 EGY786399 EQU786399 FAQ786399 FKM786399 FUI786399 GEE786399 GOA786399 GXW786399 HHS786399 HRO786399 IBK786399 ILG786399 IVC786399 JEY786399 JOU786399 JYQ786399 KIM786399 KSI786399 LCE786399 LMA786399 LVW786399 MFS786399 MPO786399 MZK786399 NJG786399 NTC786399 OCY786399 OMU786399 OWQ786399 PGM786399 PQI786399 QAE786399 QKA786399 QTW786399 RDS786399 RNO786399 RXK786399 SHG786399 SRC786399 TAY786399 TKU786399 TUQ786399 UEM786399 UOI786399 UYE786399 VIA786399 VRW786399 WBS786399 WLO786399 WVK786399 C851935 IY851935 SU851935 ACQ851935 AMM851935 AWI851935 BGE851935 BQA851935 BZW851935 CJS851935 CTO851935 DDK851935 DNG851935 DXC851935 EGY851935 EQU851935 FAQ851935 FKM851935 FUI851935 GEE851935 GOA851935 GXW851935 HHS851935 HRO851935 IBK851935 ILG851935 IVC851935 JEY851935 JOU851935 JYQ851935 KIM851935 KSI851935 LCE851935 LMA851935 LVW851935 MFS851935 MPO851935 MZK851935 NJG851935 NTC851935 OCY851935 OMU851935 OWQ851935 PGM851935 PQI851935 QAE851935 QKA851935 QTW851935 RDS851935 RNO851935 RXK851935 SHG851935 SRC851935 TAY851935 TKU851935 TUQ851935 UEM851935 UOI851935 UYE851935 VIA851935 VRW851935 WBS851935 WLO851935 WVK851935 C917471 IY917471 SU917471 ACQ917471 AMM917471 AWI917471 BGE917471 BQA917471 BZW917471 CJS917471 CTO917471 DDK917471 DNG917471 DXC917471 EGY917471 EQU917471 FAQ917471 FKM917471 FUI917471 GEE917471 GOA917471 GXW917471 HHS917471 HRO917471 IBK917471 ILG917471 IVC917471 JEY917471 JOU917471 JYQ917471 KIM917471 KSI917471 LCE917471 LMA917471 LVW917471 MFS917471 MPO917471 MZK917471 NJG917471 NTC917471 OCY917471 OMU917471 OWQ917471 PGM917471 PQI917471 QAE917471 QKA917471 QTW917471 RDS917471 RNO917471 RXK917471 SHG917471 SRC917471 TAY917471 TKU917471 TUQ917471 UEM917471 UOI917471 UYE917471 VIA917471 VRW917471 WBS917471 WLO917471 WVK917471 C983007 IY983007 SU983007 ACQ983007 AMM983007 AWI983007 BGE983007 BQA983007 BZW983007 CJS983007 CTO983007 DDK983007 DNG983007 DXC983007 EGY983007 EQU983007 FAQ983007 FKM983007 FUI983007 GEE983007 GOA983007 GXW983007 HHS983007 HRO983007 IBK983007 ILG983007 IVC983007 JEY983007 JOU983007 JYQ983007 KIM983007 KSI983007 LCE983007 LMA983007 LVW983007 MFS983007 MPO983007 MZK983007 NJG983007 NTC983007 OCY983007 OMU983007 OWQ983007 PGM983007 PQI983007 QAE983007 QKA983007 QTW983007 RDS983007 RNO983007 RXK983007 SHG983007 SRC983007 TAY983007 TKU983007 TUQ983007 UEM983007 UOI983007 UYE983007 VIA983007 VRW983007 WBS983007 WLO983007 WVK983007"/>
    <dataValidation allowBlank="1" showInputMessage="1" showErrorMessage="1" prompt="Descripción general del bie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03 IX65503 ST65503 ACP65503 AML65503 AWH65503 BGD65503 BPZ65503 BZV65503 CJR65503 CTN65503 DDJ65503 DNF65503 DXB65503 EGX65503 EQT65503 FAP65503 FKL65503 FUH65503 GED65503 GNZ65503 GXV65503 HHR65503 HRN65503 IBJ65503 ILF65503 IVB65503 JEX65503 JOT65503 JYP65503 KIL65503 KSH65503 LCD65503 LLZ65503 LVV65503 MFR65503 MPN65503 MZJ65503 NJF65503 NTB65503 OCX65503 OMT65503 OWP65503 PGL65503 PQH65503 QAD65503 QJZ65503 QTV65503 RDR65503 RNN65503 RXJ65503 SHF65503 SRB65503 TAX65503 TKT65503 TUP65503 UEL65503 UOH65503 UYD65503 VHZ65503 VRV65503 WBR65503 WLN65503 WVJ65503 B131039 IX131039 ST131039 ACP131039 AML131039 AWH131039 BGD131039 BPZ131039 BZV131039 CJR131039 CTN131039 DDJ131039 DNF131039 DXB131039 EGX131039 EQT131039 FAP131039 FKL131039 FUH131039 GED131039 GNZ131039 GXV131039 HHR131039 HRN131039 IBJ131039 ILF131039 IVB131039 JEX131039 JOT131039 JYP131039 KIL131039 KSH131039 LCD131039 LLZ131039 LVV131039 MFR131039 MPN131039 MZJ131039 NJF131039 NTB131039 OCX131039 OMT131039 OWP131039 PGL131039 PQH131039 QAD131039 QJZ131039 QTV131039 RDR131039 RNN131039 RXJ131039 SHF131039 SRB131039 TAX131039 TKT131039 TUP131039 UEL131039 UOH131039 UYD131039 VHZ131039 VRV131039 WBR131039 WLN131039 WVJ131039 B196575 IX196575 ST196575 ACP196575 AML196575 AWH196575 BGD196575 BPZ196575 BZV196575 CJR196575 CTN196575 DDJ196575 DNF196575 DXB196575 EGX196575 EQT196575 FAP196575 FKL196575 FUH196575 GED196575 GNZ196575 GXV196575 HHR196575 HRN196575 IBJ196575 ILF196575 IVB196575 JEX196575 JOT196575 JYP196575 KIL196575 KSH196575 LCD196575 LLZ196575 LVV196575 MFR196575 MPN196575 MZJ196575 NJF196575 NTB196575 OCX196575 OMT196575 OWP196575 PGL196575 PQH196575 QAD196575 QJZ196575 QTV196575 RDR196575 RNN196575 RXJ196575 SHF196575 SRB196575 TAX196575 TKT196575 TUP196575 UEL196575 UOH196575 UYD196575 VHZ196575 VRV196575 WBR196575 WLN196575 WVJ196575 B262111 IX262111 ST262111 ACP262111 AML262111 AWH262111 BGD262111 BPZ262111 BZV262111 CJR262111 CTN262111 DDJ262111 DNF262111 DXB262111 EGX262111 EQT262111 FAP262111 FKL262111 FUH262111 GED262111 GNZ262111 GXV262111 HHR262111 HRN262111 IBJ262111 ILF262111 IVB262111 JEX262111 JOT262111 JYP262111 KIL262111 KSH262111 LCD262111 LLZ262111 LVV262111 MFR262111 MPN262111 MZJ262111 NJF262111 NTB262111 OCX262111 OMT262111 OWP262111 PGL262111 PQH262111 QAD262111 QJZ262111 QTV262111 RDR262111 RNN262111 RXJ262111 SHF262111 SRB262111 TAX262111 TKT262111 TUP262111 UEL262111 UOH262111 UYD262111 VHZ262111 VRV262111 WBR262111 WLN262111 WVJ262111 B327647 IX327647 ST327647 ACP327647 AML327647 AWH327647 BGD327647 BPZ327647 BZV327647 CJR327647 CTN327647 DDJ327647 DNF327647 DXB327647 EGX327647 EQT327647 FAP327647 FKL327647 FUH327647 GED327647 GNZ327647 GXV327647 HHR327647 HRN327647 IBJ327647 ILF327647 IVB327647 JEX327647 JOT327647 JYP327647 KIL327647 KSH327647 LCD327647 LLZ327647 LVV327647 MFR327647 MPN327647 MZJ327647 NJF327647 NTB327647 OCX327647 OMT327647 OWP327647 PGL327647 PQH327647 QAD327647 QJZ327647 QTV327647 RDR327647 RNN327647 RXJ327647 SHF327647 SRB327647 TAX327647 TKT327647 TUP327647 UEL327647 UOH327647 UYD327647 VHZ327647 VRV327647 WBR327647 WLN327647 WVJ327647 B393183 IX393183 ST393183 ACP393183 AML393183 AWH393183 BGD393183 BPZ393183 BZV393183 CJR393183 CTN393183 DDJ393183 DNF393183 DXB393183 EGX393183 EQT393183 FAP393183 FKL393183 FUH393183 GED393183 GNZ393183 GXV393183 HHR393183 HRN393183 IBJ393183 ILF393183 IVB393183 JEX393183 JOT393183 JYP393183 KIL393183 KSH393183 LCD393183 LLZ393183 LVV393183 MFR393183 MPN393183 MZJ393183 NJF393183 NTB393183 OCX393183 OMT393183 OWP393183 PGL393183 PQH393183 QAD393183 QJZ393183 QTV393183 RDR393183 RNN393183 RXJ393183 SHF393183 SRB393183 TAX393183 TKT393183 TUP393183 UEL393183 UOH393183 UYD393183 VHZ393183 VRV393183 WBR393183 WLN393183 WVJ393183 B458719 IX458719 ST458719 ACP458719 AML458719 AWH458719 BGD458719 BPZ458719 BZV458719 CJR458719 CTN458719 DDJ458719 DNF458719 DXB458719 EGX458719 EQT458719 FAP458719 FKL458719 FUH458719 GED458719 GNZ458719 GXV458719 HHR458719 HRN458719 IBJ458719 ILF458719 IVB458719 JEX458719 JOT458719 JYP458719 KIL458719 KSH458719 LCD458719 LLZ458719 LVV458719 MFR458719 MPN458719 MZJ458719 NJF458719 NTB458719 OCX458719 OMT458719 OWP458719 PGL458719 PQH458719 QAD458719 QJZ458719 QTV458719 RDR458719 RNN458719 RXJ458719 SHF458719 SRB458719 TAX458719 TKT458719 TUP458719 UEL458719 UOH458719 UYD458719 VHZ458719 VRV458719 WBR458719 WLN458719 WVJ458719 B524255 IX524255 ST524255 ACP524255 AML524255 AWH524255 BGD524255 BPZ524255 BZV524255 CJR524255 CTN524255 DDJ524255 DNF524255 DXB524255 EGX524255 EQT524255 FAP524255 FKL524255 FUH524255 GED524255 GNZ524255 GXV524255 HHR524255 HRN524255 IBJ524255 ILF524255 IVB524255 JEX524255 JOT524255 JYP524255 KIL524255 KSH524255 LCD524255 LLZ524255 LVV524255 MFR524255 MPN524255 MZJ524255 NJF524255 NTB524255 OCX524255 OMT524255 OWP524255 PGL524255 PQH524255 QAD524255 QJZ524255 QTV524255 RDR524255 RNN524255 RXJ524255 SHF524255 SRB524255 TAX524255 TKT524255 TUP524255 UEL524255 UOH524255 UYD524255 VHZ524255 VRV524255 WBR524255 WLN524255 WVJ524255 B589791 IX589791 ST589791 ACP589791 AML589791 AWH589791 BGD589791 BPZ589791 BZV589791 CJR589791 CTN589791 DDJ589791 DNF589791 DXB589791 EGX589791 EQT589791 FAP589791 FKL589791 FUH589791 GED589791 GNZ589791 GXV589791 HHR589791 HRN589791 IBJ589791 ILF589791 IVB589791 JEX589791 JOT589791 JYP589791 KIL589791 KSH589791 LCD589791 LLZ589791 LVV589791 MFR589791 MPN589791 MZJ589791 NJF589791 NTB589791 OCX589791 OMT589791 OWP589791 PGL589791 PQH589791 QAD589791 QJZ589791 QTV589791 RDR589791 RNN589791 RXJ589791 SHF589791 SRB589791 TAX589791 TKT589791 TUP589791 UEL589791 UOH589791 UYD589791 VHZ589791 VRV589791 WBR589791 WLN589791 WVJ589791 B655327 IX655327 ST655327 ACP655327 AML655327 AWH655327 BGD655327 BPZ655327 BZV655327 CJR655327 CTN655327 DDJ655327 DNF655327 DXB655327 EGX655327 EQT655327 FAP655327 FKL655327 FUH655327 GED655327 GNZ655327 GXV655327 HHR655327 HRN655327 IBJ655327 ILF655327 IVB655327 JEX655327 JOT655327 JYP655327 KIL655327 KSH655327 LCD655327 LLZ655327 LVV655327 MFR655327 MPN655327 MZJ655327 NJF655327 NTB655327 OCX655327 OMT655327 OWP655327 PGL655327 PQH655327 QAD655327 QJZ655327 QTV655327 RDR655327 RNN655327 RXJ655327 SHF655327 SRB655327 TAX655327 TKT655327 TUP655327 UEL655327 UOH655327 UYD655327 VHZ655327 VRV655327 WBR655327 WLN655327 WVJ655327 B720863 IX720863 ST720863 ACP720863 AML720863 AWH720863 BGD720863 BPZ720863 BZV720863 CJR720863 CTN720863 DDJ720863 DNF720863 DXB720863 EGX720863 EQT720863 FAP720863 FKL720863 FUH720863 GED720863 GNZ720863 GXV720863 HHR720863 HRN720863 IBJ720863 ILF720863 IVB720863 JEX720863 JOT720863 JYP720863 KIL720863 KSH720863 LCD720863 LLZ720863 LVV720863 MFR720863 MPN720863 MZJ720863 NJF720863 NTB720863 OCX720863 OMT720863 OWP720863 PGL720863 PQH720863 QAD720863 QJZ720863 QTV720863 RDR720863 RNN720863 RXJ720863 SHF720863 SRB720863 TAX720863 TKT720863 TUP720863 UEL720863 UOH720863 UYD720863 VHZ720863 VRV720863 WBR720863 WLN720863 WVJ720863 B786399 IX786399 ST786399 ACP786399 AML786399 AWH786399 BGD786399 BPZ786399 BZV786399 CJR786399 CTN786399 DDJ786399 DNF786399 DXB786399 EGX786399 EQT786399 FAP786399 FKL786399 FUH786399 GED786399 GNZ786399 GXV786399 HHR786399 HRN786399 IBJ786399 ILF786399 IVB786399 JEX786399 JOT786399 JYP786399 KIL786399 KSH786399 LCD786399 LLZ786399 LVV786399 MFR786399 MPN786399 MZJ786399 NJF786399 NTB786399 OCX786399 OMT786399 OWP786399 PGL786399 PQH786399 QAD786399 QJZ786399 QTV786399 RDR786399 RNN786399 RXJ786399 SHF786399 SRB786399 TAX786399 TKT786399 TUP786399 UEL786399 UOH786399 UYD786399 VHZ786399 VRV786399 WBR786399 WLN786399 WVJ786399 B851935 IX851935 ST851935 ACP851935 AML851935 AWH851935 BGD851935 BPZ851935 BZV851935 CJR851935 CTN851935 DDJ851935 DNF851935 DXB851935 EGX851935 EQT851935 FAP851935 FKL851935 FUH851935 GED851935 GNZ851935 GXV851935 HHR851935 HRN851935 IBJ851935 ILF851935 IVB851935 JEX851935 JOT851935 JYP851935 KIL851935 KSH851935 LCD851935 LLZ851935 LVV851935 MFR851935 MPN851935 MZJ851935 NJF851935 NTB851935 OCX851935 OMT851935 OWP851935 PGL851935 PQH851935 QAD851935 QJZ851935 QTV851935 RDR851935 RNN851935 RXJ851935 SHF851935 SRB851935 TAX851935 TKT851935 TUP851935 UEL851935 UOH851935 UYD851935 VHZ851935 VRV851935 WBR851935 WLN851935 WVJ851935 B917471 IX917471 ST917471 ACP917471 AML917471 AWH917471 BGD917471 BPZ917471 BZV917471 CJR917471 CTN917471 DDJ917471 DNF917471 DXB917471 EGX917471 EQT917471 FAP917471 FKL917471 FUH917471 GED917471 GNZ917471 GXV917471 HHR917471 HRN917471 IBJ917471 ILF917471 IVB917471 JEX917471 JOT917471 JYP917471 KIL917471 KSH917471 LCD917471 LLZ917471 LVV917471 MFR917471 MPN917471 MZJ917471 NJF917471 NTB917471 OCX917471 OMT917471 OWP917471 PGL917471 PQH917471 QAD917471 QJZ917471 QTV917471 RDR917471 RNN917471 RXJ917471 SHF917471 SRB917471 TAX917471 TKT917471 TUP917471 UEL917471 UOH917471 UYD917471 VHZ917471 VRV917471 WBR917471 WLN917471 WVJ917471 B983007 IX983007 ST983007 ACP983007 AML983007 AWH983007 BGD983007 BPZ983007 BZV983007 CJR983007 CTN983007 DDJ983007 DNF983007 DXB983007 EGX983007 EQT983007 FAP983007 FKL983007 FUH983007 GED983007 GNZ983007 GXV983007 HHR983007 HRN983007 IBJ983007 ILF983007 IVB983007 JEX983007 JOT983007 JYP983007 KIL983007 KSH983007 LCD983007 LLZ983007 LVV983007 MFR983007 MPN983007 MZJ983007 NJF983007 NTB983007 OCX983007 OMT983007 OWP983007 PGL983007 PQH983007 QAD983007 QJZ983007 QTV983007 RDR983007 RNN983007 RXJ983007 SHF983007 SRB983007 TAX983007 TKT983007 TUP983007 UEL983007 UOH983007 UYD983007 VHZ983007 VRV983007 WBR983007 WLN983007 WVJ983007"/>
    <dataValidation allowBlank="1" showInputMessage="1" showErrorMessage="1" prompt="De acuerdo al Catálogo de Bienes Muebles, publicado en el DOF del 13 de diciembre de 2011."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03 IW65503 SS65503 ACO65503 AMK65503 AWG65503 BGC65503 BPY65503 BZU65503 CJQ65503 CTM65503 DDI65503 DNE65503 DXA65503 EGW65503 EQS65503 FAO65503 FKK65503 FUG65503 GEC65503 GNY65503 GXU65503 HHQ65503 HRM65503 IBI65503 ILE65503 IVA65503 JEW65503 JOS65503 JYO65503 KIK65503 KSG65503 LCC65503 LLY65503 LVU65503 MFQ65503 MPM65503 MZI65503 NJE65503 NTA65503 OCW65503 OMS65503 OWO65503 PGK65503 PQG65503 QAC65503 QJY65503 QTU65503 RDQ65503 RNM65503 RXI65503 SHE65503 SRA65503 TAW65503 TKS65503 TUO65503 UEK65503 UOG65503 UYC65503 VHY65503 VRU65503 WBQ65503 WLM65503 WVI65503 A131039 IW131039 SS131039 ACO131039 AMK131039 AWG131039 BGC131039 BPY131039 BZU131039 CJQ131039 CTM131039 DDI131039 DNE131039 DXA131039 EGW131039 EQS131039 FAO131039 FKK131039 FUG131039 GEC131039 GNY131039 GXU131039 HHQ131039 HRM131039 IBI131039 ILE131039 IVA131039 JEW131039 JOS131039 JYO131039 KIK131039 KSG131039 LCC131039 LLY131039 LVU131039 MFQ131039 MPM131039 MZI131039 NJE131039 NTA131039 OCW131039 OMS131039 OWO131039 PGK131039 PQG131039 QAC131039 QJY131039 QTU131039 RDQ131039 RNM131039 RXI131039 SHE131039 SRA131039 TAW131039 TKS131039 TUO131039 UEK131039 UOG131039 UYC131039 VHY131039 VRU131039 WBQ131039 WLM131039 WVI131039 A196575 IW196575 SS196575 ACO196575 AMK196575 AWG196575 BGC196575 BPY196575 BZU196575 CJQ196575 CTM196575 DDI196575 DNE196575 DXA196575 EGW196575 EQS196575 FAO196575 FKK196575 FUG196575 GEC196575 GNY196575 GXU196575 HHQ196575 HRM196575 IBI196575 ILE196575 IVA196575 JEW196575 JOS196575 JYO196575 KIK196575 KSG196575 LCC196575 LLY196575 LVU196575 MFQ196575 MPM196575 MZI196575 NJE196575 NTA196575 OCW196575 OMS196575 OWO196575 PGK196575 PQG196575 QAC196575 QJY196575 QTU196575 RDQ196575 RNM196575 RXI196575 SHE196575 SRA196575 TAW196575 TKS196575 TUO196575 UEK196575 UOG196575 UYC196575 VHY196575 VRU196575 WBQ196575 WLM196575 WVI196575 A262111 IW262111 SS262111 ACO262111 AMK262111 AWG262111 BGC262111 BPY262111 BZU262111 CJQ262111 CTM262111 DDI262111 DNE262111 DXA262111 EGW262111 EQS262111 FAO262111 FKK262111 FUG262111 GEC262111 GNY262111 GXU262111 HHQ262111 HRM262111 IBI262111 ILE262111 IVA262111 JEW262111 JOS262111 JYO262111 KIK262111 KSG262111 LCC262111 LLY262111 LVU262111 MFQ262111 MPM262111 MZI262111 NJE262111 NTA262111 OCW262111 OMS262111 OWO262111 PGK262111 PQG262111 QAC262111 QJY262111 QTU262111 RDQ262111 RNM262111 RXI262111 SHE262111 SRA262111 TAW262111 TKS262111 TUO262111 UEK262111 UOG262111 UYC262111 VHY262111 VRU262111 WBQ262111 WLM262111 WVI262111 A327647 IW327647 SS327647 ACO327647 AMK327647 AWG327647 BGC327647 BPY327647 BZU327647 CJQ327647 CTM327647 DDI327647 DNE327647 DXA327647 EGW327647 EQS327647 FAO327647 FKK327647 FUG327647 GEC327647 GNY327647 GXU327647 HHQ327647 HRM327647 IBI327647 ILE327647 IVA327647 JEW327647 JOS327647 JYO327647 KIK327647 KSG327647 LCC327647 LLY327647 LVU327647 MFQ327647 MPM327647 MZI327647 NJE327647 NTA327647 OCW327647 OMS327647 OWO327647 PGK327647 PQG327647 QAC327647 QJY327647 QTU327647 RDQ327647 RNM327647 RXI327647 SHE327647 SRA327647 TAW327647 TKS327647 TUO327647 UEK327647 UOG327647 UYC327647 VHY327647 VRU327647 WBQ327647 WLM327647 WVI327647 A393183 IW393183 SS393183 ACO393183 AMK393183 AWG393183 BGC393183 BPY393183 BZU393183 CJQ393183 CTM393183 DDI393183 DNE393183 DXA393183 EGW393183 EQS393183 FAO393183 FKK393183 FUG393183 GEC393183 GNY393183 GXU393183 HHQ393183 HRM393183 IBI393183 ILE393183 IVA393183 JEW393183 JOS393183 JYO393183 KIK393183 KSG393183 LCC393183 LLY393183 LVU393183 MFQ393183 MPM393183 MZI393183 NJE393183 NTA393183 OCW393183 OMS393183 OWO393183 PGK393183 PQG393183 QAC393183 QJY393183 QTU393183 RDQ393183 RNM393183 RXI393183 SHE393183 SRA393183 TAW393183 TKS393183 TUO393183 UEK393183 UOG393183 UYC393183 VHY393183 VRU393183 WBQ393183 WLM393183 WVI393183 A458719 IW458719 SS458719 ACO458719 AMK458719 AWG458719 BGC458719 BPY458719 BZU458719 CJQ458719 CTM458719 DDI458719 DNE458719 DXA458719 EGW458719 EQS458719 FAO458719 FKK458719 FUG458719 GEC458719 GNY458719 GXU458719 HHQ458719 HRM458719 IBI458719 ILE458719 IVA458719 JEW458719 JOS458719 JYO458719 KIK458719 KSG458719 LCC458719 LLY458719 LVU458719 MFQ458719 MPM458719 MZI458719 NJE458719 NTA458719 OCW458719 OMS458719 OWO458719 PGK458719 PQG458719 QAC458719 QJY458719 QTU458719 RDQ458719 RNM458719 RXI458719 SHE458719 SRA458719 TAW458719 TKS458719 TUO458719 UEK458719 UOG458719 UYC458719 VHY458719 VRU458719 WBQ458719 WLM458719 WVI458719 A524255 IW524255 SS524255 ACO524255 AMK524255 AWG524255 BGC524255 BPY524255 BZU524255 CJQ524255 CTM524255 DDI524255 DNE524255 DXA524255 EGW524255 EQS524255 FAO524255 FKK524255 FUG524255 GEC524255 GNY524255 GXU524255 HHQ524255 HRM524255 IBI524255 ILE524255 IVA524255 JEW524255 JOS524255 JYO524255 KIK524255 KSG524255 LCC524255 LLY524255 LVU524255 MFQ524255 MPM524255 MZI524255 NJE524255 NTA524255 OCW524255 OMS524255 OWO524255 PGK524255 PQG524255 QAC524255 QJY524255 QTU524255 RDQ524255 RNM524255 RXI524255 SHE524255 SRA524255 TAW524255 TKS524255 TUO524255 UEK524255 UOG524255 UYC524255 VHY524255 VRU524255 WBQ524255 WLM524255 WVI524255 A589791 IW589791 SS589791 ACO589791 AMK589791 AWG589791 BGC589791 BPY589791 BZU589791 CJQ589791 CTM589791 DDI589791 DNE589791 DXA589791 EGW589791 EQS589791 FAO589791 FKK589791 FUG589791 GEC589791 GNY589791 GXU589791 HHQ589791 HRM589791 IBI589791 ILE589791 IVA589791 JEW589791 JOS589791 JYO589791 KIK589791 KSG589791 LCC589791 LLY589791 LVU589791 MFQ589791 MPM589791 MZI589791 NJE589791 NTA589791 OCW589791 OMS589791 OWO589791 PGK589791 PQG589791 QAC589791 QJY589791 QTU589791 RDQ589791 RNM589791 RXI589791 SHE589791 SRA589791 TAW589791 TKS589791 TUO589791 UEK589791 UOG589791 UYC589791 VHY589791 VRU589791 WBQ589791 WLM589791 WVI589791 A655327 IW655327 SS655327 ACO655327 AMK655327 AWG655327 BGC655327 BPY655327 BZU655327 CJQ655327 CTM655327 DDI655327 DNE655327 DXA655327 EGW655327 EQS655327 FAO655327 FKK655327 FUG655327 GEC655327 GNY655327 GXU655327 HHQ655327 HRM655327 IBI655327 ILE655327 IVA655327 JEW655327 JOS655327 JYO655327 KIK655327 KSG655327 LCC655327 LLY655327 LVU655327 MFQ655327 MPM655327 MZI655327 NJE655327 NTA655327 OCW655327 OMS655327 OWO655327 PGK655327 PQG655327 QAC655327 QJY655327 QTU655327 RDQ655327 RNM655327 RXI655327 SHE655327 SRA655327 TAW655327 TKS655327 TUO655327 UEK655327 UOG655327 UYC655327 VHY655327 VRU655327 WBQ655327 WLM655327 WVI655327 A720863 IW720863 SS720863 ACO720863 AMK720863 AWG720863 BGC720863 BPY720863 BZU720863 CJQ720863 CTM720863 DDI720863 DNE720863 DXA720863 EGW720863 EQS720863 FAO720863 FKK720863 FUG720863 GEC720863 GNY720863 GXU720863 HHQ720863 HRM720863 IBI720863 ILE720863 IVA720863 JEW720863 JOS720863 JYO720863 KIK720863 KSG720863 LCC720863 LLY720863 LVU720863 MFQ720863 MPM720863 MZI720863 NJE720863 NTA720863 OCW720863 OMS720863 OWO720863 PGK720863 PQG720863 QAC720863 QJY720863 QTU720863 RDQ720863 RNM720863 RXI720863 SHE720863 SRA720863 TAW720863 TKS720863 TUO720863 UEK720863 UOG720863 UYC720863 VHY720863 VRU720863 WBQ720863 WLM720863 WVI720863 A786399 IW786399 SS786399 ACO786399 AMK786399 AWG786399 BGC786399 BPY786399 BZU786399 CJQ786399 CTM786399 DDI786399 DNE786399 DXA786399 EGW786399 EQS786399 FAO786399 FKK786399 FUG786399 GEC786399 GNY786399 GXU786399 HHQ786399 HRM786399 IBI786399 ILE786399 IVA786399 JEW786399 JOS786399 JYO786399 KIK786399 KSG786399 LCC786399 LLY786399 LVU786399 MFQ786399 MPM786399 MZI786399 NJE786399 NTA786399 OCW786399 OMS786399 OWO786399 PGK786399 PQG786399 QAC786399 QJY786399 QTU786399 RDQ786399 RNM786399 RXI786399 SHE786399 SRA786399 TAW786399 TKS786399 TUO786399 UEK786399 UOG786399 UYC786399 VHY786399 VRU786399 WBQ786399 WLM786399 WVI786399 A851935 IW851935 SS851935 ACO851935 AMK851935 AWG851935 BGC851935 BPY851935 BZU851935 CJQ851935 CTM851935 DDI851935 DNE851935 DXA851935 EGW851935 EQS851935 FAO851935 FKK851935 FUG851935 GEC851935 GNY851935 GXU851935 HHQ851935 HRM851935 IBI851935 ILE851935 IVA851935 JEW851935 JOS851935 JYO851935 KIK851935 KSG851935 LCC851935 LLY851935 LVU851935 MFQ851935 MPM851935 MZI851935 NJE851935 NTA851935 OCW851935 OMS851935 OWO851935 PGK851935 PQG851935 QAC851935 QJY851935 QTU851935 RDQ851935 RNM851935 RXI851935 SHE851935 SRA851935 TAW851935 TKS851935 TUO851935 UEK851935 UOG851935 UYC851935 VHY851935 VRU851935 WBQ851935 WLM851935 WVI851935 A917471 IW917471 SS917471 ACO917471 AMK917471 AWG917471 BGC917471 BPY917471 BZU917471 CJQ917471 CTM917471 DDI917471 DNE917471 DXA917471 EGW917471 EQS917471 FAO917471 FKK917471 FUG917471 GEC917471 GNY917471 GXU917471 HHQ917471 HRM917471 IBI917471 ILE917471 IVA917471 JEW917471 JOS917471 JYO917471 KIK917471 KSG917471 LCC917471 LLY917471 LVU917471 MFQ917471 MPM917471 MZI917471 NJE917471 NTA917471 OCW917471 OMS917471 OWO917471 PGK917471 PQG917471 QAC917471 QJY917471 QTU917471 RDQ917471 RNM917471 RXI917471 SHE917471 SRA917471 TAW917471 TKS917471 TUO917471 UEK917471 UOG917471 UYC917471 VHY917471 VRU917471 WBQ917471 WLM917471 WVI917471 A983007 IW983007 SS983007 ACO983007 AMK983007 AWG983007 BGC983007 BPY983007 BZU983007 CJQ983007 CTM983007 DDI983007 DNE983007 DXA983007 EGW983007 EQS983007 FAO983007 FKK983007 FUG983007 GEC983007 GNY983007 GXU983007 HHQ983007 HRM983007 IBI983007 ILE983007 IVA983007 JEW983007 JOS983007 JYO983007 KIK983007 KSG983007 LCC983007 LLY983007 LVU983007 MFQ983007 MPM983007 MZI983007 NJE983007 NTA983007 OCW983007 OMS983007 OWO983007 PGK983007 PQG983007 QAC983007 QJY983007 QTU983007 RDQ983007 RNM983007 RXI983007 SHE983007 SRA983007 TAW983007 TKS983007 TUO983007 UEK983007 UOG983007 UYC983007 VHY983007 VRU983007 WBQ983007 WLM983007 WVI983007"/>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2" workbookViewId="0">
      <selection activeCell="C3" sqref="C3"/>
    </sheetView>
  </sheetViews>
  <sheetFormatPr baseColWidth="10" defaultColWidth="9.28515625" defaultRowHeight="11.25"/>
  <cols>
    <col min="1" max="1" width="10.7109375" style="4" customWidth="1"/>
    <col min="2" max="2" width="62.85546875" style="4" customWidth="1"/>
    <col min="3" max="3" width="20.140625" style="4" customWidth="1"/>
    <col min="4" max="256" width="9.28515625" style="4"/>
    <col min="257" max="257" width="10.7109375" style="4" customWidth="1"/>
    <col min="258" max="258" width="62.85546875" style="4" customWidth="1"/>
    <col min="259" max="259" width="20.140625" style="4" customWidth="1"/>
    <col min="260" max="512" width="9.28515625" style="4"/>
    <col min="513" max="513" width="10.7109375" style="4" customWidth="1"/>
    <col min="514" max="514" width="62.85546875" style="4" customWidth="1"/>
    <col min="515" max="515" width="20.140625" style="4" customWidth="1"/>
    <col min="516" max="768" width="9.28515625" style="4"/>
    <col min="769" max="769" width="10.7109375" style="4" customWidth="1"/>
    <col min="770" max="770" width="62.85546875" style="4" customWidth="1"/>
    <col min="771" max="771" width="20.140625" style="4" customWidth="1"/>
    <col min="772" max="1024" width="9.28515625" style="4"/>
    <col min="1025" max="1025" width="10.7109375" style="4" customWidth="1"/>
    <col min="1026" max="1026" width="62.85546875" style="4" customWidth="1"/>
    <col min="1027" max="1027" width="20.140625" style="4" customWidth="1"/>
    <col min="1028" max="1280" width="9.28515625" style="4"/>
    <col min="1281" max="1281" width="10.7109375" style="4" customWidth="1"/>
    <col min="1282" max="1282" width="62.85546875" style="4" customWidth="1"/>
    <col min="1283" max="1283" width="20.140625" style="4" customWidth="1"/>
    <col min="1284" max="1536" width="9.28515625" style="4"/>
    <col min="1537" max="1537" width="10.7109375" style="4" customWidth="1"/>
    <col min="1538" max="1538" width="62.85546875" style="4" customWidth="1"/>
    <col min="1539" max="1539" width="20.140625" style="4" customWidth="1"/>
    <col min="1540" max="1792" width="9.28515625" style="4"/>
    <col min="1793" max="1793" width="10.7109375" style="4" customWidth="1"/>
    <col min="1794" max="1794" width="62.85546875" style="4" customWidth="1"/>
    <col min="1795" max="1795" width="20.140625" style="4" customWidth="1"/>
    <col min="1796" max="2048" width="9.28515625" style="4"/>
    <col min="2049" max="2049" width="10.7109375" style="4" customWidth="1"/>
    <col min="2050" max="2050" width="62.85546875" style="4" customWidth="1"/>
    <col min="2051" max="2051" width="20.140625" style="4" customWidth="1"/>
    <col min="2052" max="2304" width="9.28515625" style="4"/>
    <col min="2305" max="2305" width="10.7109375" style="4" customWidth="1"/>
    <col min="2306" max="2306" width="62.85546875" style="4" customWidth="1"/>
    <col min="2307" max="2307" width="20.140625" style="4" customWidth="1"/>
    <col min="2308" max="2560" width="9.28515625" style="4"/>
    <col min="2561" max="2561" width="10.7109375" style="4" customWidth="1"/>
    <col min="2562" max="2562" width="62.85546875" style="4" customWidth="1"/>
    <col min="2563" max="2563" width="20.140625" style="4" customWidth="1"/>
    <col min="2564" max="2816" width="9.28515625" style="4"/>
    <col min="2817" max="2817" width="10.7109375" style="4" customWidth="1"/>
    <col min="2818" max="2818" width="62.85546875" style="4" customWidth="1"/>
    <col min="2819" max="2819" width="20.140625" style="4" customWidth="1"/>
    <col min="2820" max="3072" width="9.28515625" style="4"/>
    <col min="3073" max="3073" width="10.7109375" style="4" customWidth="1"/>
    <col min="3074" max="3074" width="62.85546875" style="4" customWidth="1"/>
    <col min="3075" max="3075" width="20.140625" style="4" customWidth="1"/>
    <col min="3076" max="3328" width="9.28515625" style="4"/>
    <col min="3329" max="3329" width="10.7109375" style="4" customWidth="1"/>
    <col min="3330" max="3330" width="62.85546875" style="4" customWidth="1"/>
    <col min="3331" max="3331" width="20.140625" style="4" customWidth="1"/>
    <col min="3332" max="3584" width="9.28515625" style="4"/>
    <col min="3585" max="3585" width="10.7109375" style="4" customWidth="1"/>
    <col min="3586" max="3586" width="62.85546875" style="4" customWidth="1"/>
    <col min="3587" max="3587" width="20.140625" style="4" customWidth="1"/>
    <col min="3588" max="3840" width="9.28515625" style="4"/>
    <col min="3841" max="3841" width="10.7109375" style="4" customWidth="1"/>
    <col min="3842" max="3842" width="62.85546875" style="4" customWidth="1"/>
    <col min="3843" max="3843" width="20.140625" style="4" customWidth="1"/>
    <col min="3844" max="4096" width="9.28515625" style="4"/>
    <col min="4097" max="4097" width="10.7109375" style="4" customWidth="1"/>
    <col min="4098" max="4098" width="62.85546875" style="4" customWidth="1"/>
    <col min="4099" max="4099" width="20.140625" style="4" customWidth="1"/>
    <col min="4100" max="4352" width="9.28515625" style="4"/>
    <col min="4353" max="4353" width="10.7109375" style="4" customWidth="1"/>
    <col min="4354" max="4354" width="62.85546875" style="4" customWidth="1"/>
    <col min="4355" max="4355" width="20.140625" style="4" customWidth="1"/>
    <col min="4356" max="4608" width="9.28515625" style="4"/>
    <col min="4609" max="4609" width="10.7109375" style="4" customWidth="1"/>
    <col min="4610" max="4610" width="62.85546875" style="4" customWidth="1"/>
    <col min="4611" max="4611" width="20.140625" style="4" customWidth="1"/>
    <col min="4612" max="4864" width="9.28515625" style="4"/>
    <col min="4865" max="4865" width="10.7109375" style="4" customWidth="1"/>
    <col min="4866" max="4866" width="62.85546875" style="4" customWidth="1"/>
    <col min="4867" max="4867" width="20.140625" style="4" customWidth="1"/>
    <col min="4868" max="5120" width="9.28515625" style="4"/>
    <col min="5121" max="5121" width="10.7109375" style="4" customWidth="1"/>
    <col min="5122" max="5122" width="62.85546875" style="4" customWidth="1"/>
    <col min="5123" max="5123" width="20.140625" style="4" customWidth="1"/>
    <col min="5124" max="5376" width="9.28515625" style="4"/>
    <col min="5377" max="5377" width="10.7109375" style="4" customWidth="1"/>
    <col min="5378" max="5378" width="62.85546875" style="4" customWidth="1"/>
    <col min="5379" max="5379" width="20.140625" style="4" customWidth="1"/>
    <col min="5380" max="5632" width="9.28515625" style="4"/>
    <col min="5633" max="5633" width="10.7109375" style="4" customWidth="1"/>
    <col min="5634" max="5634" width="62.85546875" style="4" customWidth="1"/>
    <col min="5635" max="5635" width="20.140625" style="4" customWidth="1"/>
    <col min="5636" max="5888" width="9.28515625" style="4"/>
    <col min="5889" max="5889" width="10.7109375" style="4" customWidth="1"/>
    <col min="5890" max="5890" width="62.85546875" style="4" customWidth="1"/>
    <col min="5891" max="5891" width="20.140625" style="4" customWidth="1"/>
    <col min="5892" max="6144" width="9.28515625" style="4"/>
    <col min="6145" max="6145" width="10.7109375" style="4" customWidth="1"/>
    <col min="6146" max="6146" width="62.85546875" style="4" customWidth="1"/>
    <col min="6147" max="6147" width="20.140625" style="4" customWidth="1"/>
    <col min="6148" max="6400" width="9.28515625" style="4"/>
    <col min="6401" max="6401" width="10.7109375" style="4" customWidth="1"/>
    <col min="6402" max="6402" width="62.85546875" style="4" customWidth="1"/>
    <col min="6403" max="6403" width="20.140625" style="4" customWidth="1"/>
    <col min="6404" max="6656" width="9.28515625" style="4"/>
    <col min="6657" max="6657" width="10.7109375" style="4" customWidth="1"/>
    <col min="6658" max="6658" width="62.85546875" style="4" customWidth="1"/>
    <col min="6659" max="6659" width="20.140625" style="4" customWidth="1"/>
    <col min="6660" max="6912" width="9.28515625" style="4"/>
    <col min="6913" max="6913" width="10.7109375" style="4" customWidth="1"/>
    <col min="6914" max="6914" width="62.85546875" style="4" customWidth="1"/>
    <col min="6915" max="6915" width="20.140625" style="4" customWidth="1"/>
    <col min="6916" max="7168" width="9.28515625" style="4"/>
    <col min="7169" max="7169" width="10.7109375" style="4" customWidth="1"/>
    <col min="7170" max="7170" width="62.85546875" style="4" customWidth="1"/>
    <col min="7171" max="7171" width="20.140625" style="4" customWidth="1"/>
    <col min="7172" max="7424" width="9.28515625" style="4"/>
    <col min="7425" max="7425" width="10.7109375" style="4" customWidth="1"/>
    <col min="7426" max="7426" width="62.85546875" style="4" customWidth="1"/>
    <col min="7427" max="7427" width="20.140625" style="4" customWidth="1"/>
    <col min="7428" max="7680" width="9.28515625" style="4"/>
    <col min="7681" max="7681" width="10.7109375" style="4" customWidth="1"/>
    <col min="7682" max="7682" width="62.85546875" style="4" customWidth="1"/>
    <col min="7683" max="7683" width="20.140625" style="4" customWidth="1"/>
    <col min="7684" max="7936" width="9.28515625" style="4"/>
    <col min="7937" max="7937" width="10.7109375" style="4" customWidth="1"/>
    <col min="7938" max="7938" width="62.85546875" style="4" customWidth="1"/>
    <col min="7939" max="7939" width="20.140625" style="4" customWidth="1"/>
    <col min="7940" max="8192" width="9.28515625" style="4"/>
    <col min="8193" max="8193" width="10.7109375" style="4" customWidth="1"/>
    <col min="8194" max="8194" width="62.85546875" style="4" customWidth="1"/>
    <col min="8195" max="8195" width="20.140625" style="4" customWidth="1"/>
    <col min="8196" max="8448" width="9.28515625" style="4"/>
    <col min="8449" max="8449" width="10.7109375" style="4" customWidth="1"/>
    <col min="8450" max="8450" width="62.85546875" style="4" customWidth="1"/>
    <col min="8451" max="8451" width="20.140625" style="4" customWidth="1"/>
    <col min="8452" max="8704" width="9.28515625" style="4"/>
    <col min="8705" max="8705" width="10.7109375" style="4" customWidth="1"/>
    <col min="8706" max="8706" width="62.85546875" style="4" customWidth="1"/>
    <col min="8707" max="8707" width="20.140625" style="4" customWidth="1"/>
    <col min="8708" max="8960" width="9.28515625" style="4"/>
    <col min="8961" max="8961" width="10.7109375" style="4" customWidth="1"/>
    <col min="8962" max="8962" width="62.85546875" style="4" customWidth="1"/>
    <col min="8963" max="8963" width="20.140625" style="4" customWidth="1"/>
    <col min="8964" max="9216" width="9.28515625" style="4"/>
    <col min="9217" max="9217" width="10.7109375" style="4" customWidth="1"/>
    <col min="9218" max="9218" width="62.85546875" style="4" customWidth="1"/>
    <col min="9219" max="9219" width="20.140625" style="4" customWidth="1"/>
    <col min="9220" max="9472" width="9.28515625" style="4"/>
    <col min="9473" max="9473" width="10.7109375" style="4" customWidth="1"/>
    <col min="9474" max="9474" width="62.85546875" style="4" customWidth="1"/>
    <col min="9475" max="9475" width="20.140625" style="4" customWidth="1"/>
    <col min="9476" max="9728" width="9.28515625" style="4"/>
    <col min="9729" max="9729" width="10.7109375" style="4" customWidth="1"/>
    <col min="9730" max="9730" width="62.85546875" style="4" customWidth="1"/>
    <col min="9731" max="9731" width="20.140625" style="4" customWidth="1"/>
    <col min="9732" max="9984" width="9.28515625" style="4"/>
    <col min="9985" max="9985" width="10.7109375" style="4" customWidth="1"/>
    <col min="9986" max="9986" width="62.85546875" style="4" customWidth="1"/>
    <col min="9987" max="9987" width="20.140625" style="4" customWidth="1"/>
    <col min="9988" max="10240" width="9.28515625" style="4"/>
    <col min="10241" max="10241" width="10.7109375" style="4" customWidth="1"/>
    <col min="10242" max="10242" width="62.85546875" style="4" customWidth="1"/>
    <col min="10243" max="10243" width="20.140625" style="4" customWidth="1"/>
    <col min="10244" max="10496" width="9.28515625" style="4"/>
    <col min="10497" max="10497" width="10.7109375" style="4" customWidth="1"/>
    <col min="10498" max="10498" width="62.85546875" style="4" customWidth="1"/>
    <col min="10499" max="10499" width="20.140625" style="4" customWidth="1"/>
    <col min="10500" max="10752" width="9.28515625" style="4"/>
    <col min="10753" max="10753" width="10.7109375" style="4" customWidth="1"/>
    <col min="10754" max="10754" width="62.85546875" style="4" customWidth="1"/>
    <col min="10755" max="10755" width="20.140625" style="4" customWidth="1"/>
    <col min="10756" max="11008" width="9.28515625" style="4"/>
    <col min="11009" max="11009" width="10.7109375" style="4" customWidth="1"/>
    <col min="11010" max="11010" width="62.85546875" style="4" customWidth="1"/>
    <col min="11011" max="11011" width="20.140625" style="4" customWidth="1"/>
    <col min="11012" max="11264" width="9.28515625" style="4"/>
    <col min="11265" max="11265" width="10.7109375" style="4" customWidth="1"/>
    <col min="11266" max="11266" width="62.85546875" style="4" customWidth="1"/>
    <col min="11267" max="11267" width="20.140625" style="4" customWidth="1"/>
    <col min="11268" max="11520" width="9.28515625" style="4"/>
    <col min="11521" max="11521" width="10.7109375" style="4" customWidth="1"/>
    <col min="11522" max="11522" width="62.85546875" style="4" customWidth="1"/>
    <col min="11523" max="11523" width="20.140625" style="4" customWidth="1"/>
    <col min="11524" max="11776" width="9.28515625" style="4"/>
    <col min="11777" max="11777" width="10.7109375" style="4" customWidth="1"/>
    <col min="11778" max="11778" width="62.85546875" style="4" customWidth="1"/>
    <col min="11779" max="11779" width="20.140625" style="4" customWidth="1"/>
    <col min="11780" max="12032" width="9.28515625" style="4"/>
    <col min="12033" max="12033" width="10.7109375" style="4" customWidth="1"/>
    <col min="12034" max="12034" width="62.85546875" style="4" customWidth="1"/>
    <col min="12035" max="12035" width="20.140625" style="4" customWidth="1"/>
    <col min="12036" max="12288" width="9.28515625" style="4"/>
    <col min="12289" max="12289" width="10.7109375" style="4" customWidth="1"/>
    <col min="12290" max="12290" width="62.85546875" style="4" customWidth="1"/>
    <col min="12291" max="12291" width="20.140625" style="4" customWidth="1"/>
    <col min="12292" max="12544" width="9.28515625" style="4"/>
    <col min="12545" max="12545" width="10.7109375" style="4" customWidth="1"/>
    <col min="12546" max="12546" width="62.85546875" style="4" customWidth="1"/>
    <col min="12547" max="12547" width="20.140625" style="4" customWidth="1"/>
    <col min="12548" max="12800" width="9.28515625" style="4"/>
    <col min="12801" max="12801" width="10.7109375" style="4" customWidth="1"/>
    <col min="12802" max="12802" width="62.85546875" style="4" customWidth="1"/>
    <col min="12803" max="12803" width="20.140625" style="4" customWidth="1"/>
    <col min="12804" max="13056" width="9.28515625" style="4"/>
    <col min="13057" max="13057" width="10.7109375" style="4" customWidth="1"/>
    <col min="13058" max="13058" width="62.85546875" style="4" customWidth="1"/>
    <col min="13059" max="13059" width="20.140625" style="4" customWidth="1"/>
    <col min="13060" max="13312" width="9.28515625" style="4"/>
    <col min="13313" max="13313" width="10.7109375" style="4" customWidth="1"/>
    <col min="13314" max="13314" width="62.85546875" style="4" customWidth="1"/>
    <col min="13315" max="13315" width="20.140625" style="4" customWidth="1"/>
    <col min="13316" max="13568" width="9.28515625" style="4"/>
    <col min="13569" max="13569" width="10.7109375" style="4" customWidth="1"/>
    <col min="13570" max="13570" width="62.85546875" style="4" customWidth="1"/>
    <col min="13571" max="13571" width="20.140625" style="4" customWidth="1"/>
    <col min="13572" max="13824" width="9.28515625" style="4"/>
    <col min="13825" max="13825" width="10.7109375" style="4" customWidth="1"/>
    <col min="13826" max="13826" width="62.85546875" style="4" customWidth="1"/>
    <col min="13827" max="13827" width="20.140625" style="4" customWidth="1"/>
    <col min="13828" max="14080" width="9.28515625" style="4"/>
    <col min="14081" max="14081" width="10.7109375" style="4" customWidth="1"/>
    <col min="14082" max="14082" width="62.85546875" style="4" customWidth="1"/>
    <col min="14083" max="14083" width="20.140625" style="4" customWidth="1"/>
    <col min="14084" max="14336" width="9.28515625" style="4"/>
    <col min="14337" max="14337" width="10.7109375" style="4" customWidth="1"/>
    <col min="14338" max="14338" width="62.85546875" style="4" customWidth="1"/>
    <col min="14339" max="14339" width="20.140625" style="4" customWidth="1"/>
    <col min="14340" max="14592" width="9.28515625" style="4"/>
    <col min="14593" max="14593" width="10.7109375" style="4" customWidth="1"/>
    <col min="14594" max="14594" width="62.85546875" style="4" customWidth="1"/>
    <col min="14595" max="14595" width="20.140625" style="4" customWidth="1"/>
    <col min="14596" max="14848" width="9.28515625" style="4"/>
    <col min="14849" max="14849" width="10.7109375" style="4" customWidth="1"/>
    <col min="14850" max="14850" width="62.85546875" style="4" customWidth="1"/>
    <col min="14851" max="14851" width="20.140625" style="4" customWidth="1"/>
    <col min="14852" max="15104" width="9.28515625" style="4"/>
    <col min="15105" max="15105" width="10.7109375" style="4" customWidth="1"/>
    <col min="15106" max="15106" width="62.85546875" style="4" customWidth="1"/>
    <col min="15107" max="15107" width="20.140625" style="4" customWidth="1"/>
    <col min="15108" max="15360" width="9.28515625" style="4"/>
    <col min="15361" max="15361" width="10.7109375" style="4" customWidth="1"/>
    <col min="15362" max="15362" width="62.85546875" style="4" customWidth="1"/>
    <col min="15363" max="15363" width="20.140625" style="4" customWidth="1"/>
    <col min="15364" max="15616" width="9.28515625" style="4"/>
    <col min="15617" max="15617" width="10.7109375" style="4" customWidth="1"/>
    <col min="15618" max="15618" width="62.85546875" style="4" customWidth="1"/>
    <col min="15619" max="15619" width="20.140625" style="4" customWidth="1"/>
    <col min="15620" max="15872" width="9.28515625" style="4"/>
    <col min="15873" max="15873" width="10.7109375" style="4" customWidth="1"/>
    <col min="15874" max="15874" width="62.85546875" style="4" customWidth="1"/>
    <col min="15875" max="15875" width="20.140625" style="4" customWidth="1"/>
    <col min="15876" max="16128" width="9.28515625" style="4"/>
    <col min="16129" max="16129" width="10.7109375" style="4" customWidth="1"/>
    <col min="16130" max="16130" width="62.85546875" style="4" customWidth="1"/>
    <col min="16131" max="16131" width="20.140625" style="4" customWidth="1"/>
    <col min="16132" max="16384" width="9.28515625" style="4"/>
  </cols>
  <sheetData>
    <row r="1" spans="1:3" s="243" customFormat="1" ht="35.1" customHeight="1">
      <c r="A1" s="1001" t="s">
        <v>714</v>
      </c>
      <c r="B1" s="1002"/>
      <c r="C1" s="1002"/>
    </row>
    <row r="2" spans="1:3" s="243" customFormat="1" ht="15" customHeight="1">
      <c r="A2" s="142" t="s">
        <v>711</v>
      </c>
      <c r="B2" s="142" t="s">
        <v>715</v>
      </c>
      <c r="C2" s="142" t="s">
        <v>713</v>
      </c>
    </row>
    <row r="3" spans="1:3">
      <c r="A3" s="302">
        <v>900001</v>
      </c>
      <c r="B3" s="303" t="s">
        <v>290</v>
      </c>
      <c r="C3" s="699">
        <f>SUM(C4:C140000)</f>
        <v>0</v>
      </c>
    </row>
  </sheetData>
  <sheetProtection insertColumns="0" deleteRows="0" autoFilter="0"/>
  <mergeCells count="1">
    <mergeCell ref="A1:C1"/>
  </mergeCells>
  <dataValidations count="3">
    <dataValidation allowBlank="1" showInputMessage="1" showErrorMessage="1" prompt="De acuerdo al Catálogo de Bienes Inmuebles, publicado en el DOF del 15 de agosto de 2012."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03 IW65503 SS65503 ACO65503 AMK65503 AWG65503 BGC65503 BPY65503 BZU65503 CJQ65503 CTM65503 DDI65503 DNE65503 DXA65503 EGW65503 EQS65503 FAO65503 FKK65503 FUG65503 GEC65503 GNY65503 GXU65503 HHQ65503 HRM65503 IBI65503 ILE65503 IVA65503 JEW65503 JOS65503 JYO65503 KIK65503 KSG65503 LCC65503 LLY65503 LVU65503 MFQ65503 MPM65503 MZI65503 NJE65503 NTA65503 OCW65503 OMS65503 OWO65503 PGK65503 PQG65503 QAC65503 QJY65503 QTU65503 RDQ65503 RNM65503 RXI65503 SHE65503 SRA65503 TAW65503 TKS65503 TUO65503 UEK65503 UOG65503 UYC65503 VHY65503 VRU65503 WBQ65503 WLM65503 WVI65503 A131039 IW131039 SS131039 ACO131039 AMK131039 AWG131039 BGC131039 BPY131039 BZU131039 CJQ131039 CTM131039 DDI131039 DNE131039 DXA131039 EGW131039 EQS131039 FAO131039 FKK131039 FUG131039 GEC131039 GNY131039 GXU131039 HHQ131039 HRM131039 IBI131039 ILE131039 IVA131039 JEW131039 JOS131039 JYO131039 KIK131039 KSG131039 LCC131039 LLY131039 LVU131039 MFQ131039 MPM131039 MZI131039 NJE131039 NTA131039 OCW131039 OMS131039 OWO131039 PGK131039 PQG131039 QAC131039 QJY131039 QTU131039 RDQ131039 RNM131039 RXI131039 SHE131039 SRA131039 TAW131039 TKS131039 TUO131039 UEK131039 UOG131039 UYC131039 VHY131039 VRU131039 WBQ131039 WLM131039 WVI131039 A196575 IW196575 SS196575 ACO196575 AMK196575 AWG196575 BGC196575 BPY196575 BZU196575 CJQ196575 CTM196575 DDI196575 DNE196575 DXA196575 EGW196575 EQS196575 FAO196575 FKK196575 FUG196575 GEC196575 GNY196575 GXU196575 HHQ196575 HRM196575 IBI196575 ILE196575 IVA196575 JEW196575 JOS196575 JYO196575 KIK196575 KSG196575 LCC196575 LLY196575 LVU196575 MFQ196575 MPM196575 MZI196575 NJE196575 NTA196575 OCW196575 OMS196575 OWO196575 PGK196575 PQG196575 QAC196575 QJY196575 QTU196575 RDQ196575 RNM196575 RXI196575 SHE196575 SRA196575 TAW196575 TKS196575 TUO196575 UEK196575 UOG196575 UYC196575 VHY196575 VRU196575 WBQ196575 WLM196575 WVI196575 A262111 IW262111 SS262111 ACO262111 AMK262111 AWG262111 BGC262111 BPY262111 BZU262111 CJQ262111 CTM262111 DDI262111 DNE262111 DXA262111 EGW262111 EQS262111 FAO262111 FKK262111 FUG262111 GEC262111 GNY262111 GXU262111 HHQ262111 HRM262111 IBI262111 ILE262111 IVA262111 JEW262111 JOS262111 JYO262111 KIK262111 KSG262111 LCC262111 LLY262111 LVU262111 MFQ262111 MPM262111 MZI262111 NJE262111 NTA262111 OCW262111 OMS262111 OWO262111 PGK262111 PQG262111 QAC262111 QJY262111 QTU262111 RDQ262111 RNM262111 RXI262111 SHE262111 SRA262111 TAW262111 TKS262111 TUO262111 UEK262111 UOG262111 UYC262111 VHY262111 VRU262111 WBQ262111 WLM262111 WVI262111 A327647 IW327647 SS327647 ACO327647 AMK327647 AWG327647 BGC327647 BPY327647 BZU327647 CJQ327647 CTM327647 DDI327647 DNE327647 DXA327647 EGW327647 EQS327647 FAO327647 FKK327647 FUG327647 GEC327647 GNY327647 GXU327647 HHQ327647 HRM327647 IBI327647 ILE327647 IVA327647 JEW327647 JOS327647 JYO327647 KIK327647 KSG327647 LCC327647 LLY327647 LVU327647 MFQ327647 MPM327647 MZI327647 NJE327647 NTA327647 OCW327647 OMS327647 OWO327647 PGK327647 PQG327647 QAC327647 QJY327647 QTU327647 RDQ327647 RNM327647 RXI327647 SHE327647 SRA327647 TAW327647 TKS327647 TUO327647 UEK327647 UOG327647 UYC327647 VHY327647 VRU327647 WBQ327647 WLM327647 WVI327647 A393183 IW393183 SS393183 ACO393183 AMK393183 AWG393183 BGC393183 BPY393183 BZU393183 CJQ393183 CTM393183 DDI393183 DNE393183 DXA393183 EGW393183 EQS393183 FAO393183 FKK393183 FUG393183 GEC393183 GNY393183 GXU393183 HHQ393183 HRM393183 IBI393183 ILE393183 IVA393183 JEW393183 JOS393183 JYO393183 KIK393183 KSG393183 LCC393183 LLY393183 LVU393183 MFQ393183 MPM393183 MZI393183 NJE393183 NTA393183 OCW393183 OMS393183 OWO393183 PGK393183 PQG393183 QAC393183 QJY393183 QTU393183 RDQ393183 RNM393183 RXI393183 SHE393183 SRA393183 TAW393183 TKS393183 TUO393183 UEK393183 UOG393183 UYC393183 VHY393183 VRU393183 WBQ393183 WLM393183 WVI393183 A458719 IW458719 SS458719 ACO458719 AMK458719 AWG458719 BGC458719 BPY458719 BZU458719 CJQ458719 CTM458719 DDI458719 DNE458719 DXA458719 EGW458719 EQS458719 FAO458719 FKK458719 FUG458719 GEC458719 GNY458719 GXU458719 HHQ458719 HRM458719 IBI458719 ILE458719 IVA458719 JEW458719 JOS458719 JYO458719 KIK458719 KSG458719 LCC458719 LLY458719 LVU458719 MFQ458719 MPM458719 MZI458719 NJE458719 NTA458719 OCW458719 OMS458719 OWO458719 PGK458719 PQG458719 QAC458719 QJY458719 QTU458719 RDQ458719 RNM458719 RXI458719 SHE458719 SRA458719 TAW458719 TKS458719 TUO458719 UEK458719 UOG458719 UYC458719 VHY458719 VRU458719 WBQ458719 WLM458719 WVI458719 A524255 IW524255 SS524255 ACO524255 AMK524255 AWG524255 BGC524255 BPY524255 BZU524255 CJQ524255 CTM524255 DDI524255 DNE524255 DXA524255 EGW524255 EQS524255 FAO524255 FKK524255 FUG524255 GEC524255 GNY524255 GXU524255 HHQ524255 HRM524255 IBI524255 ILE524255 IVA524255 JEW524255 JOS524255 JYO524255 KIK524255 KSG524255 LCC524255 LLY524255 LVU524255 MFQ524255 MPM524255 MZI524255 NJE524255 NTA524255 OCW524255 OMS524255 OWO524255 PGK524255 PQG524255 QAC524255 QJY524255 QTU524255 RDQ524255 RNM524255 RXI524255 SHE524255 SRA524255 TAW524255 TKS524255 TUO524255 UEK524255 UOG524255 UYC524255 VHY524255 VRU524255 WBQ524255 WLM524255 WVI524255 A589791 IW589791 SS589791 ACO589791 AMK589791 AWG589791 BGC589791 BPY589791 BZU589791 CJQ589791 CTM589791 DDI589791 DNE589791 DXA589791 EGW589791 EQS589791 FAO589791 FKK589791 FUG589791 GEC589791 GNY589791 GXU589791 HHQ589791 HRM589791 IBI589791 ILE589791 IVA589791 JEW589791 JOS589791 JYO589791 KIK589791 KSG589791 LCC589791 LLY589791 LVU589791 MFQ589791 MPM589791 MZI589791 NJE589791 NTA589791 OCW589791 OMS589791 OWO589791 PGK589791 PQG589791 QAC589791 QJY589791 QTU589791 RDQ589791 RNM589791 RXI589791 SHE589791 SRA589791 TAW589791 TKS589791 TUO589791 UEK589791 UOG589791 UYC589791 VHY589791 VRU589791 WBQ589791 WLM589791 WVI589791 A655327 IW655327 SS655327 ACO655327 AMK655327 AWG655327 BGC655327 BPY655327 BZU655327 CJQ655327 CTM655327 DDI655327 DNE655327 DXA655327 EGW655327 EQS655327 FAO655327 FKK655327 FUG655327 GEC655327 GNY655327 GXU655327 HHQ655327 HRM655327 IBI655327 ILE655327 IVA655327 JEW655327 JOS655327 JYO655327 KIK655327 KSG655327 LCC655327 LLY655327 LVU655327 MFQ655327 MPM655327 MZI655327 NJE655327 NTA655327 OCW655327 OMS655327 OWO655327 PGK655327 PQG655327 QAC655327 QJY655327 QTU655327 RDQ655327 RNM655327 RXI655327 SHE655327 SRA655327 TAW655327 TKS655327 TUO655327 UEK655327 UOG655327 UYC655327 VHY655327 VRU655327 WBQ655327 WLM655327 WVI655327 A720863 IW720863 SS720863 ACO720863 AMK720863 AWG720863 BGC720863 BPY720863 BZU720863 CJQ720863 CTM720863 DDI720863 DNE720863 DXA720863 EGW720863 EQS720863 FAO720863 FKK720863 FUG720863 GEC720863 GNY720863 GXU720863 HHQ720863 HRM720863 IBI720863 ILE720863 IVA720863 JEW720863 JOS720863 JYO720863 KIK720863 KSG720863 LCC720863 LLY720863 LVU720863 MFQ720863 MPM720863 MZI720863 NJE720863 NTA720863 OCW720863 OMS720863 OWO720863 PGK720863 PQG720863 QAC720863 QJY720863 QTU720863 RDQ720863 RNM720863 RXI720863 SHE720863 SRA720863 TAW720863 TKS720863 TUO720863 UEK720863 UOG720863 UYC720863 VHY720863 VRU720863 WBQ720863 WLM720863 WVI720863 A786399 IW786399 SS786399 ACO786399 AMK786399 AWG786399 BGC786399 BPY786399 BZU786399 CJQ786399 CTM786399 DDI786399 DNE786399 DXA786399 EGW786399 EQS786399 FAO786399 FKK786399 FUG786399 GEC786399 GNY786399 GXU786399 HHQ786399 HRM786399 IBI786399 ILE786399 IVA786399 JEW786399 JOS786399 JYO786399 KIK786399 KSG786399 LCC786399 LLY786399 LVU786399 MFQ786399 MPM786399 MZI786399 NJE786399 NTA786399 OCW786399 OMS786399 OWO786399 PGK786399 PQG786399 QAC786399 QJY786399 QTU786399 RDQ786399 RNM786399 RXI786399 SHE786399 SRA786399 TAW786399 TKS786399 TUO786399 UEK786399 UOG786399 UYC786399 VHY786399 VRU786399 WBQ786399 WLM786399 WVI786399 A851935 IW851935 SS851935 ACO851935 AMK851935 AWG851935 BGC851935 BPY851935 BZU851935 CJQ851935 CTM851935 DDI851935 DNE851935 DXA851935 EGW851935 EQS851935 FAO851935 FKK851935 FUG851935 GEC851935 GNY851935 GXU851935 HHQ851935 HRM851935 IBI851935 ILE851935 IVA851935 JEW851935 JOS851935 JYO851935 KIK851935 KSG851935 LCC851935 LLY851935 LVU851935 MFQ851935 MPM851935 MZI851935 NJE851935 NTA851935 OCW851935 OMS851935 OWO851935 PGK851935 PQG851935 QAC851935 QJY851935 QTU851935 RDQ851935 RNM851935 RXI851935 SHE851935 SRA851935 TAW851935 TKS851935 TUO851935 UEK851935 UOG851935 UYC851935 VHY851935 VRU851935 WBQ851935 WLM851935 WVI851935 A917471 IW917471 SS917471 ACO917471 AMK917471 AWG917471 BGC917471 BPY917471 BZU917471 CJQ917471 CTM917471 DDI917471 DNE917471 DXA917471 EGW917471 EQS917471 FAO917471 FKK917471 FUG917471 GEC917471 GNY917471 GXU917471 HHQ917471 HRM917471 IBI917471 ILE917471 IVA917471 JEW917471 JOS917471 JYO917471 KIK917471 KSG917471 LCC917471 LLY917471 LVU917471 MFQ917471 MPM917471 MZI917471 NJE917471 NTA917471 OCW917471 OMS917471 OWO917471 PGK917471 PQG917471 QAC917471 QJY917471 QTU917471 RDQ917471 RNM917471 RXI917471 SHE917471 SRA917471 TAW917471 TKS917471 TUO917471 UEK917471 UOG917471 UYC917471 VHY917471 VRU917471 WBQ917471 WLM917471 WVI917471 A983007 IW983007 SS983007 ACO983007 AMK983007 AWG983007 BGC983007 BPY983007 BZU983007 CJQ983007 CTM983007 DDI983007 DNE983007 DXA983007 EGW983007 EQS983007 FAO983007 FKK983007 FUG983007 GEC983007 GNY983007 GXU983007 HHQ983007 HRM983007 IBI983007 ILE983007 IVA983007 JEW983007 JOS983007 JYO983007 KIK983007 KSG983007 LCC983007 LLY983007 LVU983007 MFQ983007 MPM983007 MZI983007 NJE983007 NTA983007 OCW983007 OMS983007 OWO983007 PGK983007 PQG983007 QAC983007 QJY983007 QTU983007 RDQ983007 RNM983007 RXI983007 SHE983007 SRA983007 TAW983007 TKS983007 TUO983007 UEK983007 UOG983007 UYC983007 VHY983007 VRU983007 WBQ983007 WLM983007 WVI983007"/>
    <dataValidation allowBlank="1" showInputMessage="1" showErrorMessage="1" prompt="Descripción general del bie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03 IX65503 ST65503 ACP65503 AML65503 AWH65503 BGD65503 BPZ65503 BZV65503 CJR65503 CTN65503 DDJ65503 DNF65503 DXB65503 EGX65503 EQT65503 FAP65503 FKL65503 FUH65503 GED65503 GNZ65503 GXV65503 HHR65503 HRN65503 IBJ65503 ILF65503 IVB65503 JEX65503 JOT65503 JYP65503 KIL65503 KSH65503 LCD65503 LLZ65503 LVV65503 MFR65503 MPN65503 MZJ65503 NJF65503 NTB65503 OCX65503 OMT65503 OWP65503 PGL65503 PQH65503 QAD65503 QJZ65503 QTV65503 RDR65503 RNN65503 RXJ65503 SHF65503 SRB65503 TAX65503 TKT65503 TUP65503 UEL65503 UOH65503 UYD65503 VHZ65503 VRV65503 WBR65503 WLN65503 WVJ65503 B131039 IX131039 ST131039 ACP131039 AML131039 AWH131039 BGD131039 BPZ131039 BZV131039 CJR131039 CTN131039 DDJ131039 DNF131039 DXB131039 EGX131039 EQT131039 FAP131039 FKL131039 FUH131039 GED131039 GNZ131039 GXV131039 HHR131039 HRN131039 IBJ131039 ILF131039 IVB131039 JEX131039 JOT131039 JYP131039 KIL131039 KSH131039 LCD131039 LLZ131039 LVV131039 MFR131039 MPN131039 MZJ131039 NJF131039 NTB131039 OCX131039 OMT131039 OWP131039 PGL131039 PQH131039 QAD131039 QJZ131039 QTV131039 RDR131039 RNN131039 RXJ131039 SHF131039 SRB131039 TAX131039 TKT131039 TUP131039 UEL131039 UOH131039 UYD131039 VHZ131039 VRV131039 WBR131039 WLN131039 WVJ131039 B196575 IX196575 ST196575 ACP196575 AML196575 AWH196575 BGD196575 BPZ196575 BZV196575 CJR196575 CTN196575 DDJ196575 DNF196575 DXB196575 EGX196575 EQT196575 FAP196575 FKL196575 FUH196575 GED196575 GNZ196575 GXV196575 HHR196575 HRN196575 IBJ196575 ILF196575 IVB196575 JEX196575 JOT196575 JYP196575 KIL196575 KSH196575 LCD196575 LLZ196575 LVV196575 MFR196575 MPN196575 MZJ196575 NJF196575 NTB196575 OCX196575 OMT196575 OWP196575 PGL196575 PQH196575 QAD196575 QJZ196575 QTV196575 RDR196575 RNN196575 RXJ196575 SHF196575 SRB196575 TAX196575 TKT196575 TUP196575 UEL196575 UOH196575 UYD196575 VHZ196575 VRV196575 WBR196575 WLN196575 WVJ196575 B262111 IX262111 ST262111 ACP262111 AML262111 AWH262111 BGD262111 BPZ262111 BZV262111 CJR262111 CTN262111 DDJ262111 DNF262111 DXB262111 EGX262111 EQT262111 FAP262111 FKL262111 FUH262111 GED262111 GNZ262111 GXV262111 HHR262111 HRN262111 IBJ262111 ILF262111 IVB262111 JEX262111 JOT262111 JYP262111 KIL262111 KSH262111 LCD262111 LLZ262111 LVV262111 MFR262111 MPN262111 MZJ262111 NJF262111 NTB262111 OCX262111 OMT262111 OWP262111 PGL262111 PQH262111 QAD262111 QJZ262111 QTV262111 RDR262111 RNN262111 RXJ262111 SHF262111 SRB262111 TAX262111 TKT262111 TUP262111 UEL262111 UOH262111 UYD262111 VHZ262111 VRV262111 WBR262111 WLN262111 WVJ262111 B327647 IX327647 ST327647 ACP327647 AML327647 AWH327647 BGD327647 BPZ327647 BZV327647 CJR327647 CTN327647 DDJ327647 DNF327647 DXB327647 EGX327647 EQT327647 FAP327647 FKL327647 FUH327647 GED327647 GNZ327647 GXV327647 HHR327647 HRN327647 IBJ327647 ILF327647 IVB327647 JEX327647 JOT327647 JYP327647 KIL327647 KSH327647 LCD327647 LLZ327647 LVV327647 MFR327647 MPN327647 MZJ327647 NJF327647 NTB327647 OCX327647 OMT327647 OWP327647 PGL327647 PQH327647 QAD327647 QJZ327647 QTV327647 RDR327647 RNN327647 RXJ327647 SHF327647 SRB327647 TAX327647 TKT327647 TUP327647 UEL327647 UOH327647 UYD327647 VHZ327647 VRV327647 WBR327647 WLN327647 WVJ327647 B393183 IX393183 ST393183 ACP393183 AML393183 AWH393183 BGD393183 BPZ393183 BZV393183 CJR393183 CTN393183 DDJ393183 DNF393183 DXB393183 EGX393183 EQT393183 FAP393183 FKL393183 FUH393183 GED393183 GNZ393183 GXV393183 HHR393183 HRN393183 IBJ393183 ILF393183 IVB393183 JEX393183 JOT393183 JYP393183 KIL393183 KSH393183 LCD393183 LLZ393183 LVV393183 MFR393183 MPN393183 MZJ393183 NJF393183 NTB393183 OCX393183 OMT393183 OWP393183 PGL393183 PQH393183 QAD393183 QJZ393183 QTV393183 RDR393183 RNN393183 RXJ393183 SHF393183 SRB393183 TAX393183 TKT393183 TUP393183 UEL393183 UOH393183 UYD393183 VHZ393183 VRV393183 WBR393183 WLN393183 WVJ393183 B458719 IX458719 ST458719 ACP458719 AML458719 AWH458719 BGD458719 BPZ458719 BZV458719 CJR458719 CTN458719 DDJ458719 DNF458719 DXB458719 EGX458719 EQT458719 FAP458719 FKL458719 FUH458719 GED458719 GNZ458719 GXV458719 HHR458719 HRN458719 IBJ458719 ILF458719 IVB458719 JEX458719 JOT458719 JYP458719 KIL458719 KSH458719 LCD458719 LLZ458719 LVV458719 MFR458719 MPN458719 MZJ458719 NJF458719 NTB458719 OCX458719 OMT458719 OWP458719 PGL458719 PQH458719 QAD458719 QJZ458719 QTV458719 RDR458719 RNN458719 RXJ458719 SHF458719 SRB458719 TAX458719 TKT458719 TUP458719 UEL458719 UOH458719 UYD458719 VHZ458719 VRV458719 WBR458719 WLN458719 WVJ458719 B524255 IX524255 ST524255 ACP524255 AML524255 AWH524255 BGD524255 BPZ524255 BZV524255 CJR524255 CTN524255 DDJ524255 DNF524255 DXB524255 EGX524255 EQT524255 FAP524255 FKL524255 FUH524255 GED524255 GNZ524255 GXV524255 HHR524255 HRN524255 IBJ524255 ILF524255 IVB524255 JEX524255 JOT524255 JYP524255 KIL524255 KSH524255 LCD524255 LLZ524255 LVV524255 MFR524255 MPN524255 MZJ524255 NJF524255 NTB524255 OCX524255 OMT524255 OWP524255 PGL524255 PQH524255 QAD524255 QJZ524255 QTV524255 RDR524255 RNN524255 RXJ524255 SHF524255 SRB524255 TAX524255 TKT524255 TUP524255 UEL524255 UOH524255 UYD524255 VHZ524255 VRV524255 WBR524255 WLN524255 WVJ524255 B589791 IX589791 ST589791 ACP589791 AML589791 AWH589791 BGD589791 BPZ589791 BZV589791 CJR589791 CTN589791 DDJ589791 DNF589791 DXB589791 EGX589791 EQT589791 FAP589791 FKL589791 FUH589791 GED589791 GNZ589791 GXV589791 HHR589791 HRN589791 IBJ589791 ILF589791 IVB589791 JEX589791 JOT589791 JYP589791 KIL589791 KSH589791 LCD589791 LLZ589791 LVV589791 MFR589791 MPN589791 MZJ589791 NJF589791 NTB589791 OCX589791 OMT589791 OWP589791 PGL589791 PQH589791 QAD589791 QJZ589791 QTV589791 RDR589791 RNN589791 RXJ589791 SHF589791 SRB589791 TAX589791 TKT589791 TUP589791 UEL589791 UOH589791 UYD589791 VHZ589791 VRV589791 WBR589791 WLN589791 WVJ589791 B655327 IX655327 ST655327 ACP655327 AML655327 AWH655327 BGD655327 BPZ655327 BZV655327 CJR655327 CTN655327 DDJ655327 DNF655327 DXB655327 EGX655327 EQT655327 FAP655327 FKL655327 FUH655327 GED655327 GNZ655327 GXV655327 HHR655327 HRN655327 IBJ655327 ILF655327 IVB655327 JEX655327 JOT655327 JYP655327 KIL655327 KSH655327 LCD655327 LLZ655327 LVV655327 MFR655327 MPN655327 MZJ655327 NJF655327 NTB655327 OCX655327 OMT655327 OWP655327 PGL655327 PQH655327 QAD655327 QJZ655327 QTV655327 RDR655327 RNN655327 RXJ655327 SHF655327 SRB655327 TAX655327 TKT655327 TUP655327 UEL655327 UOH655327 UYD655327 VHZ655327 VRV655327 WBR655327 WLN655327 WVJ655327 B720863 IX720863 ST720863 ACP720863 AML720863 AWH720863 BGD720863 BPZ720863 BZV720863 CJR720863 CTN720863 DDJ720863 DNF720863 DXB720863 EGX720863 EQT720863 FAP720863 FKL720863 FUH720863 GED720863 GNZ720863 GXV720863 HHR720863 HRN720863 IBJ720863 ILF720863 IVB720863 JEX720863 JOT720863 JYP720863 KIL720863 KSH720863 LCD720863 LLZ720863 LVV720863 MFR720863 MPN720863 MZJ720863 NJF720863 NTB720863 OCX720863 OMT720863 OWP720863 PGL720863 PQH720863 QAD720863 QJZ720863 QTV720863 RDR720863 RNN720863 RXJ720863 SHF720863 SRB720863 TAX720863 TKT720863 TUP720863 UEL720863 UOH720863 UYD720863 VHZ720863 VRV720863 WBR720863 WLN720863 WVJ720863 B786399 IX786399 ST786399 ACP786399 AML786399 AWH786399 BGD786399 BPZ786399 BZV786399 CJR786399 CTN786399 DDJ786399 DNF786399 DXB786399 EGX786399 EQT786399 FAP786399 FKL786399 FUH786399 GED786399 GNZ786399 GXV786399 HHR786399 HRN786399 IBJ786399 ILF786399 IVB786399 JEX786399 JOT786399 JYP786399 KIL786399 KSH786399 LCD786399 LLZ786399 LVV786399 MFR786399 MPN786399 MZJ786399 NJF786399 NTB786399 OCX786399 OMT786399 OWP786399 PGL786399 PQH786399 QAD786399 QJZ786399 QTV786399 RDR786399 RNN786399 RXJ786399 SHF786399 SRB786399 TAX786399 TKT786399 TUP786399 UEL786399 UOH786399 UYD786399 VHZ786399 VRV786399 WBR786399 WLN786399 WVJ786399 B851935 IX851935 ST851935 ACP851935 AML851935 AWH851935 BGD851935 BPZ851935 BZV851935 CJR851935 CTN851935 DDJ851935 DNF851935 DXB851935 EGX851935 EQT851935 FAP851935 FKL851935 FUH851935 GED851935 GNZ851935 GXV851935 HHR851935 HRN851935 IBJ851935 ILF851935 IVB851935 JEX851935 JOT851935 JYP851935 KIL851935 KSH851935 LCD851935 LLZ851935 LVV851935 MFR851935 MPN851935 MZJ851935 NJF851935 NTB851935 OCX851935 OMT851935 OWP851935 PGL851935 PQH851935 QAD851935 QJZ851935 QTV851935 RDR851935 RNN851935 RXJ851935 SHF851935 SRB851935 TAX851935 TKT851935 TUP851935 UEL851935 UOH851935 UYD851935 VHZ851935 VRV851935 WBR851935 WLN851935 WVJ851935 B917471 IX917471 ST917471 ACP917471 AML917471 AWH917471 BGD917471 BPZ917471 BZV917471 CJR917471 CTN917471 DDJ917471 DNF917471 DXB917471 EGX917471 EQT917471 FAP917471 FKL917471 FUH917471 GED917471 GNZ917471 GXV917471 HHR917471 HRN917471 IBJ917471 ILF917471 IVB917471 JEX917471 JOT917471 JYP917471 KIL917471 KSH917471 LCD917471 LLZ917471 LVV917471 MFR917471 MPN917471 MZJ917471 NJF917471 NTB917471 OCX917471 OMT917471 OWP917471 PGL917471 PQH917471 QAD917471 QJZ917471 QTV917471 RDR917471 RNN917471 RXJ917471 SHF917471 SRB917471 TAX917471 TKT917471 TUP917471 UEL917471 UOH917471 UYD917471 VHZ917471 VRV917471 WBR917471 WLN917471 WVJ917471 B983007 IX983007 ST983007 ACP983007 AML983007 AWH983007 BGD983007 BPZ983007 BZV983007 CJR983007 CTN983007 DDJ983007 DNF983007 DXB983007 EGX983007 EQT983007 FAP983007 FKL983007 FUH983007 GED983007 GNZ983007 GXV983007 HHR983007 HRN983007 IBJ983007 ILF983007 IVB983007 JEX983007 JOT983007 JYP983007 KIL983007 KSH983007 LCD983007 LLZ983007 LVV983007 MFR983007 MPN983007 MZJ983007 NJF983007 NTB983007 OCX983007 OMT983007 OWP983007 PGL983007 PQH983007 QAD983007 QJZ983007 QTV983007 RDR983007 RNN983007 RXJ983007 SHF983007 SRB983007 TAX983007 TKT983007 TUP983007 UEL983007 UOH983007 UYD983007 VHZ983007 VRV983007 WBR983007 WLN983007 WVJ983007"/>
    <dataValidation allowBlank="1" showInputMessage="1" showErrorMessage="1" prompt="Importe registrado en la contabilidad."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03 IY65503 SU65503 ACQ65503 AMM65503 AWI65503 BGE65503 BQA65503 BZW65503 CJS65503 CTO65503 DDK65503 DNG65503 DXC65503 EGY65503 EQU65503 FAQ65503 FKM65503 FUI65503 GEE65503 GOA65503 GXW65503 HHS65503 HRO65503 IBK65503 ILG65503 IVC65503 JEY65503 JOU65503 JYQ65503 KIM65503 KSI65503 LCE65503 LMA65503 LVW65503 MFS65503 MPO65503 MZK65503 NJG65503 NTC65503 OCY65503 OMU65503 OWQ65503 PGM65503 PQI65503 QAE65503 QKA65503 QTW65503 RDS65503 RNO65503 RXK65503 SHG65503 SRC65503 TAY65503 TKU65503 TUQ65503 UEM65503 UOI65503 UYE65503 VIA65503 VRW65503 WBS65503 WLO65503 WVK65503 C131039 IY131039 SU131039 ACQ131039 AMM131039 AWI131039 BGE131039 BQA131039 BZW131039 CJS131039 CTO131039 DDK131039 DNG131039 DXC131039 EGY131039 EQU131039 FAQ131039 FKM131039 FUI131039 GEE131039 GOA131039 GXW131039 HHS131039 HRO131039 IBK131039 ILG131039 IVC131039 JEY131039 JOU131039 JYQ131039 KIM131039 KSI131039 LCE131039 LMA131039 LVW131039 MFS131039 MPO131039 MZK131039 NJG131039 NTC131039 OCY131039 OMU131039 OWQ131039 PGM131039 PQI131039 QAE131039 QKA131039 QTW131039 RDS131039 RNO131039 RXK131039 SHG131039 SRC131039 TAY131039 TKU131039 TUQ131039 UEM131039 UOI131039 UYE131039 VIA131039 VRW131039 WBS131039 WLO131039 WVK131039 C196575 IY196575 SU196575 ACQ196575 AMM196575 AWI196575 BGE196575 BQA196575 BZW196575 CJS196575 CTO196575 DDK196575 DNG196575 DXC196575 EGY196575 EQU196575 FAQ196575 FKM196575 FUI196575 GEE196575 GOA196575 GXW196575 HHS196575 HRO196575 IBK196575 ILG196575 IVC196575 JEY196575 JOU196575 JYQ196575 KIM196575 KSI196575 LCE196575 LMA196575 LVW196575 MFS196575 MPO196575 MZK196575 NJG196575 NTC196575 OCY196575 OMU196575 OWQ196575 PGM196575 PQI196575 QAE196575 QKA196575 QTW196575 RDS196575 RNO196575 RXK196575 SHG196575 SRC196575 TAY196575 TKU196575 TUQ196575 UEM196575 UOI196575 UYE196575 VIA196575 VRW196575 WBS196575 WLO196575 WVK196575 C262111 IY262111 SU262111 ACQ262111 AMM262111 AWI262111 BGE262111 BQA262111 BZW262111 CJS262111 CTO262111 DDK262111 DNG262111 DXC262111 EGY262111 EQU262111 FAQ262111 FKM262111 FUI262111 GEE262111 GOA262111 GXW262111 HHS262111 HRO262111 IBK262111 ILG262111 IVC262111 JEY262111 JOU262111 JYQ262111 KIM262111 KSI262111 LCE262111 LMA262111 LVW262111 MFS262111 MPO262111 MZK262111 NJG262111 NTC262111 OCY262111 OMU262111 OWQ262111 PGM262111 PQI262111 QAE262111 QKA262111 QTW262111 RDS262111 RNO262111 RXK262111 SHG262111 SRC262111 TAY262111 TKU262111 TUQ262111 UEM262111 UOI262111 UYE262111 VIA262111 VRW262111 WBS262111 WLO262111 WVK262111 C327647 IY327647 SU327647 ACQ327647 AMM327647 AWI327647 BGE327647 BQA327647 BZW327647 CJS327647 CTO327647 DDK327647 DNG327647 DXC327647 EGY327647 EQU327647 FAQ327647 FKM327647 FUI327647 GEE327647 GOA327647 GXW327647 HHS327647 HRO327647 IBK327647 ILG327647 IVC327647 JEY327647 JOU327647 JYQ327647 KIM327647 KSI327647 LCE327647 LMA327647 LVW327647 MFS327647 MPO327647 MZK327647 NJG327647 NTC327647 OCY327647 OMU327647 OWQ327647 PGM327647 PQI327647 QAE327647 QKA327647 QTW327647 RDS327647 RNO327647 RXK327647 SHG327647 SRC327647 TAY327647 TKU327647 TUQ327647 UEM327647 UOI327647 UYE327647 VIA327647 VRW327647 WBS327647 WLO327647 WVK327647 C393183 IY393183 SU393183 ACQ393183 AMM393183 AWI393183 BGE393183 BQA393183 BZW393183 CJS393183 CTO393183 DDK393183 DNG393183 DXC393183 EGY393183 EQU393183 FAQ393183 FKM393183 FUI393183 GEE393183 GOA393183 GXW393183 HHS393183 HRO393183 IBK393183 ILG393183 IVC393183 JEY393183 JOU393183 JYQ393183 KIM393183 KSI393183 LCE393183 LMA393183 LVW393183 MFS393183 MPO393183 MZK393183 NJG393183 NTC393183 OCY393183 OMU393183 OWQ393183 PGM393183 PQI393183 QAE393183 QKA393183 QTW393183 RDS393183 RNO393183 RXK393183 SHG393183 SRC393183 TAY393183 TKU393183 TUQ393183 UEM393183 UOI393183 UYE393183 VIA393183 VRW393183 WBS393183 WLO393183 WVK393183 C458719 IY458719 SU458719 ACQ458719 AMM458719 AWI458719 BGE458719 BQA458719 BZW458719 CJS458719 CTO458719 DDK458719 DNG458719 DXC458719 EGY458719 EQU458719 FAQ458719 FKM458719 FUI458719 GEE458719 GOA458719 GXW458719 HHS458719 HRO458719 IBK458719 ILG458719 IVC458719 JEY458719 JOU458719 JYQ458719 KIM458719 KSI458719 LCE458719 LMA458719 LVW458719 MFS458719 MPO458719 MZK458719 NJG458719 NTC458719 OCY458719 OMU458719 OWQ458719 PGM458719 PQI458719 QAE458719 QKA458719 QTW458719 RDS458719 RNO458719 RXK458719 SHG458719 SRC458719 TAY458719 TKU458719 TUQ458719 UEM458719 UOI458719 UYE458719 VIA458719 VRW458719 WBS458719 WLO458719 WVK458719 C524255 IY524255 SU524255 ACQ524255 AMM524255 AWI524255 BGE524255 BQA524255 BZW524255 CJS524255 CTO524255 DDK524255 DNG524255 DXC524255 EGY524255 EQU524255 FAQ524255 FKM524255 FUI524255 GEE524255 GOA524255 GXW524255 HHS524255 HRO524255 IBK524255 ILG524255 IVC524255 JEY524255 JOU524255 JYQ524255 KIM524255 KSI524255 LCE524255 LMA524255 LVW524255 MFS524255 MPO524255 MZK524255 NJG524255 NTC524255 OCY524255 OMU524255 OWQ524255 PGM524255 PQI524255 QAE524255 QKA524255 QTW524255 RDS524255 RNO524255 RXK524255 SHG524255 SRC524255 TAY524255 TKU524255 TUQ524255 UEM524255 UOI524255 UYE524255 VIA524255 VRW524255 WBS524255 WLO524255 WVK524255 C589791 IY589791 SU589791 ACQ589791 AMM589791 AWI589791 BGE589791 BQA589791 BZW589791 CJS589791 CTO589791 DDK589791 DNG589791 DXC589791 EGY589791 EQU589791 FAQ589791 FKM589791 FUI589791 GEE589791 GOA589791 GXW589791 HHS589791 HRO589791 IBK589791 ILG589791 IVC589791 JEY589791 JOU589791 JYQ589791 KIM589791 KSI589791 LCE589791 LMA589791 LVW589791 MFS589791 MPO589791 MZK589791 NJG589791 NTC589791 OCY589791 OMU589791 OWQ589791 PGM589791 PQI589791 QAE589791 QKA589791 QTW589791 RDS589791 RNO589791 RXK589791 SHG589791 SRC589791 TAY589791 TKU589791 TUQ589791 UEM589791 UOI589791 UYE589791 VIA589791 VRW589791 WBS589791 WLO589791 WVK589791 C655327 IY655327 SU655327 ACQ655327 AMM655327 AWI655327 BGE655327 BQA655327 BZW655327 CJS655327 CTO655327 DDK655327 DNG655327 DXC655327 EGY655327 EQU655327 FAQ655327 FKM655327 FUI655327 GEE655327 GOA655327 GXW655327 HHS655327 HRO655327 IBK655327 ILG655327 IVC655327 JEY655327 JOU655327 JYQ655327 KIM655327 KSI655327 LCE655327 LMA655327 LVW655327 MFS655327 MPO655327 MZK655327 NJG655327 NTC655327 OCY655327 OMU655327 OWQ655327 PGM655327 PQI655327 QAE655327 QKA655327 QTW655327 RDS655327 RNO655327 RXK655327 SHG655327 SRC655327 TAY655327 TKU655327 TUQ655327 UEM655327 UOI655327 UYE655327 VIA655327 VRW655327 WBS655327 WLO655327 WVK655327 C720863 IY720863 SU720863 ACQ720863 AMM720863 AWI720863 BGE720863 BQA720863 BZW720863 CJS720863 CTO720863 DDK720863 DNG720863 DXC720863 EGY720863 EQU720863 FAQ720863 FKM720863 FUI720863 GEE720863 GOA720863 GXW720863 HHS720863 HRO720863 IBK720863 ILG720863 IVC720863 JEY720863 JOU720863 JYQ720863 KIM720863 KSI720863 LCE720863 LMA720863 LVW720863 MFS720863 MPO720863 MZK720863 NJG720863 NTC720863 OCY720863 OMU720863 OWQ720863 PGM720863 PQI720863 QAE720863 QKA720863 QTW720863 RDS720863 RNO720863 RXK720863 SHG720863 SRC720863 TAY720863 TKU720863 TUQ720863 UEM720863 UOI720863 UYE720863 VIA720863 VRW720863 WBS720863 WLO720863 WVK720863 C786399 IY786399 SU786399 ACQ786399 AMM786399 AWI786399 BGE786399 BQA786399 BZW786399 CJS786399 CTO786399 DDK786399 DNG786399 DXC786399 EGY786399 EQU786399 FAQ786399 FKM786399 FUI786399 GEE786399 GOA786399 GXW786399 HHS786399 HRO786399 IBK786399 ILG786399 IVC786399 JEY786399 JOU786399 JYQ786399 KIM786399 KSI786399 LCE786399 LMA786399 LVW786399 MFS786399 MPO786399 MZK786399 NJG786399 NTC786399 OCY786399 OMU786399 OWQ786399 PGM786399 PQI786399 QAE786399 QKA786399 QTW786399 RDS786399 RNO786399 RXK786399 SHG786399 SRC786399 TAY786399 TKU786399 TUQ786399 UEM786399 UOI786399 UYE786399 VIA786399 VRW786399 WBS786399 WLO786399 WVK786399 C851935 IY851935 SU851935 ACQ851935 AMM851935 AWI851935 BGE851935 BQA851935 BZW851935 CJS851935 CTO851935 DDK851935 DNG851935 DXC851935 EGY851935 EQU851935 FAQ851935 FKM851935 FUI851935 GEE851935 GOA851935 GXW851935 HHS851935 HRO851935 IBK851935 ILG851935 IVC851935 JEY851935 JOU851935 JYQ851935 KIM851935 KSI851935 LCE851935 LMA851935 LVW851935 MFS851935 MPO851935 MZK851935 NJG851935 NTC851935 OCY851935 OMU851935 OWQ851935 PGM851935 PQI851935 QAE851935 QKA851935 QTW851935 RDS851935 RNO851935 RXK851935 SHG851935 SRC851935 TAY851935 TKU851935 TUQ851935 UEM851935 UOI851935 UYE851935 VIA851935 VRW851935 WBS851935 WLO851935 WVK851935 C917471 IY917471 SU917471 ACQ917471 AMM917471 AWI917471 BGE917471 BQA917471 BZW917471 CJS917471 CTO917471 DDK917471 DNG917471 DXC917471 EGY917471 EQU917471 FAQ917471 FKM917471 FUI917471 GEE917471 GOA917471 GXW917471 HHS917471 HRO917471 IBK917471 ILG917471 IVC917471 JEY917471 JOU917471 JYQ917471 KIM917471 KSI917471 LCE917471 LMA917471 LVW917471 MFS917471 MPO917471 MZK917471 NJG917471 NTC917471 OCY917471 OMU917471 OWQ917471 PGM917471 PQI917471 QAE917471 QKA917471 QTW917471 RDS917471 RNO917471 RXK917471 SHG917471 SRC917471 TAY917471 TKU917471 TUQ917471 UEM917471 UOI917471 UYE917471 VIA917471 VRW917471 WBS917471 WLO917471 WVK917471 C983007 IY983007 SU983007 ACQ983007 AMM983007 AWI983007 BGE983007 BQA983007 BZW983007 CJS983007 CTO983007 DDK983007 DNG983007 DXC983007 EGY983007 EQU983007 FAQ983007 FKM983007 FUI983007 GEE983007 GOA983007 GXW983007 HHS983007 HRO983007 IBK983007 ILG983007 IVC983007 JEY983007 JOU983007 JYQ983007 KIM983007 KSI983007 LCE983007 LMA983007 LVW983007 MFS983007 MPO983007 MZK983007 NJG983007 NTC983007 OCY983007 OMU983007 OWQ983007 PGM983007 PQI983007 QAE983007 QKA983007 QTW983007 RDS983007 RNO983007 RXK983007 SHG983007 SRC983007 TAY983007 TKU983007 TUQ983007 UEM983007 UOI983007 UYE983007 VIA983007 VRW983007 WBS983007 WLO983007 WVK983007"/>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topLeftCell="C1" workbookViewId="0">
      <selection activeCell="D6" sqref="D6"/>
    </sheetView>
  </sheetViews>
  <sheetFormatPr baseColWidth="10" defaultColWidth="9.28515625" defaultRowHeight="11.25"/>
  <cols>
    <col min="1" max="1" width="10.7109375" style="4" customWidth="1"/>
    <col min="2" max="2" width="62.85546875" style="4" customWidth="1"/>
    <col min="3" max="3" width="16.28515625" style="4" customWidth="1"/>
    <col min="4" max="4" width="20.140625" style="4" customWidth="1"/>
    <col min="5" max="256" width="9.28515625" style="4"/>
    <col min="257" max="257" width="10.7109375" style="4" customWidth="1"/>
    <col min="258" max="258" width="62.85546875" style="4" customWidth="1"/>
    <col min="259" max="259" width="16.28515625" style="4" customWidth="1"/>
    <col min="260" max="260" width="20.140625" style="4" customWidth="1"/>
    <col min="261" max="512" width="9.28515625" style="4"/>
    <col min="513" max="513" width="10.7109375" style="4" customWidth="1"/>
    <col min="514" max="514" width="62.85546875" style="4" customWidth="1"/>
    <col min="515" max="515" width="16.28515625" style="4" customWidth="1"/>
    <col min="516" max="516" width="20.140625" style="4" customWidth="1"/>
    <col min="517" max="768" width="9.28515625" style="4"/>
    <col min="769" max="769" width="10.7109375" style="4" customWidth="1"/>
    <col min="770" max="770" width="62.85546875" style="4" customWidth="1"/>
    <col min="771" max="771" width="16.28515625" style="4" customWidth="1"/>
    <col min="772" max="772" width="20.140625" style="4" customWidth="1"/>
    <col min="773" max="1024" width="9.28515625" style="4"/>
    <col min="1025" max="1025" width="10.7109375" style="4" customWidth="1"/>
    <col min="1026" max="1026" width="62.85546875" style="4" customWidth="1"/>
    <col min="1027" max="1027" width="16.28515625" style="4" customWidth="1"/>
    <col min="1028" max="1028" width="20.140625" style="4" customWidth="1"/>
    <col min="1029" max="1280" width="9.28515625" style="4"/>
    <col min="1281" max="1281" width="10.7109375" style="4" customWidth="1"/>
    <col min="1282" max="1282" width="62.85546875" style="4" customWidth="1"/>
    <col min="1283" max="1283" width="16.28515625" style="4" customWidth="1"/>
    <col min="1284" max="1284" width="20.140625" style="4" customWidth="1"/>
    <col min="1285" max="1536" width="9.28515625" style="4"/>
    <col min="1537" max="1537" width="10.7109375" style="4" customWidth="1"/>
    <col min="1538" max="1538" width="62.85546875" style="4" customWidth="1"/>
    <col min="1539" max="1539" width="16.28515625" style="4" customWidth="1"/>
    <col min="1540" max="1540" width="20.140625" style="4" customWidth="1"/>
    <col min="1541" max="1792" width="9.28515625" style="4"/>
    <col min="1793" max="1793" width="10.7109375" style="4" customWidth="1"/>
    <col min="1794" max="1794" width="62.85546875" style="4" customWidth="1"/>
    <col min="1795" max="1795" width="16.28515625" style="4" customWidth="1"/>
    <col min="1796" max="1796" width="20.140625" style="4" customWidth="1"/>
    <col min="1797" max="2048" width="9.28515625" style="4"/>
    <col min="2049" max="2049" width="10.7109375" style="4" customWidth="1"/>
    <col min="2050" max="2050" width="62.85546875" style="4" customWidth="1"/>
    <col min="2051" max="2051" width="16.28515625" style="4" customWidth="1"/>
    <col min="2052" max="2052" width="20.140625" style="4" customWidth="1"/>
    <col min="2053" max="2304" width="9.28515625" style="4"/>
    <col min="2305" max="2305" width="10.7109375" style="4" customWidth="1"/>
    <col min="2306" max="2306" width="62.85546875" style="4" customWidth="1"/>
    <col min="2307" max="2307" width="16.28515625" style="4" customWidth="1"/>
    <col min="2308" max="2308" width="20.140625" style="4" customWidth="1"/>
    <col min="2309" max="2560" width="9.28515625" style="4"/>
    <col min="2561" max="2561" width="10.7109375" style="4" customWidth="1"/>
    <col min="2562" max="2562" width="62.85546875" style="4" customWidth="1"/>
    <col min="2563" max="2563" width="16.28515625" style="4" customWidth="1"/>
    <col min="2564" max="2564" width="20.140625" style="4" customWidth="1"/>
    <col min="2565" max="2816" width="9.28515625" style="4"/>
    <col min="2817" max="2817" width="10.7109375" style="4" customWidth="1"/>
    <col min="2818" max="2818" width="62.85546875" style="4" customWidth="1"/>
    <col min="2819" max="2819" width="16.28515625" style="4" customWidth="1"/>
    <col min="2820" max="2820" width="20.140625" style="4" customWidth="1"/>
    <col min="2821" max="3072" width="9.28515625" style="4"/>
    <col min="3073" max="3073" width="10.7109375" style="4" customWidth="1"/>
    <col min="3074" max="3074" width="62.85546875" style="4" customWidth="1"/>
    <col min="3075" max="3075" width="16.28515625" style="4" customWidth="1"/>
    <col min="3076" max="3076" width="20.140625" style="4" customWidth="1"/>
    <col min="3077" max="3328" width="9.28515625" style="4"/>
    <col min="3329" max="3329" width="10.7109375" style="4" customWidth="1"/>
    <col min="3330" max="3330" width="62.85546875" style="4" customWidth="1"/>
    <col min="3331" max="3331" width="16.28515625" style="4" customWidth="1"/>
    <col min="3332" max="3332" width="20.140625" style="4" customWidth="1"/>
    <col min="3333" max="3584" width="9.28515625" style="4"/>
    <col min="3585" max="3585" width="10.7109375" style="4" customWidth="1"/>
    <col min="3586" max="3586" width="62.85546875" style="4" customWidth="1"/>
    <col min="3587" max="3587" width="16.28515625" style="4" customWidth="1"/>
    <col min="3588" max="3588" width="20.140625" style="4" customWidth="1"/>
    <col min="3589" max="3840" width="9.28515625" style="4"/>
    <col min="3841" max="3841" width="10.7109375" style="4" customWidth="1"/>
    <col min="3842" max="3842" width="62.85546875" style="4" customWidth="1"/>
    <col min="3843" max="3843" width="16.28515625" style="4" customWidth="1"/>
    <col min="3844" max="3844" width="20.140625" style="4" customWidth="1"/>
    <col min="3845" max="4096" width="9.28515625" style="4"/>
    <col min="4097" max="4097" width="10.7109375" style="4" customWidth="1"/>
    <col min="4098" max="4098" width="62.85546875" style="4" customWidth="1"/>
    <col min="4099" max="4099" width="16.28515625" style="4" customWidth="1"/>
    <col min="4100" max="4100" width="20.140625" style="4" customWidth="1"/>
    <col min="4101" max="4352" width="9.28515625" style="4"/>
    <col min="4353" max="4353" width="10.7109375" style="4" customWidth="1"/>
    <col min="4354" max="4354" width="62.85546875" style="4" customWidth="1"/>
    <col min="4355" max="4355" width="16.28515625" style="4" customWidth="1"/>
    <col min="4356" max="4356" width="20.140625" style="4" customWidth="1"/>
    <col min="4357" max="4608" width="9.28515625" style="4"/>
    <col min="4609" max="4609" width="10.7109375" style="4" customWidth="1"/>
    <col min="4610" max="4610" width="62.85546875" style="4" customWidth="1"/>
    <col min="4611" max="4611" width="16.28515625" style="4" customWidth="1"/>
    <col min="4612" max="4612" width="20.140625" style="4" customWidth="1"/>
    <col min="4613" max="4864" width="9.28515625" style="4"/>
    <col min="4865" max="4865" width="10.7109375" style="4" customWidth="1"/>
    <col min="4866" max="4866" width="62.85546875" style="4" customWidth="1"/>
    <col min="4867" max="4867" width="16.28515625" style="4" customWidth="1"/>
    <col min="4868" max="4868" width="20.140625" style="4" customWidth="1"/>
    <col min="4869" max="5120" width="9.28515625" style="4"/>
    <col min="5121" max="5121" width="10.7109375" style="4" customWidth="1"/>
    <col min="5122" max="5122" width="62.85546875" style="4" customWidth="1"/>
    <col min="5123" max="5123" width="16.28515625" style="4" customWidth="1"/>
    <col min="5124" max="5124" width="20.140625" style="4" customWidth="1"/>
    <col min="5125" max="5376" width="9.28515625" style="4"/>
    <col min="5377" max="5377" width="10.7109375" style="4" customWidth="1"/>
    <col min="5378" max="5378" width="62.85546875" style="4" customWidth="1"/>
    <col min="5379" max="5379" width="16.28515625" style="4" customWidth="1"/>
    <col min="5380" max="5380" width="20.140625" style="4" customWidth="1"/>
    <col min="5381" max="5632" width="9.28515625" style="4"/>
    <col min="5633" max="5633" width="10.7109375" style="4" customWidth="1"/>
    <col min="5634" max="5634" width="62.85546875" style="4" customWidth="1"/>
    <col min="5635" max="5635" width="16.28515625" style="4" customWidth="1"/>
    <col min="5636" max="5636" width="20.140625" style="4" customWidth="1"/>
    <col min="5637" max="5888" width="9.28515625" style="4"/>
    <col min="5889" max="5889" width="10.7109375" style="4" customWidth="1"/>
    <col min="5890" max="5890" width="62.85546875" style="4" customWidth="1"/>
    <col min="5891" max="5891" width="16.28515625" style="4" customWidth="1"/>
    <col min="5892" max="5892" width="20.140625" style="4" customWidth="1"/>
    <col min="5893" max="6144" width="9.28515625" style="4"/>
    <col min="6145" max="6145" width="10.7109375" style="4" customWidth="1"/>
    <col min="6146" max="6146" width="62.85546875" style="4" customWidth="1"/>
    <col min="6147" max="6147" width="16.28515625" style="4" customWidth="1"/>
    <col min="6148" max="6148" width="20.140625" style="4" customWidth="1"/>
    <col min="6149" max="6400" width="9.28515625" style="4"/>
    <col min="6401" max="6401" width="10.7109375" style="4" customWidth="1"/>
    <col min="6402" max="6402" width="62.85546875" style="4" customWidth="1"/>
    <col min="6403" max="6403" width="16.28515625" style="4" customWidth="1"/>
    <col min="6404" max="6404" width="20.140625" style="4" customWidth="1"/>
    <col min="6405" max="6656" width="9.28515625" style="4"/>
    <col min="6657" max="6657" width="10.7109375" style="4" customWidth="1"/>
    <col min="6658" max="6658" width="62.85546875" style="4" customWidth="1"/>
    <col min="6659" max="6659" width="16.28515625" style="4" customWidth="1"/>
    <col min="6660" max="6660" width="20.140625" style="4" customWidth="1"/>
    <col min="6661" max="6912" width="9.28515625" style="4"/>
    <col min="6913" max="6913" width="10.7109375" style="4" customWidth="1"/>
    <col min="6914" max="6914" width="62.85546875" style="4" customWidth="1"/>
    <col min="6915" max="6915" width="16.28515625" style="4" customWidth="1"/>
    <col min="6916" max="6916" width="20.140625" style="4" customWidth="1"/>
    <col min="6917" max="7168" width="9.28515625" style="4"/>
    <col min="7169" max="7169" width="10.7109375" style="4" customWidth="1"/>
    <col min="7170" max="7170" width="62.85546875" style="4" customWidth="1"/>
    <col min="7171" max="7171" width="16.28515625" style="4" customWidth="1"/>
    <col min="7172" max="7172" width="20.140625" style="4" customWidth="1"/>
    <col min="7173" max="7424" width="9.28515625" style="4"/>
    <col min="7425" max="7425" width="10.7109375" style="4" customWidth="1"/>
    <col min="7426" max="7426" width="62.85546875" style="4" customWidth="1"/>
    <col min="7427" max="7427" width="16.28515625" style="4" customWidth="1"/>
    <col min="7428" max="7428" width="20.140625" style="4" customWidth="1"/>
    <col min="7429" max="7680" width="9.28515625" style="4"/>
    <col min="7681" max="7681" width="10.7109375" style="4" customWidth="1"/>
    <col min="7682" max="7682" width="62.85546875" style="4" customWidth="1"/>
    <col min="7683" max="7683" width="16.28515625" style="4" customWidth="1"/>
    <col min="7684" max="7684" width="20.140625" style="4" customWidth="1"/>
    <col min="7685" max="7936" width="9.28515625" style="4"/>
    <col min="7937" max="7937" width="10.7109375" style="4" customWidth="1"/>
    <col min="7938" max="7938" width="62.85546875" style="4" customWidth="1"/>
    <col min="7939" max="7939" width="16.28515625" style="4" customWidth="1"/>
    <col min="7940" max="7940" width="20.140625" style="4" customWidth="1"/>
    <col min="7941" max="8192" width="9.28515625" style="4"/>
    <col min="8193" max="8193" width="10.7109375" style="4" customWidth="1"/>
    <col min="8194" max="8194" width="62.85546875" style="4" customWidth="1"/>
    <col min="8195" max="8195" width="16.28515625" style="4" customWidth="1"/>
    <col min="8196" max="8196" width="20.140625" style="4" customWidth="1"/>
    <col min="8197" max="8448" width="9.28515625" style="4"/>
    <col min="8449" max="8449" width="10.7109375" style="4" customWidth="1"/>
    <col min="8450" max="8450" width="62.85546875" style="4" customWidth="1"/>
    <col min="8451" max="8451" width="16.28515625" style="4" customWidth="1"/>
    <col min="8452" max="8452" width="20.140625" style="4" customWidth="1"/>
    <col min="8453" max="8704" width="9.28515625" style="4"/>
    <col min="8705" max="8705" width="10.7109375" style="4" customWidth="1"/>
    <col min="8706" max="8706" width="62.85546875" style="4" customWidth="1"/>
    <col min="8707" max="8707" width="16.28515625" style="4" customWidth="1"/>
    <col min="8708" max="8708" width="20.140625" style="4" customWidth="1"/>
    <col min="8709" max="8960" width="9.28515625" style="4"/>
    <col min="8961" max="8961" width="10.7109375" style="4" customWidth="1"/>
    <col min="8962" max="8962" width="62.85546875" style="4" customWidth="1"/>
    <col min="8963" max="8963" width="16.28515625" style="4" customWidth="1"/>
    <col min="8964" max="8964" width="20.140625" style="4" customWidth="1"/>
    <col min="8965" max="9216" width="9.28515625" style="4"/>
    <col min="9217" max="9217" width="10.7109375" style="4" customWidth="1"/>
    <col min="9218" max="9218" width="62.85546875" style="4" customWidth="1"/>
    <col min="9219" max="9219" width="16.28515625" style="4" customWidth="1"/>
    <col min="9220" max="9220" width="20.140625" style="4" customWidth="1"/>
    <col min="9221" max="9472" width="9.28515625" style="4"/>
    <col min="9473" max="9473" width="10.7109375" style="4" customWidth="1"/>
    <col min="9474" max="9474" width="62.85546875" style="4" customWidth="1"/>
    <col min="9475" max="9475" width="16.28515625" style="4" customWidth="1"/>
    <col min="9476" max="9476" width="20.140625" style="4" customWidth="1"/>
    <col min="9477" max="9728" width="9.28515625" style="4"/>
    <col min="9729" max="9729" width="10.7109375" style="4" customWidth="1"/>
    <col min="9730" max="9730" width="62.85546875" style="4" customWidth="1"/>
    <col min="9731" max="9731" width="16.28515625" style="4" customWidth="1"/>
    <col min="9732" max="9732" width="20.140625" style="4" customWidth="1"/>
    <col min="9733" max="9984" width="9.28515625" style="4"/>
    <col min="9985" max="9985" width="10.7109375" style="4" customWidth="1"/>
    <col min="9986" max="9986" width="62.85546875" style="4" customWidth="1"/>
    <col min="9987" max="9987" width="16.28515625" style="4" customWidth="1"/>
    <col min="9988" max="9988" width="20.140625" style="4" customWidth="1"/>
    <col min="9989" max="10240" width="9.28515625" style="4"/>
    <col min="10241" max="10241" width="10.7109375" style="4" customWidth="1"/>
    <col min="10242" max="10242" width="62.85546875" style="4" customWidth="1"/>
    <col min="10243" max="10243" width="16.28515625" style="4" customWidth="1"/>
    <col min="10244" max="10244" width="20.140625" style="4" customWidth="1"/>
    <col min="10245" max="10496" width="9.28515625" style="4"/>
    <col min="10497" max="10497" width="10.7109375" style="4" customWidth="1"/>
    <col min="10498" max="10498" width="62.85546875" style="4" customWidth="1"/>
    <col min="10499" max="10499" width="16.28515625" style="4" customWidth="1"/>
    <col min="10500" max="10500" width="20.140625" style="4" customWidth="1"/>
    <col min="10501" max="10752" width="9.28515625" style="4"/>
    <col min="10753" max="10753" width="10.7109375" style="4" customWidth="1"/>
    <col min="10754" max="10754" width="62.85546875" style="4" customWidth="1"/>
    <col min="10755" max="10755" width="16.28515625" style="4" customWidth="1"/>
    <col min="10756" max="10756" width="20.140625" style="4" customWidth="1"/>
    <col min="10757" max="11008" width="9.28515625" style="4"/>
    <col min="11009" max="11009" width="10.7109375" style="4" customWidth="1"/>
    <col min="11010" max="11010" width="62.85546875" style="4" customWidth="1"/>
    <col min="11011" max="11011" width="16.28515625" style="4" customWidth="1"/>
    <col min="11012" max="11012" width="20.140625" style="4" customWidth="1"/>
    <col min="11013" max="11264" width="9.28515625" style="4"/>
    <col min="11265" max="11265" width="10.7109375" style="4" customWidth="1"/>
    <col min="11266" max="11266" width="62.85546875" style="4" customWidth="1"/>
    <col min="11267" max="11267" width="16.28515625" style="4" customWidth="1"/>
    <col min="11268" max="11268" width="20.140625" style="4" customWidth="1"/>
    <col min="11269" max="11520" width="9.28515625" style="4"/>
    <col min="11521" max="11521" width="10.7109375" style="4" customWidth="1"/>
    <col min="11522" max="11522" width="62.85546875" style="4" customWidth="1"/>
    <col min="11523" max="11523" width="16.28515625" style="4" customWidth="1"/>
    <col min="11524" max="11524" width="20.140625" style="4" customWidth="1"/>
    <col min="11525" max="11776" width="9.28515625" style="4"/>
    <col min="11777" max="11777" width="10.7109375" style="4" customWidth="1"/>
    <col min="11778" max="11778" width="62.85546875" style="4" customWidth="1"/>
    <col min="11779" max="11779" width="16.28515625" style="4" customWidth="1"/>
    <col min="11780" max="11780" width="20.140625" style="4" customWidth="1"/>
    <col min="11781" max="12032" width="9.28515625" style="4"/>
    <col min="12033" max="12033" width="10.7109375" style="4" customWidth="1"/>
    <col min="12034" max="12034" width="62.85546875" style="4" customWidth="1"/>
    <col min="12035" max="12035" width="16.28515625" style="4" customWidth="1"/>
    <col min="12036" max="12036" width="20.140625" style="4" customWidth="1"/>
    <col min="12037" max="12288" width="9.28515625" style="4"/>
    <col min="12289" max="12289" width="10.7109375" style="4" customWidth="1"/>
    <col min="12290" max="12290" width="62.85546875" style="4" customWidth="1"/>
    <col min="12291" max="12291" width="16.28515625" style="4" customWidth="1"/>
    <col min="12292" max="12292" width="20.140625" style="4" customWidth="1"/>
    <col min="12293" max="12544" width="9.28515625" style="4"/>
    <col min="12545" max="12545" width="10.7109375" style="4" customWidth="1"/>
    <col min="12546" max="12546" width="62.85546875" style="4" customWidth="1"/>
    <col min="12547" max="12547" width="16.28515625" style="4" customWidth="1"/>
    <col min="12548" max="12548" width="20.140625" style="4" customWidth="1"/>
    <col min="12549" max="12800" width="9.28515625" style="4"/>
    <col min="12801" max="12801" width="10.7109375" style="4" customWidth="1"/>
    <col min="12802" max="12802" width="62.85546875" style="4" customWidth="1"/>
    <col min="12803" max="12803" width="16.28515625" style="4" customWidth="1"/>
    <col min="12804" max="12804" width="20.140625" style="4" customWidth="1"/>
    <col min="12805" max="13056" width="9.28515625" style="4"/>
    <col min="13057" max="13057" width="10.7109375" style="4" customWidth="1"/>
    <col min="13058" max="13058" width="62.85546875" style="4" customWidth="1"/>
    <col min="13059" max="13059" width="16.28515625" style="4" customWidth="1"/>
    <col min="13060" max="13060" width="20.140625" style="4" customWidth="1"/>
    <col min="13061" max="13312" width="9.28515625" style="4"/>
    <col min="13313" max="13313" width="10.7109375" style="4" customWidth="1"/>
    <col min="13314" max="13314" width="62.85546875" style="4" customWidth="1"/>
    <col min="13315" max="13315" width="16.28515625" style="4" customWidth="1"/>
    <col min="13316" max="13316" width="20.140625" style="4" customWidth="1"/>
    <col min="13317" max="13568" width="9.28515625" style="4"/>
    <col min="13569" max="13569" width="10.7109375" style="4" customWidth="1"/>
    <col min="13570" max="13570" width="62.85546875" style="4" customWidth="1"/>
    <col min="13571" max="13571" width="16.28515625" style="4" customWidth="1"/>
    <col min="13572" max="13572" width="20.140625" style="4" customWidth="1"/>
    <col min="13573" max="13824" width="9.28515625" style="4"/>
    <col min="13825" max="13825" width="10.7109375" style="4" customWidth="1"/>
    <col min="13826" max="13826" width="62.85546875" style="4" customWidth="1"/>
    <col min="13827" max="13827" width="16.28515625" style="4" customWidth="1"/>
    <col min="13828" max="13828" width="20.140625" style="4" customWidth="1"/>
    <col min="13829" max="14080" width="9.28515625" style="4"/>
    <col min="14081" max="14081" width="10.7109375" style="4" customWidth="1"/>
    <col min="14082" max="14082" width="62.85546875" style="4" customWidth="1"/>
    <col min="14083" max="14083" width="16.28515625" style="4" customWidth="1"/>
    <col min="14084" max="14084" width="20.140625" style="4" customWidth="1"/>
    <col min="14085" max="14336" width="9.28515625" style="4"/>
    <col min="14337" max="14337" width="10.7109375" style="4" customWidth="1"/>
    <col min="14338" max="14338" width="62.85546875" style="4" customWidth="1"/>
    <col min="14339" max="14339" width="16.28515625" style="4" customWidth="1"/>
    <col min="14340" max="14340" width="20.140625" style="4" customWidth="1"/>
    <col min="14341" max="14592" width="9.28515625" style="4"/>
    <col min="14593" max="14593" width="10.7109375" style="4" customWidth="1"/>
    <col min="14594" max="14594" width="62.85546875" style="4" customWidth="1"/>
    <col min="14595" max="14595" width="16.28515625" style="4" customWidth="1"/>
    <col min="14596" max="14596" width="20.140625" style="4" customWidth="1"/>
    <col min="14597" max="14848" width="9.28515625" style="4"/>
    <col min="14849" max="14849" width="10.7109375" style="4" customWidth="1"/>
    <col min="14850" max="14850" width="62.85546875" style="4" customWidth="1"/>
    <col min="14851" max="14851" width="16.28515625" style="4" customWidth="1"/>
    <col min="14852" max="14852" width="20.140625" style="4" customWidth="1"/>
    <col min="14853" max="15104" width="9.28515625" style="4"/>
    <col min="15105" max="15105" width="10.7109375" style="4" customWidth="1"/>
    <col min="15106" max="15106" width="62.85546875" style="4" customWidth="1"/>
    <col min="15107" max="15107" width="16.28515625" style="4" customWidth="1"/>
    <col min="15108" max="15108" width="20.140625" style="4" customWidth="1"/>
    <col min="15109" max="15360" width="9.28515625" style="4"/>
    <col min="15361" max="15361" width="10.7109375" style="4" customWidth="1"/>
    <col min="15362" max="15362" width="62.85546875" style="4" customWidth="1"/>
    <col min="15363" max="15363" width="16.28515625" style="4" customWidth="1"/>
    <col min="15364" max="15364" width="20.140625" style="4" customWidth="1"/>
    <col min="15365" max="15616" width="9.28515625" style="4"/>
    <col min="15617" max="15617" width="10.7109375" style="4" customWidth="1"/>
    <col min="15618" max="15618" width="62.85546875" style="4" customWidth="1"/>
    <col min="15619" max="15619" width="16.28515625" style="4" customWidth="1"/>
    <col min="15620" max="15620" width="20.140625" style="4" customWidth="1"/>
    <col min="15621" max="15872" width="9.28515625" style="4"/>
    <col min="15873" max="15873" width="10.7109375" style="4" customWidth="1"/>
    <col min="15874" max="15874" width="62.85546875" style="4" customWidth="1"/>
    <col min="15875" max="15875" width="16.28515625" style="4" customWidth="1"/>
    <col min="15876" max="15876" width="20.140625" style="4" customWidth="1"/>
    <col min="15877" max="16128" width="9.28515625" style="4"/>
    <col min="16129" max="16129" width="10.7109375" style="4" customWidth="1"/>
    <col min="16130" max="16130" width="62.85546875" style="4" customWidth="1"/>
    <col min="16131" max="16131" width="16.28515625" style="4" customWidth="1"/>
    <col min="16132" max="16132" width="20.140625" style="4" customWidth="1"/>
    <col min="16133" max="16384" width="9.28515625" style="4"/>
  </cols>
  <sheetData>
    <row r="1" spans="1:5" s="243" customFormat="1" ht="35.1" customHeight="1">
      <c r="A1" s="1001" t="s">
        <v>1573</v>
      </c>
      <c r="B1" s="1002"/>
      <c r="C1" s="1002"/>
      <c r="D1" s="1002"/>
      <c r="E1" s="1002"/>
    </row>
    <row r="2" spans="1:5" s="243" customFormat="1" ht="15" customHeight="1">
      <c r="A2" s="572" t="s">
        <v>711</v>
      </c>
      <c r="B2" s="573" t="s">
        <v>716</v>
      </c>
      <c r="C2" s="573" t="s">
        <v>717</v>
      </c>
      <c r="D2" s="573" t="s">
        <v>1574</v>
      </c>
      <c r="E2" s="573" t="s">
        <v>718</v>
      </c>
    </row>
    <row r="3" spans="1:5">
      <c r="A3" s="701">
        <v>900001</v>
      </c>
      <c r="B3" s="702" t="s">
        <v>290</v>
      </c>
      <c r="C3" s="703"/>
      <c r="D3" s="703"/>
      <c r="E3" s="700">
        <f>SUM(E4:E1040000)</f>
        <v>0</v>
      </c>
    </row>
    <row r="4" spans="1:5">
      <c r="B4" s="4" t="s">
        <v>381</v>
      </c>
    </row>
  </sheetData>
  <sheetProtection insertColumns="0" deleteRows="0" autoFilter="0"/>
  <mergeCells count="1">
    <mergeCell ref="A1:E1"/>
  </mergeCells>
  <dataValidations count="3">
    <dataValidation allowBlank="1" showInputMessage="1" showErrorMessage="1" prompt="De acuerdo al Catálogo de Bienes Muebles e Inmuebles."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03 IW65503 SS65503 ACO65503 AMK65503 AWG65503 BGC65503 BPY65503 BZU65503 CJQ65503 CTM65503 DDI65503 DNE65503 DXA65503 EGW65503 EQS65503 FAO65503 FKK65503 FUG65503 GEC65503 GNY65503 GXU65503 HHQ65503 HRM65503 IBI65503 ILE65503 IVA65503 JEW65503 JOS65503 JYO65503 KIK65503 KSG65503 LCC65503 LLY65503 LVU65503 MFQ65503 MPM65503 MZI65503 NJE65503 NTA65503 OCW65503 OMS65503 OWO65503 PGK65503 PQG65503 QAC65503 QJY65503 QTU65503 RDQ65503 RNM65503 RXI65503 SHE65503 SRA65503 TAW65503 TKS65503 TUO65503 UEK65503 UOG65503 UYC65503 VHY65503 VRU65503 WBQ65503 WLM65503 WVI65503 A131039 IW131039 SS131039 ACO131039 AMK131039 AWG131039 BGC131039 BPY131039 BZU131039 CJQ131039 CTM131039 DDI131039 DNE131039 DXA131039 EGW131039 EQS131039 FAO131039 FKK131039 FUG131039 GEC131039 GNY131039 GXU131039 HHQ131039 HRM131039 IBI131039 ILE131039 IVA131039 JEW131039 JOS131039 JYO131039 KIK131039 KSG131039 LCC131039 LLY131039 LVU131039 MFQ131039 MPM131039 MZI131039 NJE131039 NTA131039 OCW131039 OMS131039 OWO131039 PGK131039 PQG131039 QAC131039 QJY131039 QTU131039 RDQ131039 RNM131039 RXI131039 SHE131039 SRA131039 TAW131039 TKS131039 TUO131039 UEK131039 UOG131039 UYC131039 VHY131039 VRU131039 WBQ131039 WLM131039 WVI131039 A196575 IW196575 SS196575 ACO196575 AMK196575 AWG196575 BGC196575 BPY196575 BZU196575 CJQ196575 CTM196575 DDI196575 DNE196575 DXA196575 EGW196575 EQS196575 FAO196575 FKK196575 FUG196575 GEC196575 GNY196575 GXU196575 HHQ196575 HRM196575 IBI196575 ILE196575 IVA196575 JEW196575 JOS196575 JYO196575 KIK196575 KSG196575 LCC196575 LLY196575 LVU196575 MFQ196575 MPM196575 MZI196575 NJE196575 NTA196575 OCW196575 OMS196575 OWO196575 PGK196575 PQG196575 QAC196575 QJY196575 QTU196575 RDQ196575 RNM196575 RXI196575 SHE196575 SRA196575 TAW196575 TKS196575 TUO196575 UEK196575 UOG196575 UYC196575 VHY196575 VRU196575 WBQ196575 WLM196575 WVI196575 A262111 IW262111 SS262111 ACO262111 AMK262111 AWG262111 BGC262111 BPY262111 BZU262111 CJQ262111 CTM262111 DDI262111 DNE262111 DXA262111 EGW262111 EQS262111 FAO262111 FKK262111 FUG262111 GEC262111 GNY262111 GXU262111 HHQ262111 HRM262111 IBI262111 ILE262111 IVA262111 JEW262111 JOS262111 JYO262111 KIK262111 KSG262111 LCC262111 LLY262111 LVU262111 MFQ262111 MPM262111 MZI262111 NJE262111 NTA262111 OCW262111 OMS262111 OWO262111 PGK262111 PQG262111 QAC262111 QJY262111 QTU262111 RDQ262111 RNM262111 RXI262111 SHE262111 SRA262111 TAW262111 TKS262111 TUO262111 UEK262111 UOG262111 UYC262111 VHY262111 VRU262111 WBQ262111 WLM262111 WVI262111 A327647 IW327647 SS327647 ACO327647 AMK327647 AWG327647 BGC327647 BPY327647 BZU327647 CJQ327647 CTM327647 DDI327647 DNE327647 DXA327647 EGW327647 EQS327647 FAO327647 FKK327647 FUG327647 GEC327647 GNY327647 GXU327647 HHQ327647 HRM327647 IBI327647 ILE327647 IVA327647 JEW327647 JOS327647 JYO327647 KIK327647 KSG327647 LCC327647 LLY327647 LVU327647 MFQ327647 MPM327647 MZI327647 NJE327647 NTA327647 OCW327647 OMS327647 OWO327647 PGK327647 PQG327647 QAC327647 QJY327647 QTU327647 RDQ327647 RNM327647 RXI327647 SHE327647 SRA327647 TAW327647 TKS327647 TUO327647 UEK327647 UOG327647 UYC327647 VHY327647 VRU327647 WBQ327647 WLM327647 WVI327647 A393183 IW393183 SS393183 ACO393183 AMK393183 AWG393183 BGC393183 BPY393183 BZU393183 CJQ393183 CTM393183 DDI393183 DNE393183 DXA393183 EGW393183 EQS393183 FAO393183 FKK393183 FUG393183 GEC393183 GNY393183 GXU393183 HHQ393183 HRM393183 IBI393183 ILE393183 IVA393183 JEW393183 JOS393183 JYO393183 KIK393183 KSG393183 LCC393183 LLY393183 LVU393183 MFQ393183 MPM393183 MZI393183 NJE393183 NTA393183 OCW393183 OMS393183 OWO393183 PGK393183 PQG393183 QAC393183 QJY393183 QTU393183 RDQ393183 RNM393183 RXI393183 SHE393183 SRA393183 TAW393183 TKS393183 TUO393183 UEK393183 UOG393183 UYC393183 VHY393183 VRU393183 WBQ393183 WLM393183 WVI393183 A458719 IW458719 SS458719 ACO458719 AMK458719 AWG458719 BGC458719 BPY458719 BZU458719 CJQ458719 CTM458719 DDI458719 DNE458719 DXA458719 EGW458719 EQS458719 FAO458719 FKK458719 FUG458719 GEC458719 GNY458719 GXU458719 HHQ458719 HRM458719 IBI458719 ILE458719 IVA458719 JEW458719 JOS458719 JYO458719 KIK458719 KSG458719 LCC458719 LLY458719 LVU458719 MFQ458719 MPM458719 MZI458719 NJE458719 NTA458719 OCW458719 OMS458719 OWO458719 PGK458719 PQG458719 QAC458719 QJY458719 QTU458719 RDQ458719 RNM458719 RXI458719 SHE458719 SRA458719 TAW458719 TKS458719 TUO458719 UEK458719 UOG458719 UYC458719 VHY458719 VRU458719 WBQ458719 WLM458719 WVI458719 A524255 IW524255 SS524255 ACO524255 AMK524255 AWG524255 BGC524255 BPY524255 BZU524255 CJQ524255 CTM524255 DDI524255 DNE524255 DXA524255 EGW524255 EQS524255 FAO524255 FKK524255 FUG524255 GEC524255 GNY524255 GXU524255 HHQ524255 HRM524255 IBI524255 ILE524255 IVA524255 JEW524255 JOS524255 JYO524255 KIK524255 KSG524255 LCC524255 LLY524255 LVU524255 MFQ524255 MPM524255 MZI524255 NJE524255 NTA524255 OCW524255 OMS524255 OWO524255 PGK524255 PQG524255 QAC524255 QJY524255 QTU524255 RDQ524255 RNM524255 RXI524255 SHE524255 SRA524255 TAW524255 TKS524255 TUO524255 UEK524255 UOG524255 UYC524255 VHY524255 VRU524255 WBQ524255 WLM524255 WVI524255 A589791 IW589791 SS589791 ACO589791 AMK589791 AWG589791 BGC589791 BPY589791 BZU589791 CJQ589791 CTM589791 DDI589791 DNE589791 DXA589791 EGW589791 EQS589791 FAO589791 FKK589791 FUG589791 GEC589791 GNY589791 GXU589791 HHQ589791 HRM589791 IBI589791 ILE589791 IVA589791 JEW589791 JOS589791 JYO589791 KIK589791 KSG589791 LCC589791 LLY589791 LVU589791 MFQ589791 MPM589791 MZI589791 NJE589791 NTA589791 OCW589791 OMS589791 OWO589791 PGK589791 PQG589791 QAC589791 QJY589791 QTU589791 RDQ589791 RNM589791 RXI589791 SHE589791 SRA589791 TAW589791 TKS589791 TUO589791 UEK589791 UOG589791 UYC589791 VHY589791 VRU589791 WBQ589791 WLM589791 WVI589791 A655327 IW655327 SS655327 ACO655327 AMK655327 AWG655327 BGC655327 BPY655327 BZU655327 CJQ655327 CTM655327 DDI655327 DNE655327 DXA655327 EGW655327 EQS655327 FAO655327 FKK655327 FUG655327 GEC655327 GNY655327 GXU655327 HHQ655327 HRM655327 IBI655327 ILE655327 IVA655327 JEW655327 JOS655327 JYO655327 KIK655327 KSG655327 LCC655327 LLY655327 LVU655327 MFQ655327 MPM655327 MZI655327 NJE655327 NTA655327 OCW655327 OMS655327 OWO655327 PGK655327 PQG655327 QAC655327 QJY655327 QTU655327 RDQ655327 RNM655327 RXI655327 SHE655327 SRA655327 TAW655327 TKS655327 TUO655327 UEK655327 UOG655327 UYC655327 VHY655327 VRU655327 WBQ655327 WLM655327 WVI655327 A720863 IW720863 SS720863 ACO720863 AMK720863 AWG720863 BGC720863 BPY720863 BZU720863 CJQ720863 CTM720863 DDI720863 DNE720863 DXA720863 EGW720863 EQS720863 FAO720863 FKK720863 FUG720863 GEC720863 GNY720863 GXU720863 HHQ720863 HRM720863 IBI720863 ILE720863 IVA720863 JEW720863 JOS720863 JYO720863 KIK720863 KSG720863 LCC720863 LLY720863 LVU720863 MFQ720863 MPM720863 MZI720863 NJE720863 NTA720863 OCW720863 OMS720863 OWO720863 PGK720863 PQG720863 QAC720863 QJY720863 QTU720863 RDQ720863 RNM720863 RXI720863 SHE720863 SRA720863 TAW720863 TKS720863 TUO720863 UEK720863 UOG720863 UYC720863 VHY720863 VRU720863 WBQ720863 WLM720863 WVI720863 A786399 IW786399 SS786399 ACO786399 AMK786399 AWG786399 BGC786399 BPY786399 BZU786399 CJQ786399 CTM786399 DDI786399 DNE786399 DXA786399 EGW786399 EQS786399 FAO786399 FKK786399 FUG786399 GEC786399 GNY786399 GXU786399 HHQ786399 HRM786399 IBI786399 ILE786399 IVA786399 JEW786399 JOS786399 JYO786399 KIK786399 KSG786399 LCC786399 LLY786399 LVU786399 MFQ786399 MPM786399 MZI786399 NJE786399 NTA786399 OCW786399 OMS786399 OWO786399 PGK786399 PQG786399 QAC786399 QJY786399 QTU786399 RDQ786399 RNM786399 RXI786399 SHE786399 SRA786399 TAW786399 TKS786399 TUO786399 UEK786399 UOG786399 UYC786399 VHY786399 VRU786399 WBQ786399 WLM786399 WVI786399 A851935 IW851935 SS851935 ACO851935 AMK851935 AWG851935 BGC851935 BPY851935 BZU851935 CJQ851935 CTM851935 DDI851935 DNE851935 DXA851935 EGW851935 EQS851935 FAO851935 FKK851935 FUG851935 GEC851935 GNY851935 GXU851935 HHQ851935 HRM851935 IBI851935 ILE851935 IVA851935 JEW851935 JOS851935 JYO851935 KIK851935 KSG851935 LCC851935 LLY851935 LVU851935 MFQ851935 MPM851935 MZI851935 NJE851935 NTA851935 OCW851935 OMS851935 OWO851935 PGK851935 PQG851935 QAC851935 QJY851935 QTU851935 RDQ851935 RNM851935 RXI851935 SHE851935 SRA851935 TAW851935 TKS851935 TUO851935 UEK851935 UOG851935 UYC851935 VHY851935 VRU851935 WBQ851935 WLM851935 WVI851935 A917471 IW917471 SS917471 ACO917471 AMK917471 AWG917471 BGC917471 BPY917471 BZU917471 CJQ917471 CTM917471 DDI917471 DNE917471 DXA917471 EGW917471 EQS917471 FAO917471 FKK917471 FUG917471 GEC917471 GNY917471 GXU917471 HHQ917471 HRM917471 IBI917471 ILE917471 IVA917471 JEW917471 JOS917471 JYO917471 KIK917471 KSG917471 LCC917471 LLY917471 LVU917471 MFQ917471 MPM917471 MZI917471 NJE917471 NTA917471 OCW917471 OMS917471 OWO917471 PGK917471 PQG917471 QAC917471 QJY917471 QTU917471 RDQ917471 RNM917471 RXI917471 SHE917471 SRA917471 TAW917471 TKS917471 TUO917471 UEK917471 UOG917471 UYC917471 VHY917471 VRU917471 WBQ917471 WLM917471 WVI917471 A983007 IW983007 SS983007 ACO983007 AMK983007 AWG983007 BGC983007 BPY983007 BZU983007 CJQ983007 CTM983007 DDI983007 DNE983007 DXA983007 EGW983007 EQS983007 FAO983007 FKK983007 FUG983007 GEC983007 GNY983007 GXU983007 HHQ983007 HRM983007 IBI983007 ILE983007 IVA983007 JEW983007 JOS983007 JYO983007 KIK983007 KSG983007 LCC983007 LLY983007 LVU983007 MFQ983007 MPM983007 MZI983007 NJE983007 NTA983007 OCW983007 OMS983007 OWO983007 PGK983007 PQG983007 QAC983007 QJY983007 QTU983007 RDQ983007 RNM983007 RXI983007 SHE983007 SRA983007 TAW983007 TKS983007 TUO983007 UEK983007 UOG983007 UYC983007 VHY983007 VRU983007 WBQ983007 WLM983007 WVI983007"/>
    <dataValidation allowBlank="1" showInputMessage="1" showErrorMessage="1" prompt="Descripción general del bie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03 IX65503 ST65503 ACP65503 AML65503 AWH65503 BGD65503 BPZ65503 BZV65503 CJR65503 CTN65503 DDJ65503 DNF65503 DXB65503 EGX65503 EQT65503 FAP65503 FKL65503 FUH65503 GED65503 GNZ65503 GXV65503 HHR65503 HRN65503 IBJ65503 ILF65503 IVB65503 JEX65503 JOT65503 JYP65503 KIL65503 KSH65503 LCD65503 LLZ65503 LVV65503 MFR65503 MPN65503 MZJ65503 NJF65503 NTB65503 OCX65503 OMT65503 OWP65503 PGL65503 PQH65503 QAD65503 QJZ65503 QTV65503 RDR65503 RNN65503 RXJ65503 SHF65503 SRB65503 TAX65503 TKT65503 TUP65503 UEL65503 UOH65503 UYD65503 VHZ65503 VRV65503 WBR65503 WLN65503 WVJ65503 B131039 IX131039 ST131039 ACP131039 AML131039 AWH131039 BGD131039 BPZ131039 BZV131039 CJR131039 CTN131039 DDJ131039 DNF131039 DXB131039 EGX131039 EQT131039 FAP131039 FKL131039 FUH131039 GED131039 GNZ131039 GXV131039 HHR131039 HRN131039 IBJ131039 ILF131039 IVB131039 JEX131039 JOT131039 JYP131039 KIL131039 KSH131039 LCD131039 LLZ131039 LVV131039 MFR131039 MPN131039 MZJ131039 NJF131039 NTB131039 OCX131039 OMT131039 OWP131039 PGL131039 PQH131039 QAD131039 QJZ131039 QTV131039 RDR131039 RNN131039 RXJ131039 SHF131039 SRB131039 TAX131039 TKT131039 TUP131039 UEL131039 UOH131039 UYD131039 VHZ131039 VRV131039 WBR131039 WLN131039 WVJ131039 B196575 IX196575 ST196575 ACP196575 AML196575 AWH196575 BGD196575 BPZ196575 BZV196575 CJR196575 CTN196575 DDJ196575 DNF196575 DXB196575 EGX196575 EQT196575 FAP196575 FKL196575 FUH196575 GED196575 GNZ196575 GXV196575 HHR196575 HRN196575 IBJ196575 ILF196575 IVB196575 JEX196575 JOT196575 JYP196575 KIL196575 KSH196575 LCD196575 LLZ196575 LVV196575 MFR196575 MPN196575 MZJ196575 NJF196575 NTB196575 OCX196575 OMT196575 OWP196575 PGL196575 PQH196575 QAD196575 QJZ196575 QTV196575 RDR196575 RNN196575 RXJ196575 SHF196575 SRB196575 TAX196575 TKT196575 TUP196575 UEL196575 UOH196575 UYD196575 VHZ196575 VRV196575 WBR196575 WLN196575 WVJ196575 B262111 IX262111 ST262111 ACP262111 AML262111 AWH262111 BGD262111 BPZ262111 BZV262111 CJR262111 CTN262111 DDJ262111 DNF262111 DXB262111 EGX262111 EQT262111 FAP262111 FKL262111 FUH262111 GED262111 GNZ262111 GXV262111 HHR262111 HRN262111 IBJ262111 ILF262111 IVB262111 JEX262111 JOT262111 JYP262111 KIL262111 KSH262111 LCD262111 LLZ262111 LVV262111 MFR262111 MPN262111 MZJ262111 NJF262111 NTB262111 OCX262111 OMT262111 OWP262111 PGL262111 PQH262111 QAD262111 QJZ262111 QTV262111 RDR262111 RNN262111 RXJ262111 SHF262111 SRB262111 TAX262111 TKT262111 TUP262111 UEL262111 UOH262111 UYD262111 VHZ262111 VRV262111 WBR262111 WLN262111 WVJ262111 B327647 IX327647 ST327647 ACP327647 AML327647 AWH327647 BGD327647 BPZ327647 BZV327647 CJR327647 CTN327647 DDJ327647 DNF327647 DXB327647 EGX327647 EQT327647 FAP327647 FKL327647 FUH327647 GED327647 GNZ327647 GXV327647 HHR327647 HRN327647 IBJ327647 ILF327647 IVB327647 JEX327647 JOT327647 JYP327647 KIL327647 KSH327647 LCD327647 LLZ327647 LVV327647 MFR327647 MPN327647 MZJ327647 NJF327647 NTB327647 OCX327647 OMT327647 OWP327647 PGL327647 PQH327647 QAD327647 QJZ327647 QTV327647 RDR327647 RNN327647 RXJ327647 SHF327647 SRB327647 TAX327647 TKT327647 TUP327647 UEL327647 UOH327647 UYD327647 VHZ327647 VRV327647 WBR327647 WLN327647 WVJ327647 B393183 IX393183 ST393183 ACP393183 AML393183 AWH393183 BGD393183 BPZ393183 BZV393183 CJR393183 CTN393183 DDJ393183 DNF393183 DXB393183 EGX393183 EQT393183 FAP393183 FKL393183 FUH393183 GED393183 GNZ393183 GXV393183 HHR393183 HRN393183 IBJ393183 ILF393183 IVB393183 JEX393183 JOT393183 JYP393183 KIL393183 KSH393183 LCD393183 LLZ393183 LVV393183 MFR393183 MPN393183 MZJ393183 NJF393183 NTB393183 OCX393183 OMT393183 OWP393183 PGL393183 PQH393183 QAD393183 QJZ393183 QTV393183 RDR393183 RNN393183 RXJ393183 SHF393183 SRB393183 TAX393183 TKT393183 TUP393183 UEL393183 UOH393183 UYD393183 VHZ393183 VRV393183 WBR393183 WLN393183 WVJ393183 B458719 IX458719 ST458719 ACP458719 AML458719 AWH458719 BGD458719 BPZ458719 BZV458719 CJR458719 CTN458719 DDJ458719 DNF458719 DXB458719 EGX458719 EQT458719 FAP458719 FKL458719 FUH458719 GED458719 GNZ458719 GXV458719 HHR458719 HRN458719 IBJ458719 ILF458719 IVB458719 JEX458719 JOT458719 JYP458719 KIL458719 KSH458719 LCD458719 LLZ458719 LVV458719 MFR458719 MPN458719 MZJ458719 NJF458719 NTB458719 OCX458719 OMT458719 OWP458719 PGL458719 PQH458719 QAD458719 QJZ458719 QTV458719 RDR458719 RNN458719 RXJ458719 SHF458719 SRB458719 TAX458719 TKT458719 TUP458719 UEL458719 UOH458719 UYD458719 VHZ458719 VRV458719 WBR458719 WLN458719 WVJ458719 B524255 IX524255 ST524255 ACP524255 AML524255 AWH524255 BGD524255 BPZ524255 BZV524255 CJR524255 CTN524255 DDJ524255 DNF524255 DXB524255 EGX524255 EQT524255 FAP524255 FKL524255 FUH524255 GED524255 GNZ524255 GXV524255 HHR524255 HRN524255 IBJ524255 ILF524255 IVB524255 JEX524255 JOT524255 JYP524255 KIL524255 KSH524255 LCD524255 LLZ524255 LVV524255 MFR524255 MPN524255 MZJ524255 NJF524255 NTB524255 OCX524255 OMT524255 OWP524255 PGL524255 PQH524255 QAD524255 QJZ524255 QTV524255 RDR524255 RNN524255 RXJ524255 SHF524255 SRB524255 TAX524255 TKT524255 TUP524255 UEL524255 UOH524255 UYD524255 VHZ524255 VRV524255 WBR524255 WLN524255 WVJ524255 B589791 IX589791 ST589791 ACP589791 AML589791 AWH589791 BGD589791 BPZ589791 BZV589791 CJR589791 CTN589791 DDJ589791 DNF589791 DXB589791 EGX589791 EQT589791 FAP589791 FKL589791 FUH589791 GED589791 GNZ589791 GXV589791 HHR589791 HRN589791 IBJ589791 ILF589791 IVB589791 JEX589791 JOT589791 JYP589791 KIL589791 KSH589791 LCD589791 LLZ589791 LVV589791 MFR589791 MPN589791 MZJ589791 NJF589791 NTB589791 OCX589791 OMT589791 OWP589791 PGL589791 PQH589791 QAD589791 QJZ589791 QTV589791 RDR589791 RNN589791 RXJ589791 SHF589791 SRB589791 TAX589791 TKT589791 TUP589791 UEL589791 UOH589791 UYD589791 VHZ589791 VRV589791 WBR589791 WLN589791 WVJ589791 B655327 IX655327 ST655327 ACP655327 AML655327 AWH655327 BGD655327 BPZ655327 BZV655327 CJR655327 CTN655327 DDJ655327 DNF655327 DXB655327 EGX655327 EQT655327 FAP655327 FKL655327 FUH655327 GED655327 GNZ655327 GXV655327 HHR655327 HRN655327 IBJ655327 ILF655327 IVB655327 JEX655327 JOT655327 JYP655327 KIL655327 KSH655327 LCD655327 LLZ655327 LVV655327 MFR655327 MPN655327 MZJ655327 NJF655327 NTB655327 OCX655327 OMT655327 OWP655327 PGL655327 PQH655327 QAD655327 QJZ655327 QTV655327 RDR655327 RNN655327 RXJ655327 SHF655327 SRB655327 TAX655327 TKT655327 TUP655327 UEL655327 UOH655327 UYD655327 VHZ655327 VRV655327 WBR655327 WLN655327 WVJ655327 B720863 IX720863 ST720863 ACP720863 AML720863 AWH720863 BGD720863 BPZ720863 BZV720863 CJR720863 CTN720863 DDJ720863 DNF720863 DXB720863 EGX720863 EQT720863 FAP720863 FKL720863 FUH720863 GED720863 GNZ720863 GXV720863 HHR720863 HRN720863 IBJ720863 ILF720863 IVB720863 JEX720863 JOT720863 JYP720863 KIL720863 KSH720863 LCD720863 LLZ720863 LVV720863 MFR720863 MPN720863 MZJ720863 NJF720863 NTB720863 OCX720863 OMT720863 OWP720863 PGL720863 PQH720863 QAD720863 QJZ720863 QTV720863 RDR720863 RNN720863 RXJ720863 SHF720863 SRB720863 TAX720863 TKT720863 TUP720863 UEL720863 UOH720863 UYD720863 VHZ720863 VRV720863 WBR720863 WLN720863 WVJ720863 B786399 IX786399 ST786399 ACP786399 AML786399 AWH786399 BGD786399 BPZ786399 BZV786399 CJR786399 CTN786399 DDJ786399 DNF786399 DXB786399 EGX786399 EQT786399 FAP786399 FKL786399 FUH786399 GED786399 GNZ786399 GXV786399 HHR786399 HRN786399 IBJ786399 ILF786399 IVB786399 JEX786399 JOT786399 JYP786399 KIL786399 KSH786399 LCD786399 LLZ786399 LVV786399 MFR786399 MPN786399 MZJ786399 NJF786399 NTB786399 OCX786399 OMT786399 OWP786399 PGL786399 PQH786399 QAD786399 QJZ786399 QTV786399 RDR786399 RNN786399 RXJ786399 SHF786399 SRB786399 TAX786399 TKT786399 TUP786399 UEL786399 UOH786399 UYD786399 VHZ786399 VRV786399 WBR786399 WLN786399 WVJ786399 B851935 IX851935 ST851935 ACP851935 AML851935 AWH851935 BGD851935 BPZ851935 BZV851935 CJR851935 CTN851935 DDJ851935 DNF851935 DXB851935 EGX851935 EQT851935 FAP851935 FKL851935 FUH851935 GED851935 GNZ851935 GXV851935 HHR851935 HRN851935 IBJ851935 ILF851935 IVB851935 JEX851935 JOT851935 JYP851935 KIL851935 KSH851935 LCD851935 LLZ851935 LVV851935 MFR851935 MPN851935 MZJ851935 NJF851935 NTB851935 OCX851935 OMT851935 OWP851935 PGL851935 PQH851935 QAD851935 QJZ851935 QTV851935 RDR851935 RNN851935 RXJ851935 SHF851935 SRB851935 TAX851935 TKT851935 TUP851935 UEL851935 UOH851935 UYD851935 VHZ851935 VRV851935 WBR851935 WLN851935 WVJ851935 B917471 IX917471 ST917471 ACP917471 AML917471 AWH917471 BGD917471 BPZ917471 BZV917471 CJR917471 CTN917471 DDJ917471 DNF917471 DXB917471 EGX917471 EQT917471 FAP917471 FKL917471 FUH917471 GED917471 GNZ917471 GXV917471 HHR917471 HRN917471 IBJ917471 ILF917471 IVB917471 JEX917471 JOT917471 JYP917471 KIL917471 KSH917471 LCD917471 LLZ917471 LVV917471 MFR917471 MPN917471 MZJ917471 NJF917471 NTB917471 OCX917471 OMT917471 OWP917471 PGL917471 PQH917471 QAD917471 QJZ917471 QTV917471 RDR917471 RNN917471 RXJ917471 SHF917471 SRB917471 TAX917471 TKT917471 TUP917471 UEL917471 UOH917471 UYD917471 VHZ917471 VRV917471 WBR917471 WLN917471 WVJ917471 B983007 IX983007 ST983007 ACP983007 AML983007 AWH983007 BGD983007 BPZ983007 BZV983007 CJR983007 CTN983007 DDJ983007 DNF983007 DXB983007 EGX983007 EQT983007 FAP983007 FKL983007 FUH983007 GED983007 GNZ983007 GXV983007 HHR983007 HRN983007 IBJ983007 ILF983007 IVB983007 JEX983007 JOT983007 JYP983007 KIL983007 KSH983007 LCD983007 LLZ983007 LVV983007 MFR983007 MPN983007 MZJ983007 NJF983007 NTB983007 OCX983007 OMT983007 OWP983007 PGL983007 PQH983007 QAD983007 QJZ983007 QTV983007 RDR983007 RNN983007 RXJ983007 SHF983007 SRB983007 TAX983007 TKT983007 TUP983007 UEL983007 UOH983007 UYD983007 VHZ983007 VRV983007 WBR983007 WLN983007 WVJ983007"/>
    <dataValidation allowBlank="1" showInputMessage="1" showErrorMessage="1" prompt="Indicar si son muebles o inmueble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03 IY65503 SU65503 ACQ65503 AMM65503 AWI65503 BGE65503 BQA65503 BZW65503 CJS65503 CTO65503 DDK65503 DNG65503 DXC65503 EGY65503 EQU65503 FAQ65503 FKM65503 FUI65503 GEE65503 GOA65503 GXW65503 HHS65503 HRO65503 IBK65503 ILG65503 IVC65503 JEY65503 JOU65503 JYQ65503 KIM65503 KSI65503 LCE65503 LMA65503 LVW65503 MFS65503 MPO65503 MZK65503 NJG65503 NTC65503 OCY65503 OMU65503 OWQ65503 PGM65503 PQI65503 QAE65503 QKA65503 QTW65503 RDS65503 RNO65503 RXK65503 SHG65503 SRC65503 TAY65503 TKU65503 TUQ65503 UEM65503 UOI65503 UYE65503 VIA65503 VRW65503 WBS65503 WLO65503 WVK65503 C131039 IY131039 SU131039 ACQ131039 AMM131039 AWI131039 BGE131039 BQA131039 BZW131039 CJS131039 CTO131039 DDK131039 DNG131039 DXC131039 EGY131039 EQU131039 FAQ131039 FKM131039 FUI131039 GEE131039 GOA131039 GXW131039 HHS131039 HRO131039 IBK131039 ILG131039 IVC131039 JEY131039 JOU131039 JYQ131039 KIM131039 KSI131039 LCE131039 LMA131039 LVW131039 MFS131039 MPO131039 MZK131039 NJG131039 NTC131039 OCY131039 OMU131039 OWQ131039 PGM131039 PQI131039 QAE131039 QKA131039 QTW131039 RDS131039 RNO131039 RXK131039 SHG131039 SRC131039 TAY131039 TKU131039 TUQ131039 UEM131039 UOI131039 UYE131039 VIA131039 VRW131039 WBS131039 WLO131039 WVK131039 C196575 IY196575 SU196575 ACQ196575 AMM196575 AWI196575 BGE196575 BQA196575 BZW196575 CJS196575 CTO196575 DDK196575 DNG196575 DXC196575 EGY196575 EQU196575 FAQ196575 FKM196575 FUI196575 GEE196575 GOA196575 GXW196575 HHS196575 HRO196575 IBK196575 ILG196575 IVC196575 JEY196575 JOU196575 JYQ196575 KIM196575 KSI196575 LCE196575 LMA196575 LVW196575 MFS196575 MPO196575 MZK196575 NJG196575 NTC196575 OCY196575 OMU196575 OWQ196575 PGM196575 PQI196575 QAE196575 QKA196575 QTW196575 RDS196575 RNO196575 RXK196575 SHG196575 SRC196575 TAY196575 TKU196575 TUQ196575 UEM196575 UOI196575 UYE196575 VIA196575 VRW196575 WBS196575 WLO196575 WVK196575 C262111 IY262111 SU262111 ACQ262111 AMM262111 AWI262111 BGE262111 BQA262111 BZW262111 CJS262111 CTO262111 DDK262111 DNG262111 DXC262111 EGY262111 EQU262111 FAQ262111 FKM262111 FUI262111 GEE262111 GOA262111 GXW262111 HHS262111 HRO262111 IBK262111 ILG262111 IVC262111 JEY262111 JOU262111 JYQ262111 KIM262111 KSI262111 LCE262111 LMA262111 LVW262111 MFS262111 MPO262111 MZK262111 NJG262111 NTC262111 OCY262111 OMU262111 OWQ262111 PGM262111 PQI262111 QAE262111 QKA262111 QTW262111 RDS262111 RNO262111 RXK262111 SHG262111 SRC262111 TAY262111 TKU262111 TUQ262111 UEM262111 UOI262111 UYE262111 VIA262111 VRW262111 WBS262111 WLO262111 WVK262111 C327647 IY327647 SU327647 ACQ327647 AMM327647 AWI327647 BGE327647 BQA327647 BZW327647 CJS327647 CTO327647 DDK327647 DNG327647 DXC327647 EGY327647 EQU327647 FAQ327647 FKM327647 FUI327647 GEE327647 GOA327647 GXW327647 HHS327647 HRO327647 IBK327647 ILG327647 IVC327647 JEY327647 JOU327647 JYQ327647 KIM327647 KSI327647 LCE327647 LMA327647 LVW327647 MFS327647 MPO327647 MZK327647 NJG327647 NTC327647 OCY327647 OMU327647 OWQ327647 PGM327647 PQI327647 QAE327647 QKA327647 QTW327647 RDS327647 RNO327647 RXK327647 SHG327647 SRC327647 TAY327647 TKU327647 TUQ327647 UEM327647 UOI327647 UYE327647 VIA327647 VRW327647 WBS327647 WLO327647 WVK327647 C393183 IY393183 SU393183 ACQ393183 AMM393183 AWI393183 BGE393183 BQA393183 BZW393183 CJS393183 CTO393183 DDK393183 DNG393183 DXC393183 EGY393183 EQU393183 FAQ393183 FKM393183 FUI393183 GEE393183 GOA393183 GXW393183 HHS393183 HRO393183 IBK393183 ILG393183 IVC393183 JEY393183 JOU393183 JYQ393183 KIM393183 KSI393183 LCE393183 LMA393183 LVW393183 MFS393183 MPO393183 MZK393183 NJG393183 NTC393183 OCY393183 OMU393183 OWQ393183 PGM393183 PQI393183 QAE393183 QKA393183 QTW393183 RDS393183 RNO393183 RXK393183 SHG393183 SRC393183 TAY393183 TKU393183 TUQ393183 UEM393183 UOI393183 UYE393183 VIA393183 VRW393183 WBS393183 WLO393183 WVK393183 C458719 IY458719 SU458719 ACQ458719 AMM458719 AWI458719 BGE458719 BQA458719 BZW458719 CJS458719 CTO458719 DDK458719 DNG458719 DXC458719 EGY458719 EQU458719 FAQ458719 FKM458719 FUI458719 GEE458719 GOA458719 GXW458719 HHS458719 HRO458719 IBK458719 ILG458719 IVC458719 JEY458719 JOU458719 JYQ458719 KIM458719 KSI458719 LCE458719 LMA458719 LVW458719 MFS458719 MPO458719 MZK458719 NJG458719 NTC458719 OCY458719 OMU458719 OWQ458719 PGM458719 PQI458719 QAE458719 QKA458719 QTW458719 RDS458719 RNO458719 RXK458719 SHG458719 SRC458719 TAY458719 TKU458719 TUQ458719 UEM458719 UOI458719 UYE458719 VIA458719 VRW458719 WBS458719 WLO458719 WVK458719 C524255 IY524255 SU524255 ACQ524255 AMM524255 AWI524255 BGE524255 BQA524255 BZW524255 CJS524255 CTO524255 DDK524255 DNG524255 DXC524255 EGY524255 EQU524255 FAQ524255 FKM524255 FUI524255 GEE524255 GOA524255 GXW524255 HHS524255 HRO524255 IBK524255 ILG524255 IVC524255 JEY524255 JOU524255 JYQ524255 KIM524255 KSI524255 LCE524255 LMA524255 LVW524255 MFS524255 MPO524255 MZK524255 NJG524255 NTC524255 OCY524255 OMU524255 OWQ524255 PGM524255 PQI524255 QAE524255 QKA524255 QTW524255 RDS524255 RNO524255 RXK524255 SHG524255 SRC524255 TAY524255 TKU524255 TUQ524255 UEM524255 UOI524255 UYE524255 VIA524255 VRW524255 WBS524255 WLO524255 WVK524255 C589791 IY589791 SU589791 ACQ589791 AMM589791 AWI589791 BGE589791 BQA589791 BZW589791 CJS589791 CTO589791 DDK589791 DNG589791 DXC589791 EGY589791 EQU589791 FAQ589791 FKM589791 FUI589791 GEE589791 GOA589791 GXW589791 HHS589791 HRO589791 IBK589791 ILG589791 IVC589791 JEY589791 JOU589791 JYQ589791 KIM589791 KSI589791 LCE589791 LMA589791 LVW589791 MFS589791 MPO589791 MZK589791 NJG589791 NTC589791 OCY589791 OMU589791 OWQ589791 PGM589791 PQI589791 QAE589791 QKA589791 QTW589791 RDS589791 RNO589791 RXK589791 SHG589791 SRC589791 TAY589791 TKU589791 TUQ589791 UEM589791 UOI589791 UYE589791 VIA589791 VRW589791 WBS589791 WLO589791 WVK589791 C655327 IY655327 SU655327 ACQ655327 AMM655327 AWI655327 BGE655327 BQA655327 BZW655327 CJS655327 CTO655327 DDK655327 DNG655327 DXC655327 EGY655327 EQU655327 FAQ655327 FKM655327 FUI655327 GEE655327 GOA655327 GXW655327 HHS655327 HRO655327 IBK655327 ILG655327 IVC655327 JEY655327 JOU655327 JYQ655327 KIM655327 KSI655327 LCE655327 LMA655327 LVW655327 MFS655327 MPO655327 MZK655327 NJG655327 NTC655327 OCY655327 OMU655327 OWQ655327 PGM655327 PQI655327 QAE655327 QKA655327 QTW655327 RDS655327 RNO655327 RXK655327 SHG655327 SRC655327 TAY655327 TKU655327 TUQ655327 UEM655327 UOI655327 UYE655327 VIA655327 VRW655327 WBS655327 WLO655327 WVK655327 C720863 IY720863 SU720863 ACQ720863 AMM720863 AWI720863 BGE720863 BQA720863 BZW720863 CJS720863 CTO720863 DDK720863 DNG720863 DXC720863 EGY720863 EQU720863 FAQ720863 FKM720863 FUI720863 GEE720863 GOA720863 GXW720863 HHS720863 HRO720863 IBK720863 ILG720863 IVC720863 JEY720863 JOU720863 JYQ720863 KIM720863 KSI720863 LCE720863 LMA720863 LVW720863 MFS720863 MPO720863 MZK720863 NJG720863 NTC720863 OCY720863 OMU720863 OWQ720863 PGM720863 PQI720863 QAE720863 QKA720863 QTW720863 RDS720863 RNO720863 RXK720863 SHG720863 SRC720863 TAY720863 TKU720863 TUQ720863 UEM720863 UOI720863 UYE720863 VIA720863 VRW720863 WBS720863 WLO720863 WVK720863 C786399 IY786399 SU786399 ACQ786399 AMM786399 AWI786399 BGE786399 BQA786399 BZW786399 CJS786399 CTO786399 DDK786399 DNG786399 DXC786399 EGY786399 EQU786399 FAQ786399 FKM786399 FUI786399 GEE786399 GOA786399 GXW786399 HHS786399 HRO786399 IBK786399 ILG786399 IVC786399 JEY786399 JOU786399 JYQ786399 KIM786399 KSI786399 LCE786399 LMA786399 LVW786399 MFS786399 MPO786399 MZK786399 NJG786399 NTC786399 OCY786399 OMU786399 OWQ786399 PGM786399 PQI786399 QAE786399 QKA786399 QTW786399 RDS786399 RNO786399 RXK786399 SHG786399 SRC786399 TAY786399 TKU786399 TUQ786399 UEM786399 UOI786399 UYE786399 VIA786399 VRW786399 WBS786399 WLO786399 WVK786399 C851935 IY851935 SU851935 ACQ851935 AMM851935 AWI851935 BGE851935 BQA851935 BZW851935 CJS851935 CTO851935 DDK851935 DNG851935 DXC851935 EGY851935 EQU851935 FAQ851935 FKM851935 FUI851935 GEE851935 GOA851935 GXW851935 HHS851935 HRO851935 IBK851935 ILG851935 IVC851935 JEY851935 JOU851935 JYQ851935 KIM851935 KSI851935 LCE851935 LMA851935 LVW851935 MFS851935 MPO851935 MZK851935 NJG851935 NTC851935 OCY851935 OMU851935 OWQ851935 PGM851935 PQI851935 QAE851935 QKA851935 QTW851935 RDS851935 RNO851935 RXK851935 SHG851935 SRC851935 TAY851935 TKU851935 TUQ851935 UEM851935 UOI851935 UYE851935 VIA851935 VRW851935 WBS851935 WLO851935 WVK851935 C917471 IY917471 SU917471 ACQ917471 AMM917471 AWI917471 BGE917471 BQA917471 BZW917471 CJS917471 CTO917471 DDK917471 DNG917471 DXC917471 EGY917471 EQU917471 FAQ917471 FKM917471 FUI917471 GEE917471 GOA917471 GXW917471 HHS917471 HRO917471 IBK917471 ILG917471 IVC917471 JEY917471 JOU917471 JYQ917471 KIM917471 KSI917471 LCE917471 LMA917471 LVW917471 MFS917471 MPO917471 MZK917471 NJG917471 NTC917471 OCY917471 OMU917471 OWQ917471 PGM917471 PQI917471 QAE917471 QKA917471 QTW917471 RDS917471 RNO917471 RXK917471 SHG917471 SRC917471 TAY917471 TKU917471 TUQ917471 UEM917471 UOI917471 UYE917471 VIA917471 VRW917471 WBS917471 WLO917471 WVK917471 C983007 IY983007 SU983007 ACQ983007 AMM983007 AWI983007 BGE983007 BQA983007 BZW983007 CJS983007 CTO983007 DDK983007 DNG983007 DXC983007 EGY983007 EQU983007 FAQ983007 FKM983007 FUI983007 GEE983007 GOA983007 GXW983007 HHS983007 HRO983007 IBK983007 ILG983007 IVC983007 JEY983007 JOU983007 JYQ983007 KIM983007 KSI983007 LCE983007 LMA983007 LVW983007 MFS983007 MPO983007 MZK983007 NJG983007 NTC983007 OCY983007 OMU983007 OWQ983007 PGM983007 PQI983007 QAE983007 QKA983007 QTW983007 RDS983007 RNO983007 RXK983007 SHG983007 SRC983007 TAY983007 TKU983007 TUQ983007 UEM983007 UOI983007 UYE983007 VIA983007 VRW983007 WBS983007 WLO983007 WVK983007"/>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election sqref="A1:C2"/>
    </sheetView>
  </sheetViews>
  <sheetFormatPr baseColWidth="10" defaultColWidth="9.28515625" defaultRowHeight="11.25"/>
  <cols>
    <col min="1" max="1" width="10.7109375" style="4" customWidth="1"/>
    <col min="2" max="2" width="62.85546875" style="4" customWidth="1"/>
    <col min="3" max="3" width="16.28515625" style="4" customWidth="1"/>
    <col min="4" max="256" width="9.28515625" style="4"/>
    <col min="257" max="257" width="10.7109375" style="4" customWidth="1"/>
    <col min="258" max="258" width="62.85546875" style="4" customWidth="1"/>
    <col min="259" max="259" width="16.28515625" style="4" customWidth="1"/>
    <col min="260" max="512" width="9.28515625" style="4"/>
    <col min="513" max="513" width="10.7109375" style="4" customWidth="1"/>
    <col min="514" max="514" width="62.85546875" style="4" customWidth="1"/>
    <col min="515" max="515" width="16.28515625" style="4" customWidth="1"/>
    <col min="516" max="768" width="9.28515625" style="4"/>
    <col min="769" max="769" width="10.7109375" style="4" customWidth="1"/>
    <col min="770" max="770" width="62.85546875" style="4" customWidth="1"/>
    <col min="771" max="771" width="16.28515625" style="4" customWidth="1"/>
    <col min="772" max="1024" width="9.28515625" style="4"/>
    <col min="1025" max="1025" width="10.7109375" style="4" customWidth="1"/>
    <col min="1026" max="1026" width="62.85546875" style="4" customWidth="1"/>
    <col min="1027" max="1027" width="16.28515625" style="4" customWidth="1"/>
    <col min="1028" max="1280" width="9.28515625" style="4"/>
    <col min="1281" max="1281" width="10.7109375" style="4" customWidth="1"/>
    <col min="1282" max="1282" width="62.85546875" style="4" customWidth="1"/>
    <col min="1283" max="1283" width="16.28515625" style="4" customWidth="1"/>
    <col min="1284" max="1536" width="9.28515625" style="4"/>
    <col min="1537" max="1537" width="10.7109375" style="4" customWidth="1"/>
    <col min="1538" max="1538" width="62.85546875" style="4" customWidth="1"/>
    <col min="1539" max="1539" width="16.28515625" style="4" customWidth="1"/>
    <col min="1540" max="1792" width="9.28515625" style="4"/>
    <col min="1793" max="1793" width="10.7109375" style="4" customWidth="1"/>
    <col min="1794" max="1794" width="62.85546875" style="4" customWidth="1"/>
    <col min="1795" max="1795" width="16.28515625" style="4" customWidth="1"/>
    <col min="1796" max="2048" width="9.28515625" style="4"/>
    <col min="2049" max="2049" width="10.7109375" style="4" customWidth="1"/>
    <col min="2050" max="2050" width="62.85546875" style="4" customWidth="1"/>
    <col min="2051" max="2051" width="16.28515625" style="4" customWidth="1"/>
    <col min="2052" max="2304" width="9.28515625" style="4"/>
    <col min="2305" max="2305" width="10.7109375" style="4" customWidth="1"/>
    <col min="2306" max="2306" width="62.85546875" style="4" customWidth="1"/>
    <col min="2307" max="2307" width="16.28515625" style="4" customWidth="1"/>
    <col min="2308" max="2560" width="9.28515625" style="4"/>
    <col min="2561" max="2561" width="10.7109375" style="4" customWidth="1"/>
    <col min="2562" max="2562" width="62.85546875" style="4" customWidth="1"/>
    <col min="2563" max="2563" width="16.28515625" style="4" customWidth="1"/>
    <col min="2564" max="2816" width="9.28515625" style="4"/>
    <col min="2817" max="2817" width="10.7109375" style="4" customWidth="1"/>
    <col min="2818" max="2818" width="62.85546875" style="4" customWidth="1"/>
    <col min="2819" max="2819" width="16.28515625" style="4" customWidth="1"/>
    <col min="2820" max="3072" width="9.28515625" style="4"/>
    <col min="3073" max="3073" width="10.7109375" style="4" customWidth="1"/>
    <col min="3074" max="3074" width="62.85546875" style="4" customWidth="1"/>
    <col min="3075" max="3075" width="16.28515625" style="4" customWidth="1"/>
    <col min="3076" max="3328" width="9.28515625" style="4"/>
    <col min="3329" max="3329" width="10.7109375" style="4" customWidth="1"/>
    <col min="3330" max="3330" width="62.85546875" style="4" customWidth="1"/>
    <col min="3331" max="3331" width="16.28515625" style="4" customWidth="1"/>
    <col min="3332" max="3584" width="9.28515625" style="4"/>
    <col min="3585" max="3585" width="10.7109375" style="4" customWidth="1"/>
    <col min="3586" max="3586" width="62.85546875" style="4" customWidth="1"/>
    <col min="3587" max="3587" width="16.28515625" style="4" customWidth="1"/>
    <col min="3588" max="3840" width="9.28515625" style="4"/>
    <col min="3841" max="3841" width="10.7109375" style="4" customWidth="1"/>
    <col min="3842" max="3842" width="62.85546875" style="4" customWidth="1"/>
    <col min="3843" max="3843" width="16.28515625" style="4" customWidth="1"/>
    <col min="3844" max="4096" width="9.28515625" style="4"/>
    <col min="4097" max="4097" width="10.7109375" style="4" customWidth="1"/>
    <col min="4098" max="4098" width="62.85546875" style="4" customWidth="1"/>
    <col min="4099" max="4099" width="16.28515625" style="4" customWidth="1"/>
    <col min="4100" max="4352" width="9.28515625" style="4"/>
    <col min="4353" max="4353" width="10.7109375" style="4" customWidth="1"/>
    <col min="4354" max="4354" width="62.85546875" style="4" customWidth="1"/>
    <col min="4355" max="4355" width="16.28515625" style="4" customWidth="1"/>
    <col min="4356" max="4608" width="9.28515625" style="4"/>
    <col min="4609" max="4609" width="10.7109375" style="4" customWidth="1"/>
    <col min="4610" max="4610" width="62.85546875" style="4" customWidth="1"/>
    <col min="4611" max="4611" width="16.28515625" style="4" customWidth="1"/>
    <col min="4612" max="4864" width="9.28515625" style="4"/>
    <col min="4865" max="4865" width="10.7109375" style="4" customWidth="1"/>
    <col min="4866" max="4866" width="62.85546875" style="4" customWidth="1"/>
    <col min="4867" max="4867" width="16.28515625" style="4" customWidth="1"/>
    <col min="4868" max="5120" width="9.28515625" style="4"/>
    <col min="5121" max="5121" width="10.7109375" style="4" customWidth="1"/>
    <col min="5122" max="5122" width="62.85546875" style="4" customWidth="1"/>
    <col min="5123" max="5123" width="16.28515625" style="4" customWidth="1"/>
    <col min="5124" max="5376" width="9.28515625" style="4"/>
    <col min="5377" max="5377" width="10.7109375" style="4" customWidth="1"/>
    <col min="5378" max="5378" width="62.85546875" style="4" customWidth="1"/>
    <col min="5379" max="5379" width="16.28515625" style="4" customWidth="1"/>
    <col min="5380" max="5632" width="9.28515625" style="4"/>
    <col min="5633" max="5633" width="10.7109375" style="4" customWidth="1"/>
    <col min="5634" max="5634" width="62.85546875" style="4" customWidth="1"/>
    <col min="5635" max="5635" width="16.28515625" style="4" customWidth="1"/>
    <col min="5636" max="5888" width="9.28515625" style="4"/>
    <col min="5889" max="5889" width="10.7109375" style="4" customWidth="1"/>
    <col min="5890" max="5890" width="62.85546875" style="4" customWidth="1"/>
    <col min="5891" max="5891" width="16.28515625" style="4" customWidth="1"/>
    <col min="5892" max="6144" width="9.28515625" style="4"/>
    <col min="6145" max="6145" width="10.7109375" style="4" customWidth="1"/>
    <col min="6146" max="6146" width="62.85546875" style="4" customWidth="1"/>
    <col min="6147" max="6147" width="16.28515625" style="4" customWidth="1"/>
    <col min="6148" max="6400" width="9.28515625" style="4"/>
    <col min="6401" max="6401" width="10.7109375" style="4" customWidth="1"/>
    <col min="6402" max="6402" width="62.85546875" style="4" customWidth="1"/>
    <col min="6403" max="6403" width="16.28515625" style="4" customWidth="1"/>
    <col min="6404" max="6656" width="9.28515625" style="4"/>
    <col min="6657" max="6657" width="10.7109375" style="4" customWidth="1"/>
    <col min="6658" max="6658" width="62.85546875" style="4" customWidth="1"/>
    <col min="6659" max="6659" width="16.28515625" style="4" customWidth="1"/>
    <col min="6660" max="6912" width="9.28515625" style="4"/>
    <col min="6913" max="6913" width="10.7109375" style="4" customWidth="1"/>
    <col min="6914" max="6914" width="62.85546875" style="4" customWidth="1"/>
    <col min="6915" max="6915" width="16.28515625" style="4" customWidth="1"/>
    <col min="6916" max="7168" width="9.28515625" style="4"/>
    <col min="7169" max="7169" width="10.7109375" style="4" customWidth="1"/>
    <col min="7170" max="7170" width="62.85546875" style="4" customWidth="1"/>
    <col min="7171" max="7171" width="16.28515625" style="4" customWidth="1"/>
    <col min="7172" max="7424" width="9.28515625" style="4"/>
    <col min="7425" max="7425" width="10.7109375" style="4" customWidth="1"/>
    <col min="7426" max="7426" width="62.85546875" style="4" customWidth="1"/>
    <col min="7427" max="7427" width="16.28515625" style="4" customWidth="1"/>
    <col min="7428" max="7680" width="9.28515625" style="4"/>
    <col min="7681" max="7681" width="10.7109375" style="4" customWidth="1"/>
    <col min="7682" max="7682" width="62.85546875" style="4" customWidth="1"/>
    <col min="7683" max="7683" width="16.28515625" style="4" customWidth="1"/>
    <col min="7684" max="7936" width="9.28515625" style="4"/>
    <col min="7937" max="7937" width="10.7109375" style="4" customWidth="1"/>
    <col min="7938" max="7938" width="62.85546875" style="4" customWidth="1"/>
    <col min="7939" max="7939" width="16.28515625" style="4" customWidth="1"/>
    <col min="7940" max="8192" width="9.28515625" style="4"/>
    <col min="8193" max="8193" width="10.7109375" style="4" customWidth="1"/>
    <col min="8194" max="8194" width="62.85546875" style="4" customWidth="1"/>
    <col min="8195" max="8195" width="16.28515625" style="4" customWidth="1"/>
    <col min="8196" max="8448" width="9.28515625" style="4"/>
    <col min="8449" max="8449" width="10.7109375" style="4" customWidth="1"/>
    <col min="8450" max="8450" width="62.85546875" style="4" customWidth="1"/>
    <col min="8451" max="8451" width="16.28515625" style="4" customWidth="1"/>
    <col min="8452" max="8704" width="9.28515625" style="4"/>
    <col min="8705" max="8705" width="10.7109375" style="4" customWidth="1"/>
    <col min="8706" max="8706" width="62.85546875" style="4" customWidth="1"/>
    <col min="8707" max="8707" width="16.28515625" style="4" customWidth="1"/>
    <col min="8708" max="8960" width="9.28515625" style="4"/>
    <col min="8961" max="8961" width="10.7109375" style="4" customWidth="1"/>
    <col min="8962" max="8962" width="62.85546875" style="4" customWidth="1"/>
    <col min="8963" max="8963" width="16.28515625" style="4" customWidth="1"/>
    <col min="8964" max="9216" width="9.28515625" style="4"/>
    <col min="9217" max="9217" width="10.7109375" style="4" customWidth="1"/>
    <col min="9218" max="9218" width="62.85546875" style="4" customWidth="1"/>
    <col min="9219" max="9219" width="16.28515625" style="4" customWidth="1"/>
    <col min="9220" max="9472" width="9.28515625" style="4"/>
    <col min="9473" max="9473" width="10.7109375" style="4" customWidth="1"/>
    <col min="9474" max="9474" width="62.85546875" style="4" customWidth="1"/>
    <col min="9475" max="9475" width="16.28515625" style="4" customWidth="1"/>
    <col min="9476" max="9728" width="9.28515625" style="4"/>
    <col min="9729" max="9729" width="10.7109375" style="4" customWidth="1"/>
    <col min="9730" max="9730" width="62.85546875" style="4" customWidth="1"/>
    <col min="9731" max="9731" width="16.28515625" style="4" customWidth="1"/>
    <col min="9732" max="9984" width="9.28515625" style="4"/>
    <col min="9985" max="9985" width="10.7109375" style="4" customWidth="1"/>
    <col min="9986" max="9986" width="62.85546875" style="4" customWidth="1"/>
    <col min="9987" max="9987" width="16.28515625" style="4" customWidth="1"/>
    <col min="9988" max="10240" width="9.28515625" style="4"/>
    <col min="10241" max="10241" width="10.7109375" style="4" customWidth="1"/>
    <col min="10242" max="10242" width="62.85546875" style="4" customWidth="1"/>
    <col min="10243" max="10243" width="16.28515625" style="4" customWidth="1"/>
    <col min="10244" max="10496" width="9.28515625" style="4"/>
    <col min="10497" max="10497" width="10.7109375" style="4" customWidth="1"/>
    <col min="10498" max="10498" width="62.85546875" style="4" customWidth="1"/>
    <col min="10499" max="10499" width="16.28515625" style="4" customWidth="1"/>
    <col min="10500" max="10752" width="9.28515625" style="4"/>
    <col min="10753" max="10753" width="10.7109375" style="4" customWidth="1"/>
    <col min="10754" max="10754" width="62.85546875" style="4" customWidth="1"/>
    <col min="10755" max="10755" width="16.28515625" style="4" customWidth="1"/>
    <col min="10756" max="11008" width="9.28515625" style="4"/>
    <col min="11009" max="11009" width="10.7109375" style="4" customWidth="1"/>
    <col min="11010" max="11010" width="62.85546875" style="4" customWidth="1"/>
    <col min="11011" max="11011" width="16.28515625" style="4" customWidth="1"/>
    <col min="11012" max="11264" width="9.28515625" style="4"/>
    <col min="11265" max="11265" width="10.7109375" style="4" customWidth="1"/>
    <col min="11266" max="11266" width="62.85546875" style="4" customWidth="1"/>
    <col min="11267" max="11267" width="16.28515625" style="4" customWidth="1"/>
    <col min="11268" max="11520" width="9.28515625" style="4"/>
    <col min="11521" max="11521" width="10.7109375" style="4" customWidth="1"/>
    <col min="11522" max="11522" width="62.85546875" style="4" customWidth="1"/>
    <col min="11523" max="11523" width="16.28515625" style="4" customWidth="1"/>
    <col min="11524" max="11776" width="9.28515625" style="4"/>
    <col min="11777" max="11777" width="10.7109375" style="4" customWidth="1"/>
    <col min="11778" max="11778" width="62.85546875" style="4" customWidth="1"/>
    <col min="11779" max="11779" width="16.28515625" style="4" customWidth="1"/>
    <col min="11780" max="12032" width="9.28515625" style="4"/>
    <col min="12033" max="12033" width="10.7109375" style="4" customWidth="1"/>
    <col min="12034" max="12034" width="62.85546875" style="4" customWidth="1"/>
    <col min="12035" max="12035" width="16.28515625" style="4" customWidth="1"/>
    <col min="12036" max="12288" width="9.28515625" style="4"/>
    <col min="12289" max="12289" width="10.7109375" style="4" customWidth="1"/>
    <col min="12290" max="12290" width="62.85546875" style="4" customWidth="1"/>
    <col min="12291" max="12291" width="16.28515625" style="4" customWidth="1"/>
    <col min="12292" max="12544" width="9.28515625" style="4"/>
    <col min="12545" max="12545" width="10.7109375" style="4" customWidth="1"/>
    <col min="12546" max="12546" width="62.85546875" style="4" customWidth="1"/>
    <col min="12547" max="12547" width="16.28515625" style="4" customWidth="1"/>
    <col min="12548" max="12800" width="9.28515625" style="4"/>
    <col min="12801" max="12801" width="10.7109375" style="4" customWidth="1"/>
    <col min="12802" max="12802" width="62.85546875" style="4" customWidth="1"/>
    <col min="12803" max="12803" width="16.28515625" style="4" customWidth="1"/>
    <col min="12804" max="13056" width="9.28515625" style="4"/>
    <col min="13057" max="13057" width="10.7109375" style="4" customWidth="1"/>
    <col min="13058" max="13058" width="62.85546875" style="4" customWidth="1"/>
    <col min="13059" max="13059" width="16.28515625" style="4" customWidth="1"/>
    <col min="13060" max="13312" width="9.28515625" style="4"/>
    <col min="13313" max="13313" width="10.7109375" style="4" customWidth="1"/>
    <col min="13314" max="13314" width="62.85546875" style="4" customWidth="1"/>
    <col min="13315" max="13315" width="16.28515625" style="4" customWidth="1"/>
    <col min="13316" max="13568" width="9.28515625" style="4"/>
    <col min="13569" max="13569" width="10.7109375" style="4" customWidth="1"/>
    <col min="13570" max="13570" width="62.85546875" style="4" customWidth="1"/>
    <col min="13571" max="13571" width="16.28515625" style="4" customWidth="1"/>
    <col min="13572" max="13824" width="9.28515625" style="4"/>
    <col min="13825" max="13825" width="10.7109375" style="4" customWidth="1"/>
    <col min="13826" max="13826" width="62.85546875" style="4" customWidth="1"/>
    <col min="13827" max="13827" width="16.28515625" style="4" customWidth="1"/>
    <col min="13828" max="14080" width="9.28515625" style="4"/>
    <col min="14081" max="14081" width="10.7109375" style="4" customWidth="1"/>
    <col min="14082" max="14082" width="62.85546875" style="4" customWidth="1"/>
    <col min="14083" max="14083" width="16.28515625" style="4" customWidth="1"/>
    <col min="14084" max="14336" width="9.28515625" style="4"/>
    <col min="14337" max="14337" width="10.7109375" style="4" customWidth="1"/>
    <col min="14338" max="14338" width="62.85546875" style="4" customWidth="1"/>
    <col min="14339" max="14339" width="16.28515625" style="4" customWidth="1"/>
    <col min="14340" max="14592" width="9.28515625" style="4"/>
    <col min="14593" max="14593" width="10.7109375" style="4" customWidth="1"/>
    <col min="14594" max="14594" width="62.85546875" style="4" customWidth="1"/>
    <col min="14595" max="14595" width="16.28515625" style="4" customWidth="1"/>
    <col min="14596" max="14848" width="9.28515625" style="4"/>
    <col min="14849" max="14849" width="10.7109375" style="4" customWidth="1"/>
    <col min="14850" max="14850" width="62.85546875" style="4" customWidth="1"/>
    <col min="14851" max="14851" width="16.28515625" style="4" customWidth="1"/>
    <col min="14852" max="15104" width="9.28515625" style="4"/>
    <col min="15105" max="15105" width="10.7109375" style="4" customWidth="1"/>
    <col min="15106" max="15106" width="62.85546875" style="4" customWidth="1"/>
    <col min="15107" max="15107" width="16.28515625" style="4" customWidth="1"/>
    <col min="15108" max="15360" width="9.28515625" style="4"/>
    <col min="15361" max="15361" width="10.7109375" style="4" customWidth="1"/>
    <col min="15362" max="15362" width="62.85546875" style="4" customWidth="1"/>
    <col min="15363" max="15363" width="16.28515625" style="4" customWidth="1"/>
    <col min="15364" max="15616" width="9.28515625" style="4"/>
    <col min="15617" max="15617" width="10.7109375" style="4" customWidth="1"/>
    <col min="15618" max="15618" width="62.85546875" style="4" customWidth="1"/>
    <col min="15619" max="15619" width="16.28515625" style="4" customWidth="1"/>
    <col min="15620" max="15872" width="9.28515625" style="4"/>
    <col min="15873" max="15873" width="10.7109375" style="4" customWidth="1"/>
    <col min="15874" max="15874" width="62.85546875" style="4" customWidth="1"/>
    <col min="15875" max="15875" width="16.28515625" style="4" customWidth="1"/>
    <col min="15876" max="16128" width="9.28515625" style="4"/>
    <col min="16129" max="16129" width="10.7109375" style="4" customWidth="1"/>
    <col min="16130" max="16130" width="62.85546875" style="4" customWidth="1"/>
    <col min="16131" max="16131" width="16.28515625" style="4" customWidth="1"/>
    <col min="16132" max="16384" width="9.28515625" style="4"/>
  </cols>
  <sheetData>
    <row r="1" spans="1:3" s="243" customFormat="1" ht="35.1" customHeight="1">
      <c r="A1" s="1001" t="s">
        <v>1575</v>
      </c>
      <c r="B1" s="1002"/>
      <c r="C1" s="1002"/>
    </row>
    <row r="2" spans="1:3" s="243" customFormat="1" ht="15" customHeight="1">
      <c r="A2" s="573" t="s">
        <v>711</v>
      </c>
      <c r="B2" s="573" t="s">
        <v>716</v>
      </c>
      <c r="C2" s="573" t="s">
        <v>717</v>
      </c>
    </row>
    <row r="3" spans="1:3">
      <c r="A3" s="295"/>
      <c r="B3" s="296" t="s">
        <v>381</v>
      </c>
      <c r="C3" s="296"/>
    </row>
    <row r="4" spans="1:3">
      <c r="A4" s="298"/>
      <c r="B4" s="299"/>
      <c r="C4" s="299"/>
    </row>
    <row r="5" spans="1:3">
      <c r="A5" s="298"/>
      <c r="B5" s="299"/>
      <c r="C5" s="299"/>
    </row>
    <row r="6" spans="1:3">
      <c r="A6" s="298"/>
      <c r="B6" s="299"/>
      <c r="C6" s="299"/>
    </row>
    <row r="7" spans="1:3">
      <c r="A7" s="298"/>
      <c r="B7" s="299"/>
      <c r="C7" s="299"/>
    </row>
    <row r="8" spans="1:3">
      <c r="A8" s="298"/>
      <c r="B8" s="299"/>
      <c r="C8" s="299"/>
    </row>
    <row r="9" spans="1:3">
      <c r="A9" s="298"/>
      <c r="B9" s="299"/>
      <c r="C9" s="299"/>
    </row>
    <row r="10" spans="1:3">
      <c r="A10" s="298"/>
      <c r="B10" s="299"/>
      <c r="C10" s="299"/>
    </row>
    <row r="11" spans="1:3">
      <c r="A11" s="298"/>
      <c r="B11" s="299"/>
      <c r="C11" s="299"/>
    </row>
    <row r="12" spans="1:3">
      <c r="A12" s="298"/>
      <c r="B12" s="299"/>
      <c r="C12" s="299"/>
    </row>
    <row r="13" spans="1:3">
      <c r="A13" s="298"/>
      <c r="B13" s="299"/>
      <c r="C13" s="299"/>
    </row>
    <row r="14" spans="1:3">
      <c r="A14" s="298"/>
      <c r="B14" s="299"/>
      <c r="C14" s="299"/>
    </row>
    <row r="15" spans="1:3">
      <c r="A15" s="298"/>
      <c r="B15" s="299"/>
      <c r="C15" s="299"/>
    </row>
    <row r="16" spans="1:3">
      <c r="A16" s="298"/>
      <c r="B16" s="299"/>
      <c r="C16" s="299"/>
    </row>
    <row r="17" spans="1:3">
      <c r="A17" s="298"/>
      <c r="B17" s="299"/>
      <c r="C17" s="299"/>
    </row>
    <row r="18" spans="1:3">
      <c r="A18" s="298"/>
      <c r="B18" s="299"/>
      <c r="C18" s="299"/>
    </row>
    <row r="19" spans="1:3">
      <c r="A19" s="298"/>
      <c r="B19" s="299"/>
      <c r="C19" s="299"/>
    </row>
    <row r="20" spans="1:3">
      <c r="A20" s="298"/>
      <c r="B20" s="299"/>
      <c r="C20" s="299"/>
    </row>
    <row r="21" spans="1:3">
      <c r="A21" s="298"/>
      <c r="B21" s="299"/>
      <c r="C21" s="299"/>
    </row>
    <row r="22" spans="1:3">
      <c r="A22" s="298"/>
      <c r="B22" s="299"/>
      <c r="C22" s="299"/>
    </row>
    <row r="23" spans="1:3">
      <c r="A23" s="298"/>
      <c r="B23" s="299"/>
      <c r="C23" s="299"/>
    </row>
    <row r="24" spans="1:3">
      <c r="A24" s="298"/>
      <c r="B24" s="299"/>
      <c r="C24" s="299"/>
    </row>
    <row r="25" spans="1:3">
      <c r="A25" s="298"/>
      <c r="B25" s="299"/>
      <c r="C25" s="299"/>
    </row>
    <row r="26" spans="1:3">
      <c r="A26" s="298"/>
      <c r="B26" s="299"/>
      <c r="C26" s="299"/>
    </row>
    <row r="27" spans="1:3">
      <c r="A27" s="298"/>
      <c r="B27" s="299"/>
      <c r="C27" s="299"/>
    </row>
    <row r="28" spans="1:3">
      <c r="A28" s="300"/>
      <c r="B28" s="299"/>
      <c r="C28" s="299"/>
    </row>
    <row r="29" spans="1:3">
      <c r="A29" s="300"/>
      <c r="B29" s="299"/>
      <c r="C29" s="299"/>
    </row>
    <row r="30" spans="1:3">
      <c r="A30" s="298"/>
      <c r="B30" s="299"/>
      <c r="C30" s="299"/>
    </row>
    <row r="31" spans="1:3">
      <c r="A31" s="300"/>
      <c r="B31" s="299"/>
      <c r="C31" s="299"/>
    </row>
    <row r="32" spans="1:3">
      <c r="A32" s="300"/>
      <c r="B32" s="299"/>
      <c r="C32" s="299"/>
    </row>
    <row r="33" spans="1:3">
      <c r="A33" s="298"/>
      <c r="B33" s="299"/>
      <c r="C33" s="299"/>
    </row>
    <row r="34" spans="1:3">
      <c r="A34" s="298"/>
      <c r="B34" s="299"/>
      <c r="C34" s="299"/>
    </row>
    <row r="35" spans="1:3">
      <c r="A35" s="298"/>
      <c r="B35" s="301"/>
      <c r="C35" s="301"/>
    </row>
    <row r="36" spans="1:3">
      <c r="A36" s="298"/>
      <c r="B36" s="299"/>
      <c r="C36" s="299"/>
    </row>
    <row r="37" spans="1:3">
      <c r="A37" s="298"/>
      <c r="B37" s="299"/>
      <c r="C37" s="299"/>
    </row>
    <row r="38" spans="1:3">
      <c r="A38" s="304"/>
      <c r="B38" s="305"/>
      <c r="C38" s="305"/>
    </row>
  </sheetData>
  <sheetProtection insertColumns="0" deleteRows="0" autoFilter="0"/>
  <mergeCells count="1">
    <mergeCell ref="A1:C1"/>
  </mergeCells>
  <dataValidations count="3">
    <dataValidation allowBlank="1" showInputMessage="1" showErrorMessage="1" prompt="Indicar si son muebles o inmueble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De acuerdo al Catálogo de Bienes Muebles e Inmuebles."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allowBlank="1" showInputMessage="1" showErrorMessage="1" prompt="Descripción general del bien."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G260"/>
  <sheetViews>
    <sheetView workbookViewId="0">
      <pane xSplit="2" ySplit="2" topLeftCell="C230" activePane="bottomRight" state="frozen"/>
      <selection pane="topRight" activeCell="C1" sqref="C1"/>
      <selection pane="bottomLeft" activeCell="A3" sqref="A3"/>
      <selection pane="bottomRight" activeCell="A251" sqref="A251:A260"/>
    </sheetView>
  </sheetViews>
  <sheetFormatPr baseColWidth="10" defaultRowHeight="15"/>
  <cols>
    <col min="2" max="2" width="33.7109375" bestFit="1" customWidth="1"/>
    <col min="3" max="3" width="15.7109375" bestFit="1" customWidth="1"/>
    <col min="4" max="4" width="12.42578125" bestFit="1" customWidth="1"/>
    <col min="5" max="5" width="13.140625" bestFit="1" customWidth="1"/>
    <col min="6" max="6" width="14.42578125" bestFit="1" customWidth="1"/>
    <col min="7" max="7" width="12.140625" bestFit="1" customWidth="1"/>
  </cols>
  <sheetData>
    <row r="2" spans="1:7">
      <c r="A2" t="s">
        <v>993</v>
      </c>
      <c r="B2" s="451" t="s">
        <v>384</v>
      </c>
      <c r="C2" s="452" t="s">
        <v>1699</v>
      </c>
      <c r="D2" s="452" t="s">
        <v>1700</v>
      </c>
      <c r="E2" s="452" t="s">
        <v>1701</v>
      </c>
      <c r="F2" s="452" t="s">
        <v>1702</v>
      </c>
      <c r="G2" s="452" t="s">
        <v>1530</v>
      </c>
    </row>
    <row r="3" spans="1:7">
      <c r="A3" s="432" t="str">
        <f t="shared" ref="A3:A66" si="0">IF(LEFT(B3,1)=" ",MID(B3,7,10),MID(B3,7,4))</f>
        <v>Bala</v>
      </c>
      <c r="B3" s="453" t="s">
        <v>1703</v>
      </c>
      <c r="C3" s="454">
        <v>0</v>
      </c>
      <c r="D3" s="454">
        <v>470290812.37</v>
      </c>
      <c r="E3" s="454">
        <v>-470290812.37</v>
      </c>
      <c r="F3" s="454">
        <v>0</v>
      </c>
      <c r="G3" s="454">
        <v>0</v>
      </c>
    </row>
    <row r="4" spans="1:7">
      <c r="A4" s="432" t="str">
        <f t="shared" si="0"/>
        <v>1000</v>
      </c>
      <c r="B4" s="455" t="s">
        <v>787</v>
      </c>
      <c r="C4" s="456">
        <v>31227829.199999999</v>
      </c>
      <c r="D4" s="456">
        <v>243269663.41</v>
      </c>
      <c r="E4" s="456">
        <v>-238598606.25999999</v>
      </c>
      <c r="F4" s="456">
        <v>35898886.350000001</v>
      </c>
      <c r="G4" s="456">
        <v>4671057.1500000004</v>
      </c>
    </row>
    <row r="5" spans="1:7">
      <c r="A5" s="432" t="str">
        <f t="shared" si="0"/>
        <v>1100</v>
      </c>
      <c r="B5" s="455" t="s">
        <v>788</v>
      </c>
      <c r="C5" s="456">
        <v>11361825.720000001</v>
      </c>
      <c r="D5" s="456">
        <v>239611389.44</v>
      </c>
      <c r="E5" s="456">
        <v>-235242484.46000001</v>
      </c>
      <c r="F5" s="456">
        <v>15730730.699999999</v>
      </c>
      <c r="G5" s="456">
        <v>4368904.9800000004</v>
      </c>
    </row>
    <row r="6" spans="1:7">
      <c r="A6" s="432" t="str">
        <f t="shared" si="0"/>
        <v>1110</v>
      </c>
      <c r="B6" s="455" t="s">
        <v>912</v>
      </c>
      <c r="C6" s="456">
        <v>11324165.710000001</v>
      </c>
      <c r="D6" s="456">
        <v>145882408.34</v>
      </c>
      <c r="E6" s="456">
        <v>-141513725.34999999</v>
      </c>
      <c r="F6" s="456">
        <v>15692848.699999999</v>
      </c>
      <c r="G6" s="456">
        <v>4368682.99</v>
      </c>
    </row>
    <row r="7" spans="1:7">
      <c r="A7" s="432" t="str">
        <f t="shared" si="0"/>
        <v>1112</v>
      </c>
      <c r="B7" s="455" t="s">
        <v>789</v>
      </c>
      <c r="C7" s="456">
        <v>11324165.710000001</v>
      </c>
      <c r="D7" s="456">
        <v>143640092.47</v>
      </c>
      <c r="E7" s="456">
        <v>-141513725.34999999</v>
      </c>
      <c r="F7" s="456">
        <v>13450532.83</v>
      </c>
      <c r="G7" s="456">
        <v>2126367.12</v>
      </c>
    </row>
    <row r="8" spans="1:7">
      <c r="A8" s="432" t="str">
        <f t="shared" si="0"/>
        <v xml:space="preserve">111200101 </v>
      </c>
      <c r="B8" s="448" t="s">
        <v>1917</v>
      </c>
      <c r="C8" s="449">
        <v>0</v>
      </c>
      <c r="D8" s="449">
        <v>0</v>
      </c>
      <c r="E8" s="449">
        <v>0</v>
      </c>
      <c r="F8" s="449">
        <v>0</v>
      </c>
      <c r="G8" s="449">
        <v>0</v>
      </c>
    </row>
    <row r="9" spans="1:7">
      <c r="A9" s="432" t="str">
        <f t="shared" si="0"/>
        <v xml:space="preserve">111200102 </v>
      </c>
      <c r="B9" s="448" t="s">
        <v>1918</v>
      </c>
      <c r="C9" s="449">
        <v>0</v>
      </c>
      <c r="D9" s="449">
        <v>0</v>
      </c>
      <c r="E9" s="449">
        <v>0</v>
      </c>
      <c r="F9" s="449">
        <v>0</v>
      </c>
      <c r="G9" s="449">
        <v>0</v>
      </c>
    </row>
    <row r="10" spans="1:7">
      <c r="A10" s="432" t="str">
        <f t="shared" si="0"/>
        <v xml:space="preserve">111200301 </v>
      </c>
      <c r="B10" s="448" t="s">
        <v>1919</v>
      </c>
      <c r="C10" s="449">
        <v>1000</v>
      </c>
      <c r="D10" s="449">
        <v>48181686.960000001</v>
      </c>
      <c r="E10" s="449">
        <v>-48172588.759999998</v>
      </c>
      <c r="F10" s="449">
        <v>10098.200000000001</v>
      </c>
      <c r="G10" s="449">
        <v>9098.2000000000007</v>
      </c>
    </row>
    <row r="11" spans="1:7">
      <c r="A11" s="432" t="str">
        <f t="shared" si="0"/>
        <v xml:space="preserve">111200302 </v>
      </c>
      <c r="B11" s="448" t="s">
        <v>1920</v>
      </c>
      <c r="C11" s="449">
        <v>0</v>
      </c>
      <c r="D11" s="449">
        <v>0</v>
      </c>
      <c r="E11" s="449">
        <v>0</v>
      </c>
      <c r="F11" s="449">
        <v>0</v>
      </c>
      <c r="G11" s="449">
        <v>0</v>
      </c>
    </row>
    <row r="12" spans="1:7">
      <c r="A12" s="432" t="str">
        <f t="shared" si="0"/>
        <v xml:space="preserve">111200303 </v>
      </c>
      <c r="B12" s="448" t="s">
        <v>1921</v>
      </c>
      <c r="C12" s="449">
        <v>4361505.6399999997</v>
      </c>
      <c r="D12" s="449">
        <v>92677297.819999993</v>
      </c>
      <c r="E12" s="449">
        <v>-90997825.680000007</v>
      </c>
      <c r="F12" s="449">
        <v>6040977.7800000003</v>
      </c>
      <c r="G12" s="449">
        <v>1679472.14</v>
      </c>
    </row>
    <row r="13" spans="1:7">
      <c r="A13" s="432" t="str">
        <f t="shared" si="0"/>
        <v xml:space="preserve">111200401 </v>
      </c>
      <c r="B13" s="448" t="s">
        <v>1922</v>
      </c>
      <c r="C13" s="449">
        <v>0</v>
      </c>
      <c r="D13" s="449">
        <v>0</v>
      </c>
      <c r="E13" s="449">
        <v>0</v>
      </c>
      <c r="F13" s="449">
        <v>0</v>
      </c>
      <c r="G13" s="449">
        <v>0</v>
      </c>
    </row>
    <row r="14" spans="1:7">
      <c r="A14" s="432" t="str">
        <f t="shared" si="0"/>
        <v xml:space="preserve">111200402 </v>
      </c>
      <c r="B14" s="448" t="s">
        <v>1923</v>
      </c>
      <c r="C14" s="449">
        <v>2058172.59</v>
      </c>
      <c r="D14" s="449">
        <v>176265.92</v>
      </c>
      <c r="E14" s="449">
        <v>-707.21</v>
      </c>
      <c r="F14" s="449">
        <v>2233731.2999999998</v>
      </c>
      <c r="G14" s="449">
        <v>175558.71</v>
      </c>
    </row>
    <row r="15" spans="1:7">
      <c r="A15" s="432" t="str">
        <f t="shared" si="0"/>
        <v xml:space="preserve">111200403 </v>
      </c>
      <c r="B15" s="448" t="s">
        <v>1924</v>
      </c>
      <c r="C15" s="449">
        <v>0</v>
      </c>
      <c r="D15" s="449">
        <v>488002.96</v>
      </c>
      <c r="E15" s="450">
        <v>0</v>
      </c>
      <c r="F15" s="449">
        <v>488002.96</v>
      </c>
      <c r="G15" s="449">
        <v>488002.96</v>
      </c>
    </row>
    <row r="16" spans="1:7">
      <c r="A16" s="432" t="str">
        <f t="shared" si="0"/>
        <v xml:space="preserve">111200501 </v>
      </c>
      <c r="B16" s="448" t="s">
        <v>1925</v>
      </c>
      <c r="C16" s="449">
        <v>4903487.4800000004</v>
      </c>
      <c r="D16" s="449">
        <v>2116838.81</v>
      </c>
      <c r="E16" s="449">
        <v>-2342603.7000000002</v>
      </c>
      <c r="F16" s="449">
        <v>4677722.59</v>
      </c>
      <c r="G16" s="449">
        <v>-225764.89</v>
      </c>
    </row>
    <row r="17" spans="1:7">
      <c r="A17" s="432" t="str">
        <f t="shared" si="0"/>
        <v>1114</v>
      </c>
      <c r="B17" s="455" t="s">
        <v>2973</v>
      </c>
      <c r="C17" s="456">
        <v>0</v>
      </c>
      <c r="D17" s="456">
        <v>2242315.87</v>
      </c>
      <c r="E17" s="899">
        <v>0</v>
      </c>
      <c r="F17" s="456">
        <v>2242315.87</v>
      </c>
      <c r="G17" s="456">
        <v>2242315.87</v>
      </c>
    </row>
    <row r="18" spans="1:7">
      <c r="A18" s="432" t="str">
        <f t="shared" si="0"/>
        <v xml:space="preserve">111400001 </v>
      </c>
      <c r="B18" s="448" t="s">
        <v>2974</v>
      </c>
      <c r="C18" s="449">
        <v>0</v>
      </c>
      <c r="D18" s="449">
        <v>2242315.87</v>
      </c>
      <c r="E18" s="450">
        <v>0</v>
      </c>
      <c r="F18" s="449">
        <v>2242315.87</v>
      </c>
      <c r="G18" s="449">
        <v>2242315.87</v>
      </c>
    </row>
    <row r="19" spans="1:7">
      <c r="A19" s="432" t="str">
        <f t="shared" si="0"/>
        <v>1120</v>
      </c>
      <c r="B19" s="455" t="s">
        <v>913</v>
      </c>
      <c r="C19" s="456">
        <v>18150.45</v>
      </c>
      <c r="D19" s="456">
        <v>88170690.549999997</v>
      </c>
      <c r="E19" s="456">
        <v>-88170591.430000007</v>
      </c>
      <c r="F19" s="456">
        <v>18249.57</v>
      </c>
      <c r="G19" s="456">
        <v>99.12</v>
      </c>
    </row>
    <row r="20" spans="1:7">
      <c r="A20" s="432" t="str">
        <f t="shared" si="0"/>
        <v>1122</v>
      </c>
      <c r="B20" s="455" t="s">
        <v>914</v>
      </c>
      <c r="C20" s="456">
        <v>18147.43</v>
      </c>
      <c r="D20" s="456">
        <v>87161417.379999995</v>
      </c>
      <c r="E20" s="456">
        <v>-87161417.379999995</v>
      </c>
      <c r="F20" s="456">
        <v>18147.43</v>
      </c>
      <c r="G20" s="456">
        <v>0</v>
      </c>
    </row>
    <row r="21" spans="1:7">
      <c r="A21" s="432" t="str">
        <f t="shared" si="0"/>
        <v xml:space="preserve">112200001 </v>
      </c>
      <c r="B21" s="448" t="s">
        <v>1926</v>
      </c>
      <c r="C21" s="449">
        <v>0</v>
      </c>
      <c r="D21" s="449">
        <v>87161417.379999995</v>
      </c>
      <c r="E21" s="449">
        <v>-87161417.379999995</v>
      </c>
      <c r="F21" s="449">
        <v>0</v>
      </c>
      <c r="G21" s="449">
        <v>0</v>
      </c>
    </row>
    <row r="22" spans="1:7">
      <c r="A22" s="432" t="str">
        <f t="shared" si="0"/>
        <v xml:space="preserve">112200002 </v>
      </c>
      <c r="B22" s="448" t="s">
        <v>1927</v>
      </c>
      <c r="C22" s="449">
        <v>-352.57</v>
      </c>
      <c r="D22" s="450">
        <v>0</v>
      </c>
      <c r="E22" s="449">
        <v>0</v>
      </c>
      <c r="F22" s="449">
        <v>-352.57</v>
      </c>
      <c r="G22" s="449">
        <v>0</v>
      </c>
    </row>
    <row r="23" spans="1:7">
      <c r="A23" s="432" t="str">
        <f t="shared" si="0"/>
        <v xml:space="preserve">112200003 </v>
      </c>
      <c r="B23" s="448" t="s">
        <v>1928</v>
      </c>
      <c r="C23" s="449">
        <v>18500</v>
      </c>
      <c r="D23" s="449">
        <v>0</v>
      </c>
      <c r="E23" s="450">
        <v>0</v>
      </c>
      <c r="F23" s="449">
        <v>18500</v>
      </c>
      <c r="G23" s="449">
        <v>0</v>
      </c>
    </row>
    <row r="24" spans="1:7">
      <c r="A24" s="432" t="str">
        <f t="shared" si="0"/>
        <v>1123</v>
      </c>
      <c r="B24" s="455" t="s">
        <v>915</v>
      </c>
      <c r="C24" s="456">
        <v>0</v>
      </c>
      <c r="D24" s="456">
        <v>180056.43</v>
      </c>
      <c r="E24" s="456">
        <v>-180056.41</v>
      </c>
      <c r="F24" s="456">
        <v>0.02</v>
      </c>
      <c r="G24" s="456">
        <v>0.02</v>
      </c>
    </row>
    <row r="25" spans="1:7">
      <c r="A25" s="432" t="str">
        <f t="shared" si="0"/>
        <v xml:space="preserve">112300001 </v>
      </c>
      <c r="B25" s="448" t="s">
        <v>1929</v>
      </c>
      <c r="C25" s="449">
        <v>0</v>
      </c>
      <c r="D25" s="449">
        <v>62.27</v>
      </c>
      <c r="E25" s="449">
        <v>-62.27</v>
      </c>
      <c r="F25" s="449">
        <v>0</v>
      </c>
      <c r="G25" s="449">
        <v>0</v>
      </c>
    </row>
    <row r="26" spans="1:7">
      <c r="A26" s="432" t="str">
        <f t="shared" si="0"/>
        <v xml:space="preserve">112300003 </v>
      </c>
      <c r="B26" s="448" t="s">
        <v>1930</v>
      </c>
      <c r="C26" s="449">
        <v>0</v>
      </c>
      <c r="D26" s="449">
        <v>179994.16</v>
      </c>
      <c r="E26" s="449">
        <v>-179994.14</v>
      </c>
      <c r="F26" s="449">
        <v>0.02</v>
      </c>
      <c r="G26" s="449">
        <v>0.02</v>
      </c>
    </row>
    <row r="27" spans="1:7">
      <c r="A27" s="432" t="str">
        <f t="shared" si="0"/>
        <v>1125</v>
      </c>
      <c r="B27" s="455" t="s">
        <v>1931</v>
      </c>
      <c r="C27" s="456">
        <v>0</v>
      </c>
      <c r="D27" s="456">
        <v>29000</v>
      </c>
      <c r="E27" s="456">
        <v>-29000</v>
      </c>
      <c r="F27" s="456">
        <v>0</v>
      </c>
      <c r="G27" s="456">
        <v>0</v>
      </c>
    </row>
    <row r="28" spans="1:7">
      <c r="A28" s="432" t="str">
        <f t="shared" si="0"/>
        <v xml:space="preserve">112500001 </v>
      </c>
      <c r="B28" s="448" t="s">
        <v>1932</v>
      </c>
      <c r="C28" s="449">
        <v>0</v>
      </c>
      <c r="D28" s="449">
        <v>29000</v>
      </c>
      <c r="E28" s="449">
        <v>-29000</v>
      </c>
      <c r="F28" s="449">
        <v>0</v>
      </c>
      <c r="G28" s="449">
        <v>0</v>
      </c>
    </row>
    <row r="29" spans="1:7">
      <c r="A29" s="432" t="str">
        <f t="shared" si="0"/>
        <v>1129</v>
      </c>
      <c r="B29" s="455" t="s">
        <v>1933</v>
      </c>
      <c r="C29" s="456">
        <v>3.02</v>
      </c>
      <c r="D29" s="456">
        <v>800216.74</v>
      </c>
      <c r="E29" s="456">
        <v>-800117.64</v>
      </c>
      <c r="F29" s="456">
        <v>102.12</v>
      </c>
      <c r="G29" s="456">
        <v>99.1</v>
      </c>
    </row>
    <row r="30" spans="1:7">
      <c r="A30" s="432" t="str">
        <f t="shared" si="0"/>
        <v xml:space="preserve">112900001 </v>
      </c>
      <c r="B30" s="448" t="s">
        <v>1934</v>
      </c>
      <c r="C30" s="449">
        <v>3.02</v>
      </c>
      <c r="D30" s="449">
        <v>800216.74</v>
      </c>
      <c r="E30" s="449">
        <v>-800117.64</v>
      </c>
      <c r="F30" s="449">
        <v>102.12</v>
      </c>
      <c r="G30" s="449">
        <v>99.1</v>
      </c>
    </row>
    <row r="31" spans="1:7">
      <c r="A31" s="432" t="str">
        <f t="shared" si="0"/>
        <v>1130</v>
      </c>
      <c r="B31" s="455" t="s">
        <v>916</v>
      </c>
      <c r="C31" s="456">
        <v>19509.560000000001</v>
      </c>
      <c r="D31" s="456">
        <v>5558290.5499999998</v>
      </c>
      <c r="E31" s="456">
        <v>-5558167.6799999997</v>
      </c>
      <c r="F31" s="456">
        <v>19632.43</v>
      </c>
      <c r="G31" s="456">
        <v>122.87</v>
      </c>
    </row>
    <row r="32" spans="1:7">
      <c r="A32" s="432" t="str">
        <f t="shared" si="0"/>
        <v>1131</v>
      </c>
      <c r="B32" s="455" t="s">
        <v>917</v>
      </c>
      <c r="C32" s="456">
        <v>19509.560000000001</v>
      </c>
      <c r="D32" s="456">
        <v>5558290.5499999998</v>
      </c>
      <c r="E32" s="456">
        <v>-5558167.6799999997</v>
      </c>
      <c r="F32" s="456">
        <v>19632.43</v>
      </c>
      <c r="G32" s="456">
        <v>122.87</v>
      </c>
    </row>
    <row r="33" spans="1:7">
      <c r="A33" s="432" t="str">
        <f t="shared" si="0"/>
        <v xml:space="preserve">113100001 </v>
      </c>
      <c r="B33" s="448" t="s">
        <v>1935</v>
      </c>
      <c r="C33" s="449">
        <v>19509.560000000001</v>
      </c>
      <c r="D33" s="449">
        <v>5558290.5499999998</v>
      </c>
      <c r="E33" s="449">
        <v>-5558167.6799999997</v>
      </c>
      <c r="F33" s="449">
        <v>19632.43</v>
      </c>
      <c r="G33" s="449">
        <v>122.87</v>
      </c>
    </row>
    <row r="34" spans="1:7">
      <c r="A34" s="432" t="str">
        <f t="shared" si="0"/>
        <v>1200</v>
      </c>
      <c r="B34" s="455" t="s">
        <v>790</v>
      </c>
      <c r="C34" s="456">
        <v>19866003.48</v>
      </c>
      <c r="D34" s="456">
        <v>3658273.97</v>
      </c>
      <c r="E34" s="456">
        <v>-3356121.8</v>
      </c>
      <c r="F34" s="456">
        <v>20168155.649999999</v>
      </c>
      <c r="G34" s="456">
        <v>302152.17</v>
      </c>
    </row>
    <row r="35" spans="1:7">
      <c r="A35" s="432" t="str">
        <f t="shared" si="0"/>
        <v>1240</v>
      </c>
      <c r="B35" s="455" t="s">
        <v>791</v>
      </c>
      <c r="C35" s="456">
        <v>15855010.119999999</v>
      </c>
      <c r="D35" s="456">
        <v>3014839.91</v>
      </c>
      <c r="E35" s="456">
        <v>-986649.98</v>
      </c>
      <c r="F35" s="456">
        <v>17883200.050000001</v>
      </c>
      <c r="G35" s="456">
        <v>2028189.93</v>
      </c>
    </row>
    <row r="36" spans="1:7">
      <c r="A36" s="432" t="str">
        <f t="shared" si="0"/>
        <v>1241</v>
      </c>
      <c r="B36" s="455" t="s">
        <v>918</v>
      </c>
      <c r="C36" s="456">
        <v>10780784.810000001</v>
      </c>
      <c r="D36" s="456">
        <v>1377828.2</v>
      </c>
      <c r="E36" s="456">
        <v>-2900</v>
      </c>
      <c r="F36" s="456">
        <v>12155713.01</v>
      </c>
      <c r="G36" s="456">
        <v>1374928.2</v>
      </c>
    </row>
    <row r="37" spans="1:7">
      <c r="A37" s="432" t="str">
        <f t="shared" si="0"/>
        <v xml:space="preserve">124115111 </v>
      </c>
      <c r="B37" s="448" t="s">
        <v>1936</v>
      </c>
      <c r="C37" s="449">
        <v>4548970.16</v>
      </c>
      <c r="D37" s="449">
        <v>437183.92</v>
      </c>
      <c r="E37" s="449">
        <v>-2900</v>
      </c>
      <c r="F37" s="449">
        <v>4983254.08</v>
      </c>
      <c r="G37" s="449">
        <v>434283.92</v>
      </c>
    </row>
    <row r="38" spans="1:7">
      <c r="A38" s="432" t="str">
        <f t="shared" si="0"/>
        <v xml:space="preserve">124135151 </v>
      </c>
      <c r="B38" s="448" t="s">
        <v>1937</v>
      </c>
      <c r="C38" s="449">
        <v>6036180.2800000003</v>
      </c>
      <c r="D38" s="449">
        <v>848299.67</v>
      </c>
      <c r="E38" s="450">
        <v>0</v>
      </c>
      <c r="F38" s="449">
        <v>6884479.9500000002</v>
      </c>
      <c r="G38" s="449">
        <v>848299.67</v>
      </c>
    </row>
    <row r="39" spans="1:7">
      <c r="A39" s="432" t="str">
        <f t="shared" si="0"/>
        <v xml:space="preserve">124195191 </v>
      </c>
      <c r="B39" s="448" t="s">
        <v>1938</v>
      </c>
      <c r="C39" s="449">
        <v>195634.37</v>
      </c>
      <c r="D39" s="449">
        <v>92344.61</v>
      </c>
      <c r="E39" s="450">
        <v>0</v>
      </c>
      <c r="F39" s="449">
        <v>287978.98</v>
      </c>
      <c r="G39" s="449">
        <v>92344.61</v>
      </c>
    </row>
    <row r="40" spans="1:7">
      <c r="A40" s="432" t="str">
        <f t="shared" si="0"/>
        <v>1244</v>
      </c>
      <c r="B40" s="455" t="s">
        <v>792</v>
      </c>
      <c r="C40" s="456">
        <v>4248189.0199999996</v>
      </c>
      <c r="D40" s="456">
        <v>1504498</v>
      </c>
      <c r="E40" s="456">
        <v>-944900.01</v>
      </c>
      <c r="F40" s="456">
        <v>4807787.01</v>
      </c>
      <c r="G40" s="456">
        <v>559597.99</v>
      </c>
    </row>
    <row r="41" spans="1:7">
      <c r="A41" s="432" t="str">
        <f t="shared" si="0"/>
        <v xml:space="preserve">124415411 </v>
      </c>
      <c r="B41" s="448" t="s">
        <v>1939</v>
      </c>
      <c r="C41" s="449">
        <v>4248189.0199999996</v>
      </c>
      <c r="D41" s="449">
        <v>1504498</v>
      </c>
      <c r="E41" s="449">
        <v>-944900.01</v>
      </c>
      <c r="F41" s="449">
        <v>4807787.01</v>
      </c>
      <c r="G41" s="449">
        <v>559597.99</v>
      </c>
    </row>
    <row r="42" spans="1:7">
      <c r="A42" s="432" t="str">
        <f t="shared" si="0"/>
        <v>1246</v>
      </c>
      <c r="B42" s="455" t="s">
        <v>919</v>
      </c>
      <c r="C42" s="456">
        <v>625773.30000000005</v>
      </c>
      <c r="D42" s="456">
        <v>132513.71</v>
      </c>
      <c r="E42" s="456">
        <v>-38849.97</v>
      </c>
      <c r="F42" s="456">
        <v>719437.04</v>
      </c>
      <c r="G42" s="456">
        <v>93663.74</v>
      </c>
    </row>
    <row r="43" spans="1:7">
      <c r="A43" s="432" t="str">
        <f t="shared" si="0"/>
        <v xml:space="preserve">124615611 </v>
      </c>
      <c r="B43" s="448" t="s">
        <v>1940</v>
      </c>
      <c r="C43" s="449">
        <v>63848.480000000003</v>
      </c>
      <c r="D43" s="449">
        <v>0</v>
      </c>
      <c r="E43" s="450">
        <v>0</v>
      </c>
      <c r="F43" s="449">
        <v>63848.480000000003</v>
      </c>
      <c r="G43" s="449">
        <v>0</v>
      </c>
    </row>
    <row r="44" spans="1:7">
      <c r="A44" s="432" t="str">
        <f t="shared" si="0"/>
        <v xml:space="preserve">124655651 </v>
      </c>
      <c r="B44" s="448" t="s">
        <v>1941</v>
      </c>
      <c r="C44" s="449">
        <v>222259.42</v>
      </c>
      <c r="D44" s="449">
        <v>132513.71</v>
      </c>
      <c r="E44" s="449">
        <v>-38849.97</v>
      </c>
      <c r="F44" s="449">
        <v>315923.15999999997</v>
      </c>
      <c r="G44" s="449">
        <v>93663.74</v>
      </c>
    </row>
    <row r="45" spans="1:7">
      <c r="A45" s="432" t="str">
        <f t="shared" si="0"/>
        <v xml:space="preserve">124655661 </v>
      </c>
      <c r="B45" s="448" t="s">
        <v>1942</v>
      </c>
      <c r="C45" s="449">
        <v>339665.4</v>
      </c>
      <c r="D45" s="449">
        <v>0</v>
      </c>
      <c r="E45" s="450">
        <v>0</v>
      </c>
      <c r="F45" s="449">
        <v>339665.4</v>
      </c>
      <c r="G45" s="449">
        <v>0</v>
      </c>
    </row>
    <row r="46" spans="1:7">
      <c r="A46" s="432" t="str">
        <f t="shared" si="0"/>
        <v>1247</v>
      </c>
      <c r="B46" s="455" t="s">
        <v>1943</v>
      </c>
      <c r="C46" s="456">
        <v>200262.99</v>
      </c>
      <c r="D46" s="456">
        <v>0</v>
      </c>
      <c r="E46" s="899">
        <v>0</v>
      </c>
      <c r="F46" s="456">
        <v>200262.99</v>
      </c>
      <c r="G46" s="456">
        <v>0</v>
      </c>
    </row>
    <row r="47" spans="1:7">
      <c r="A47" s="432" t="str">
        <f t="shared" si="0"/>
        <v xml:space="preserve">124715133 </v>
      </c>
      <c r="B47" s="448" t="s">
        <v>1944</v>
      </c>
      <c r="C47" s="449">
        <v>200262.99</v>
      </c>
      <c r="D47" s="449">
        <v>0</v>
      </c>
      <c r="E47" s="450">
        <v>0</v>
      </c>
      <c r="F47" s="449">
        <v>200262.99</v>
      </c>
      <c r="G47" s="449">
        <v>0</v>
      </c>
    </row>
    <row r="48" spans="1:7">
      <c r="A48" s="432" t="str">
        <f t="shared" si="0"/>
        <v>1250</v>
      </c>
      <c r="B48" s="455" t="s">
        <v>793</v>
      </c>
      <c r="C48" s="456">
        <v>12823516.859999999</v>
      </c>
      <c r="D48" s="456">
        <v>125415.3</v>
      </c>
      <c r="E48" s="899">
        <v>0</v>
      </c>
      <c r="F48" s="456">
        <v>12948932.16</v>
      </c>
      <c r="G48" s="456">
        <v>125415.3</v>
      </c>
    </row>
    <row r="49" spans="1:7">
      <c r="A49" s="432" t="str">
        <f t="shared" si="0"/>
        <v>1251</v>
      </c>
      <c r="B49" s="455" t="s">
        <v>1523</v>
      </c>
      <c r="C49" s="456">
        <v>12295170.92</v>
      </c>
      <c r="D49" s="456">
        <v>0</v>
      </c>
      <c r="E49" s="899">
        <v>0</v>
      </c>
      <c r="F49" s="456">
        <v>12295170.92</v>
      </c>
      <c r="G49" s="456">
        <v>0</v>
      </c>
    </row>
    <row r="50" spans="1:7">
      <c r="A50" s="432" t="str">
        <f t="shared" si="0"/>
        <v xml:space="preserve">125105911 </v>
      </c>
      <c r="B50" s="448" t="s">
        <v>1945</v>
      </c>
      <c r="C50" s="449">
        <v>12295170.92</v>
      </c>
      <c r="D50" s="449">
        <v>0</v>
      </c>
      <c r="E50" s="450">
        <v>0</v>
      </c>
      <c r="F50" s="449">
        <v>12295170.92</v>
      </c>
      <c r="G50" s="449">
        <v>0</v>
      </c>
    </row>
    <row r="51" spans="1:7">
      <c r="A51" s="432" t="str">
        <f t="shared" si="0"/>
        <v>1252</v>
      </c>
      <c r="B51" s="455" t="s">
        <v>920</v>
      </c>
      <c r="C51" s="456">
        <v>528345.93999999994</v>
      </c>
      <c r="D51" s="456">
        <v>125415.3</v>
      </c>
      <c r="E51" s="899">
        <v>0</v>
      </c>
      <c r="F51" s="456">
        <v>653761.24</v>
      </c>
      <c r="G51" s="456">
        <v>125415.3</v>
      </c>
    </row>
    <row r="52" spans="1:7">
      <c r="A52" s="432" t="str">
        <f t="shared" si="0"/>
        <v xml:space="preserve">125215971 </v>
      </c>
      <c r="B52" s="448" t="s">
        <v>1946</v>
      </c>
      <c r="C52" s="449">
        <v>67335.789999999994</v>
      </c>
      <c r="D52" s="449">
        <v>0</v>
      </c>
      <c r="E52" s="450">
        <v>0</v>
      </c>
      <c r="F52" s="449">
        <v>67335.789999999994</v>
      </c>
      <c r="G52" s="449">
        <v>0</v>
      </c>
    </row>
    <row r="53" spans="1:7">
      <c r="A53" s="432" t="str">
        <f t="shared" si="0"/>
        <v xml:space="preserve">125215972 </v>
      </c>
      <c r="B53" s="448" t="s">
        <v>1947</v>
      </c>
      <c r="C53" s="449">
        <v>461010.15</v>
      </c>
      <c r="D53" s="449">
        <v>125415.3</v>
      </c>
      <c r="E53" s="450">
        <v>0</v>
      </c>
      <c r="F53" s="449">
        <v>586425.44999999995</v>
      </c>
      <c r="G53" s="449">
        <v>125415.3</v>
      </c>
    </row>
    <row r="54" spans="1:7">
      <c r="A54" s="432" t="str">
        <f t="shared" si="0"/>
        <v>1260</v>
      </c>
      <c r="B54" s="455" t="s">
        <v>921</v>
      </c>
      <c r="C54" s="456">
        <v>-8858009.2200000007</v>
      </c>
      <c r="D54" s="456">
        <v>518018.76</v>
      </c>
      <c r="E54" s="456">
        <v>-2359186.1</v>
      </c>
      <c r="F54" s="456">
        <v>-10699176.560000001</v>
      </c>
      <c r="G54" s="456">
        <v>-1841167.34</v>
      </c>
    </row>
    <row r="55" spans="1:7">
      <c r="A55" s="432" t="str">
        <f t="shared" si="0"/>
        <v>1263</v>
      </c>
      <c r="B55" s="455" t="s">
        <v>922</v>
      </c>
      <c r="C55" s="456">
        <v>-8858009.2200000007</v>
      </c>
      <c r="D55" s="456">
        <v>518018.76</v>
      </c>
      <c r="E55" s="456">
        <v>-2359186.1</v>
      </c>
      <c r="F55" s="456">
        <v>-10699176.560000001</v>
      </c>
      <c r="G55" s="456">
        <v>-1841167.34</v>
      </c>
    </row>
    <row r="56" spans="1:7">
      <c r="A56" s="432" t="str">
        <f t="shared" si="0"/>
        <v xml:space="preserve">126305111 </v>
      </c>
      <c r="B56" s="448" t="s">
        <v>1948</v>
      </c>
      <c r="C56" s="449">
        <v>-2603512.62</v>
      </c>
      <c r="D56" s="450">
        <v>0</v>
      </c>
      <c r="E56" s="449">
        <v>-379989.09</v>
      </c>
      <c r="F56" s="449">
        <v>-2983501.71</v>
      </c>
      <c r="G56" s="449">
        <v>-379989.09</v>
      </c>
    </row>
    <row r="57" spans="1:7">
      <c r="A57" s="432" t="str">
        <f t="shared" si="0"/>
        <v xml:space="preserve">126305133 </v>
      </c>
      <c r="B57" s="448" t="s">
        <v>1949</v>
      </c>
      <c r="C57" s="449">
        <v>-199555.6</v>
      </c>
      <c r="D57" s="450">
        <v>0</v>
      </c>
      <c r="E57" s="449">
        <v>-314.39999999999998</v>
      </c>
      <c r="F57" s="449">
        <v>-199870</v>
      </c>
      <c r="G57" s="449">
        <v>-314.39999999999998</v>
      </c>
    </row>
    <row r="58" spans="1:7">
      <c r="A58" s="432" t="str">
        <f t="shared" si="0"/>
        <v xml:space="preserve">126305151 </v>
      </c>
      <c r="B58" s="448" t="s">
        <v>1950</v>
      </c>
      <c r="C58" s="449">
        <v>-4362527.07</v>
      </c>
      <c r="D58" s="450">
        <v>0</v>
      </c>
      <c r="E58" s="449">
        <v>-858041.51</v>
      </c>
      <c r="F58" s="449">
        <v>-5220568.58</v>
      </c>
      <c r="G58" s="449">
        <v>-858041.51</v>
      </c>
    </row>
    <row r="59" spans="1:7">
      <c r="A59" s="432" t="str">
        <f t="shared" si="0"/>
        <v xml:space="preserve">126305191 </v>
      </c>
      <c r="B59" s="448" t="s">
        <v>1951</v>
      </c>
      <c r="C59" s="449">
        <v>-47340.12</v>
      </c>
      <c r="D59" s="450">
        <v>0</v>
      </c>
      <c r="E59" s="449">
        <v>-19916.03</v>
      </c>
      <c r="F59" s="449">
        <v>-67256.149999999994</v>
      </c>
      <c r="G59" s="449">
        <v>-19916.03</v>
      </c>
    </row>
    <row r="60" spans="1:7">
      <c r="A60" s="432" t="str">
        <f t="shared" si="0"/>
        <v xml:space="preserve">126305411 </v>
      </c>
      <c r="B60" s="448" t="s">
        <v>1952</v>
      </c>
      <c r="C60" s="449">
        <v>-1316309.06</v>
      </c>
      <c r="D60" s="449">
        <v>518018.76</v>
      </c>
      <c r="E60" s="449">
        <v>-1079051.1200000001</v>
      </c>
      <c r="F60" s="449">
        <v>-1877341.42</v>
      </c>
      <c r="G60" s="449">
        <v>-561032.36</v>
      </c>
    </row>
    <row r="61" spans="1:7">
      <c r="A61" s="432" t="str">
        <f t="shared" si="0"/>
        <v xml:space="preserve">126305611 </v>
      </c>
      <c r="B61" s="448" t="s">
        <v>1953</v>
      </c>
      <c r="C61" s="449">
        <v>-62979.519999999997</v>
      </c>
      <c r="D61" s="450">
        <v>0</v>
      </c>
      <c r="E61" s="449">
        <v>-352.36</v>
      </c>
      <c r="F61" s="449">
        <v>-63331.88</v>
      </c>
      <c r="G61" s="449">
        <v>-352.36</v>
      </c>
    </row>
    <row r="62" spans="1:7">
      <c r="A62" s="432" t="str">
        <f t="shared" si="0"/>
        <v xml:space="preserve">126305651 </v>
      </c>
      <c r="B62" s="448" t="s">
        <v>1954</v>
      </c>
      <c r="C62" s="449">
        <v>-214835.42</v>
      </c>
      <c r="D62" s="450">
        <v>0</v>
      </c>
      <c r="E62" s="449">
        <v>-4538.32</v>
      </c>
      <c r="F62" s="449">
        <v>-219373.74</v>
      </c>
      <c r="G62" s="449">
        <v>-4538.32</v>
      </c>
    </row>
    <row r="63" spans="1:7">
      <c r="A63" s="432" t="str">
        <f t="shared" si="0"/>
        <v xml:space="preserve">126305661 </v>
      </c>
      <c r="B63" s="448" t="s">
        <v>1955</v>
      </c>
      <c r="C63" s="449">
        <v>-16983.27</v>
      </c>
      <c r="D63" s="450">
        <v>0</v>
      </c>
      <c r="E63" s="449">
        <v>0</v>
      </c>
      <c r="F63" s="449">
        <v>-16983.27</v>
      </c>
      <c r="G63" s="449">
        <v>0</v>
      </c>
    </row>
    <row r="64" spans="1:7">
      <c r="A64" s="432" t="str">
        <f t="shared" si="0"/>
        <v xml:space="preserve">126305662 </v>
      </c>
      <c r="B64" s="448" t="s">
        <v>1956</v>
      </c>
      <c r="C64" s="449">
        <v>-33966.54</v>
      </c>
      <c r="D64" s="450">
        <v>0</v>
      </c>
      <c r="E64" s="449">
        <v>-16983.27</v>
      </c>
      <c r="F64" s="449">
        <v>-50949.81</v>
      </c>
      <c r="G64" s="449">
        <v>-16983.27</v>
      </c>
    </row>
    <row r="65" spans="1:7">
      <c r="A65" s="432" t="str">
        <f t="shared" si="0"/>
        <v>1270</v>
      </c>
      <c r="B65" s="455" t="s">
        <v>794</v>
      </c>
      <c r="C65" s="456">
        <v>45485.72</v>
      </c>
      <c r="D65" s="456">
        <v>0</v>
      </c>
      <c r="E65" s="456">
        <v>-10285.719999999999</v>
      </c>
      <c r="F65" s="456">
        <v>35200</v>
      </c>
      <c r="G65" s="456">
        <v>-10285.719999999999</v>
      </c>
    </row>
    <row r="66" spans="1:7">
      <c r="A66" s="432" t="str">
        <f t="shared" si="0"/>
        <v>1273</v>
      </c>
      <c r="B66" s="455" t="s">
        <v>1524</v>
      </c>
      <c r="C66" s="456">
        <v>45485.72</v>
      </c>
      <c r="D66" s="456">
        <v>0</v>
      </c>
      <c r="E66" s="456">
        <v>-10285.719999999999</v>
      </c>
      <c r="F66" s="456">
        <v>35200</v>
      </c>
      <c r="G66" s="456">
        <v>-10285.719999999999</v>
      </c>
    </row>
    <row r="67" spans="1:7">
      <c r="A67" s="432" t="str">
        <f t="shared" ref="A67:A130" si="1">IF(LEFT(B67,1)=" ",MID(B67,7,10),MID(B67,7,4))</f>
        <v xml:space="preserve">127300001 </v>
      </c>
      <c r="B67" s="448" t="s">
        <v>1957</v>
      </c>
      <c r="C67" s="449">
        <v>45485.72</v>
      </c>
      <c r="D67" s="449">
        <v>0</v>
      </c>
      <c r="E67" s="449">
        <v>-10285.719999999999</v>
      </c>
      <c r="F67" s="449">
        <v>35200</v>
      </c>
      <c r="G67" s="449">
        <v>-10285.719999999999</v>
      </c>
    </row>
    <row r="68" spans="1:7">
      <c r="A68" s="432" t="str">
        <f t="shared" si="1"/>
        <v>2000</v>
      </c>
      <c r="B68" s="455" t="s">
        <v>795</v>
      </c>
      <c r="C68" s="456">
        <v>-5457146.0099999998</v>
      </c>
      <c r="D68" s="456">
        <v>130646018.84</v>
      </c>
      <c r="E68" s="456">
        <v>-132460103.79000001</v>
      </c>
      <c r="F68" s="456">
        <v>-7271230.96</v>
      </c>
      <c r="G68" s="456">
        <v>-1814084.95</v>
      </c>
    </row>
    <row r="69" spans="1:7">
      <c r="A69" s="432" t="str">
        <f t="shared" si="1"/>
        <v>2100</v>
      </c>
      <c r="B69" s="455" t="s">
        <v>796</v>
      </c>
      <c r="C69" s="456">
        <v>-3398732.33</v>
      </c>
      <c r="D69" s="456">
        <v>130645311.63</v>
      </c>
      <c r="E69" s="456">
        <v>-132283837.87</v>
      </c>
      <c r="F69" s="456">
        <v>-5037258.57</v>
      </c>
      <c r="G69" s="456">
        <v>-1638526.24</v>
      </c>
    </row>
    <row r="70" spans="1:7">
      <c r="A70" s="432" t="str">
        <f t="shared" si="1"/>
        <v>2110</v>
      </c>
      <c r="B70" s="455" t="s">
        <v>923</v>
      </c>
      <c r="C70" s="456">
        <v>-3380232.33</v>
      </c>
      <c r="D70" s="456">
        <v>130645311.63</v>
      </c>
      <c r="E70" s="456">
        <v>-132283837.87</v>
      </c>
      <c r="F70" s="456">
        <v>-5018758.57</v>
      </c>
      <c r="G70" s="456">
        <v>-1638526.24</v>
      </c>
    </row>
    <row r="71" spans="1:7">
      <c r="A71" s="432" t="str">
        <f t="shared" si="1"/>
        <v>2111</v>
      </c>
      <c r="B71" s="455" t="s">
        <v>924</v>
      </c>
      <c r="C71" s="456">
        <v>-44312.2</v>
      </c>
      <c r="D71" s="456">
        <v>51803583.189999998</v>
      </c>
      <c r="E71" s="456">
        <v>-52945370.840000004</v>
      </c>
      <c r="F71" s="456">
        <v>-1186099.8500000001</v>
      </c>
      <c r="G71" s="456">
        <v>-1141787.6499999999</v>
      </c>
    </row>
    <row r="72" spans="1:7">
      <c r="A72" s="432" t="str">
        <f t="shared" si="1"/>
        <v xml:space="preserve">211100001 </v>
      </c>
      <c r="B72" s="448" t="s">
        <v>1958</v>
      </c>
      <c r="C72" s="449">
        <v>0</v>
      </c>
      <c r="D72" s="449">
        <v>47293657.640000001</v>
      </c>
      <c r="E72" s="449">
        <v>-47293657.640000001</v>
      </c>
      <c r="F72" s="449">
        <v>0</v>
      </c>
      <c r="G72" s="449">
        <v>0</v>
      </c>
    </row>
    <row r="73" spans="1:7">
      <c r="A73" s="432" t="str">
        <f t="shared" si="1"/>
        <v xml:space="preserve">211100002 </v>
      </c>
      <c r="B73" s="448" t="s">
        <v>1959</v>
      </c>
      <c r="C73" s="449">
        <v>0</v>
      </c>
      <c r="D73" s="449">
        <v>4330604.3499999996</v>
      </c>
      <c r="E73" s="449">
        <v>-4330604.3499999996</v>
      </c>
      <c r="F73" s="449">
        <v>0</v>
      </c>
      <c r="G73" s="449">
        <v>0</v>
      </c>
    </row>
    <row r="74" spans="1:7">
      <c r="A74" s="432" t="str">
        <f t="shared" si="1"/>
        <v xml:space="preserve">211100151 </v>
      </c>
      <c r="B74" s="448" t="s">
        <v>1960</v>
      </c>
      <c r="C74" s="449">
        <v>-44312.2</v>
      </c>
      <c r="D74" s="449">
        <v>44312.2</v>
      </c>
      <c r="E74" s="449">
        <v>0</v>
      </c>
      <c r="F74" s="449">
        <v>0</v>
      </c>
      <c r="G74" s="449">
        <v>44312.2</v>
      </c>
    </row>
    <row r="75" spans="1:7">
      <c r="A75" s="432" t="str">
        <f t="shared" si="1"/>
        <v xml:space="preserve">211100171 </v>
      </c>
      <c r="B75" s="448" t="s">
        <v>2975</v>
      </c>
      <c r="C75" s="449">
        <v>0</v>
      </c>
      <c r="D75" s="450">
        <v>0</v>
      </c>
      <c r="E75" s="449">
        <v>-1186099.8500000001</v>
      </c>
      <c r="F75" s="449">
        <v>-1186099.8500000001</v>
      </c>
      <c r="G75" s="449">
        <v>-1186099.8500000001</v>
      </c>
    </row>
    <row r="76" spans="1:7">
      <c r="A76" s="432" t="str">
        <f t="shared" si="1"/>
        <v xml:space="preserve">211100173 </v>
      </c>
      <c r="B76" s="448" t="s">
        <v>2976</v>
      </c>
      <c r="C76" s="449">
        <v>0</v>
      </c>
      <c r="D76" s="449">
        <v>135009</v>
      </c>
      <c r="E76" s="449">
        <v>-135009</v>
      </c>
      <c r="F76" s="449">
        <v>0</v>
      </c>
      <c r="G76" s="449">
        <v>0</v>
      </c>
    </row>
    <row r="77" spans="1:7">
      <c r="A77" s="432" t="str">
        <f t="shared" si="1"/>
        <v>2112</v>
      </c>
      <c r="B77" s="455" t="s">
        <v>925</v>
      </c>
      <c r="C77" s="456">
        <v>-168006.6</v>
      </c>
      <c r="D77" s="456">
        <v>10651654.43</v>
      </c>
      <c r="E77" s="456">
        <v>-10618656.83</v>
      </c>
      <c r="F77" s="456">
        <v>-135009</v>
      </c>
      <c r="G77" s="456">
        <v>32997.599999999999</v>
      </c>
    </row>
    <row r="78" spans="1:7">
      <c r="A78" s="432" t="str">
        <f t="shared" si="1"/>
        <v xml:space="preserve">211200001 </v>
      </c>
      <c r="B78" s="448" t="s">
        <v>1961</v>
      </c>
      <c r="C78" s="449">
        <v>0</v>
      </c>
      <c r="D78" s="449">
        <v>10483647.83</v>
      </c>
      <c r="E78" s="449">
        <v>-10483647.83</v>
      </c>
      <c r="F78" s="449">
        <v>0</v>
      </c>
      <c r="G78" s="449">
        <v>0</v>
      </c>
    </row>
    <row r="79" spans="1:7">
      <c r="A79" s="432" t="str">
        <f t="shared" si="1"/>
        <v xml:space="preserve">211200162 </v>
      </c>
      <c r="B79" s="448" t="s">
        <v>1962</v>
      </c>
      <c r="C79" s="449">
        <v>-94852.04</v>
      </c>
      <c r="D79" s="449">
        <v>94852.04</v>
      </c>
      <c r="E79" s="449">
        <v>0</v>
      </c>
      <c r="F79" s="449">
        <v>0</v>
      </c>
      <c r="G79" s="449">
        <v>94852.04</v>
      </c>
    </row>
    <row r="80" spans="1:7">
      <c r="A80" s="432" t="str">
        <f t="shared" si="1"/>
        <v xml:space="preserve">211200163 </v>
      </c>
      <c r="B80" s="448" t="s">
        <v>1963</v>
      </c>
      <c r="C80" s="449">
        <v>-73154.559999999998</v>
      </c>
      <c r="D80" s="449">
        <v>73154.559999999998</v>
      </c>
      <c r="E80" s="449">
        <v>0</v>
      </c>
      <c r="F80" s="449">
        <v>0</v>
      </c>
      <c r="G80" s="449">
        <v>73154.559999999998</v>
      </c>
    </row>
    <row r="81" spans="1:7">
      <c r="A81" s="432" t="str">
        <f t="shared" si="1"/>
        <v xml:space="preserve">211200173 </v>
      </c>
      <c r="B81" s="448" t="s">
        <v>2977</v>
      </c>
      <c r="C81" s="449">
        <v>0</v>
      </c>
      <c r="D81" s="450">
        <v>0</v>
      </c>
      <c r="E81" s="449">
        <v>-135009</v>
      </c>
      <c r="F81" s="449">
        <v>-135009</v>
      </c>
      <c r="G81" s="449">
        <v>-135009</v>
      </c>
    </row>
    <row r="82" spans="1:7">
      <c r="A82" s="432" t="str">
        <f t="shared" si="1"/>
        <v>2117</v>
      </c>
      <c r="B82" s="455" t="s">
        <v>926</v>
      </c>
      <c r="C82" s="456">
        <v>-3137332.29</v>
      </c>
      <c r="D82" s="456">
        <v>27442518.399999999</v>
      </c>
      <c r="E82" s="456">
        <v>-28002835.829999998</v>
      </c>
      <c r="F82" s="456">
        <v>-3697649.72</v>
      </c>
      <c r="G82" s="456">
        <v>-560317.43000000005</v>
      </c>
    </row>
    <row r="83" spans="1:7">
      <c r="A83" s="432" t="str">
        <f t="shared" si="1"/>
        <v xml:space="preserve">211700001 </v>
      </c>
      <c r="B83" s="448" t="s">
        <v>1964</v>
      </c>
      <c r="C83" s="449">
        <v>0</v>
      </c>
      <c r="D83" s="449">
        <v>2385419.0499999998</v>
      </c>
      <c r="E83" s="449">
        <v>-2385419.0499999998</v>
      </c>
      <c r="F83" s="449">
        <v>0</v>
      </c>
      <c r="G83" s="449">
        <v>0</v>
      </c>
    </row>
    <row r="84" spans="1:7">
      <c r="A84" s="432" t="str">
        <f t="shared" si="1"/>
        <v xml:space="preserve">211700002 </v>
      </c>
      <c r="B84" s="448" t="s">
        <v>1965</v>
      </c>
      <c r="C84" s="449">
        <v>0</v>
      </c>
      <c r="D84" s="449">
        <v>438056.84</v>
      </c>
      <c r="E84" s="449">
        <v>-438056.84</v>
      </c>
      <c r="F84" s="449">
        <v>0</v>
      </c>
      <c r="G84" s="449">
        <v>0</v>
      </c>
    </row>
    <row r="85" spans="1:7">
      <c r="A85" s="432" t="str">
        <f t="shared" si="1"/>
        <v xml:space="preserve">211700004 </v>
      </c>
      <c r="B85" s="448" t="s">
        <v>1966</v>
      </c>
      <c r="C85" s="449">
        <v>0</v>
      </c>
      <c r="D85" s="449">
        <v>53350.5</v>
      </c>
      <c r="E85" s="449">
        <v>-53350.5</v>
      </c>
      <c r="F85" s="449">
        <v>0</v>
      </c>
      <c r="G85" s="449">
        <v>0</v>
      </c>
    </row>
    <row r="86" spans="1:7">
      <c r="A86" s="432" t="str">
        <f t="shared" si="1"/>
        <v xml:space="preserve">211700009 </v>
      </c>
      <c r="B86" s="448" t="s">
        <v>1967</v>
      </c>
      <c r="C86" s="449">
        <v>0</v>
      </c>
      <c r="D86" s="449">
        <v>1058617.6000000001</v>
      </c>
      <c r="E86" s="449">
        <v>-1058617.6000000001</v>
      </c>
      <c r="F86" s="449">
        <v>0</v>
      </c>
      <c r="G86" s="449">
        <v>0</v>
      </c>
    </row>
    <row r="87" spans="1:7">
      <c r="A87" s="432" t="str">
        <f t="shared" si="1"/>
        <v xml:space="preserve">211700011 </v>
      </c>
      <c r="B87" s="448" t="s">
        <v>1968</v>
      </c>
      <c r="C87" s="449">
        <v>-5998.91</v>
      </c>
      <c r="D87" s="449">
        <v>3386714.64</v>
      </c>
      <c r="E87" s="449">
        <v>-3386714.64</v>
      </c>
      <c r="F87" s="449">
        <v>-5998.91</v>
      </c>
      <c r="G87" s="449">
        <v>0</v>
      </c>
    </row>
    <row r="88" spans="1:7">
      <c r="A88" s="432" t="str">
        <f t="shared" si="1"/>
        <v xml:space="preserve">211700101 </v>
      </c>
      <c r="B88" s="448" t="s">
        <v>1969</v>
      </c>
      <c r="C88" s="449">
        <v>-2881110.89</v>
      </c>
      <c r="D88" s="449">
        <v>12020435.27</v>
      </c>
      <c r="E88" s="449">
        <v>-12547549.74</v>
      </c>
      <c r="F88" s="449">
        <v>-3408225.36</v>
      </c>
      <c r="G88" s="449">
        <v>-527114.47</v>
      </c>
    </row>
    <row r="89" spans="1:7">
      <c r="A89" s="432" t="str">
        <f t="shared" si="1"/>
        <v xml:space="preserve">211700102 </v>
      </c>
      <c r="B89" s="448" t="s">
        <v>1970</v>
      </c>
      <c r="C89" s="449">
        <v>-23868.959999999999</v>
      </c>
      <c r="D89" s="449">
        <v>452454.6</v>
      </c>
      <c r="E89" s="449">
        <v>-444413.19</v>
      </c>
      <c r="F89" s="449">
        <v>-15827.55</v>
      </c>
      <c r="G89" s="449">
        <v>8041.41</v>
      </c>
    </row>
    <row r="90" spans="1:7">
      <c r="A90" s="432" t="str">
        <f t="shared" si="1"/>
        <v xml:space="preserve">211700103 </v>
      </c>
      <c r="B90" s="448" t="s">
        <v>1971</v>
      </c>
      <c r="C90" s="449">
        <v>-8049.77</v>
      </c>
      <c r="D90" s="449">
        <v>12653</v>
      </c>
      <c r="E90" s="449">
        <v>-11252.5</v>
      </c>
      <c r="F90" s="449">
        <v>-6649.27</v>
      </c>
      <c r="G90" s="449">
        <v>1400.5</v>
      </c>
    </row>
    <row r="91" spans="1:7">
      <c r="A91" s="432" t="str">
        <f t="shared" si="1"/>
        <v xml:space="preserve">211700104 </v>
      </c>
      <c r="B91" s="448" t="s">
        <v>1972</v>
      </c>
      <c r="C91" s="449">
        <v>-4473.74</v>
      </c>
      <c r="D91" s="449">
        <v>56610</v>
      </c>
      <c r="E91" s="449">
        <v>-55553.94</v>
      </c>
      <c r="F91" s="449">
        <v>-3417.68</v>
      </c>
      <c r="G91" s="449">
        <v>1056.06</v>
      </c>
    </row>
    <row r="92" spans="1:7">
      <c r="A92" s="432" t="str">
        <f t="shared" si="1"/>
        <v xml:space="preserve">211700109 </v>
      </c>
      <c r="B92" s="448" t="s">
        <v>1973</v>
      </c>
      <c r="C92" s="449">
        <v>-844.86</v>
      </c>
      <c r="D92" s="449">
        <v>8386</v>
      </c>
      <c r="E92" s="449">
        <v>-8171.88</v>
      </c>
      <c r="F92" s="449">
        <v>-630.74</v>
      </c>
      <c r="G92" s="449">
        <v>214.12</v>
      </c>
    </row>
    <row r="93" spans="1:7">
      <c r="A93" s="432" t="str">
        <f t="shared" si="1"/>
        <v xml:space="preserve">211700110 </v>
      </c>
      <c r="B93" s="448" t="s">
        <v>1974</v>
      </c>
      <c r="C93" s="449">
        <v>-205054.36</v>
      </c>
      <c r="D93" s="449">
        <v>1135025.21</v>
      </c>
      <c r="E93" s="449">
        <v>-1178940.26</v>
      </c>
      <c r="F93" s="449">
        <v>-248969.41</v>
      </c>
      <c r="G93" s="449">
        <v>-43915.05</v>
      </c>
    </row>
    <row r="94" spans="1:7">
      <c r="A94" s="432" t="str">
        <f t="shared" si="1"/>
        <v xml:space="preserve">211700201 </v>
      </c>
      <c r="B94" s="448" t="s">
        <v>1975</v>
      </c>
      <c r="C94" s="449">
        <v>-2339.9499999999998</v>
      </c>
      <c r="D94" s="449">
        <v>191375.35999999999</v>
      </c>
      <c r="E94" s="449">
        <v>-191375.35999999999</v>
      </c>
      <c r="F94" s="449">
        <v>-2339.9499999999998</v>
      </c>
      <c r="G94" s="449">
        <v>0</v>
      </c>
    </row>
    <row r="95" spans="1:7">
      <c r="A95" s="432" t="str">
        <f t="shared" si="1"/>
        <v xml:space="preserve">211700203 </v>
      </c>
      <c r="B95" s="448" t="s">
        <v>1976</v>
      </c>
      <c r="C95" s="449">
        <v>0</v>
      </c>
      <c r="D95" s="449">
        <v>502804.1</v>
      </c>
      <c r="E95" s="449">
        <v>-502804.1</v>
      </c>
      <c r="F95" s="449">
        <v>0</v>
      </c>
      <c r="G95" s="449">
        <v>0</v>
      </c>
    </row>
    <row r="96" spans="1:7">
      <c r="A96" s="432" t="str">
        <f t="shared" si="1"/>
        <v xml:space="preserve">211700303 </v>
      </c>
      <c r="B96" s="448" t="s">
        <v>1977</v>
      </c>
      <c r="C96" s="449">
        <v>-5590.8</v>
      </c>
      <c r="D96" s="449">
        <v>5599320.46</v>
      </c>
      <c r="E96" s="449">
        <v>-5599320.46</v>
      </c>
      <c r="F96" s="449">
        <v>-5590.8</v>
      </c>
      <c r="G96" s="449">
        <v>0</v>
      </c>
    </row>
    <row r="97" spans="1:7">
      <c r="A97" s="432" t="str">
        <f t="shared" si="1"/>
        <v xml:space="preserve">211700309 </v>
      </c>
      <c r="B97" s="448" t="s">
        <v>1978</v>
      </c>
      <c r="C97" s="449">
        <v>0.02</v>
      </c>
      <c r="D97" s="449">
        <v>115594.16</v>
      </c>
      <c r="E97" s="449">
        <v>-115594.16</v>
      </c>
      <c r="F97" s="449">
        <v>0.02</v>
      </c>
      <c r="G97" s="449">
        <v>0</v>
      </c>
    </row>
    <row r="98" spans="1:7">
      <c r="A98" s="432" t="str">
        <f t="shared" si="1"/>
        <v xml:space="preserve">211700314 </v>
      </c>
      <c r="B98" s="448" t="s">
        <v>1979</v>
      </c>
      <c r="C98" s="449">
        <v>-7.0000000000000007E-2</v>
      </c>
      <c r="D98" s="449">
        <v>7675.03</v>
      </c>
      <c r="E98" s="449">
        <v>-7675.03</v>
      </c>
      <c r="F98" s="449">
        <v>-7.0000000000000007E-2</v>
      </c>
      <c r="G98" s="449">
        <v>0</v>
      </c>
    </row>
    <row r="99" spans="1:7">
      <c r="A99" s="432" t="str">
        <f t="shared" si="1"/>
        <v xml:space="preserve">211700317 </v>
      </c>
      <c r="B99" s="448" t="s">
        <v>1980</v>
      </c>
      <c r="C99" s="449">
        <v>0</v>
      </c>
      <c r="D99" s="449">
        <v>6848.38</v>
      </c>
      <c r="E99" s="449">
        <v>-6848.38</v>
      </c>
      <c r="F99" s="449">
        <v>0</v>
      </c>
      <c r="G99" s="449">
        <v>0</v>
      </c>
    </row>
    <row r="100" spans="1:7">
      <c r="A100" s="432" t="str">
        <f t="shared" si="1"/>
        <v xml:space="preserve">211700902 </v>
      </c>
      <c r="B100" s="448" t="s">
        <v>1981</v>
      </c>
      <c r="C100" s="449">
        <v>0</v>
      </c>
      <c r="D100" s="449">
        <v>11178.2</v>
      </c>
      <c r="E100" s="449">
        <v>-11178.2</v>
      </c>
      <c r="F100" s="449">
        <v>0</v>
      </c>
      <c r="G100" s="449">
        <v>0</v>
      </c>
    </row>
    <row r="101" spans="1:7">
      <c r="A101" s="432" t="str">
        <f t="shared" si="1"/>
        <v>2119</v>
      </c>
      <c r="B101" s="455" t="s">
        <v>927</v>
      </c>
      <c r="C101" s="456">
        <v>-30581.24</v>
      </c>
      <c r="D101" s="456">
        <v>40747555.609999999</v>
      </c>
      <c r="E101" s="456">
        <v>-40716974.369999997</v>
      </c>
      <c r="F101" s="456">
        <v>0</v>
      </c>
      <c r="G101" s="456">
        <v>30581.24</v>
      </c>
    </row>
    <row r="102" spans="1:7">
      <c r="A102" s="432" t="str">
        <f t="shared" si="1"/>
        <v xml:space="preserve">211900001 </v>
      </c>
      <c r="B102" s="448" t="s">
        <v>1982</v>
      </c>
      <c r="C102" s="449">
        <v>0</v>
      </c>
      <c r="D102" s="449">
        <v>40705440.030000001</v>
      </c>
      <c r="E102" s="449">
        <v>-40705440.030000001</v>
      </c>
      <c r="F102" s="449">
        <v>0</v>
      </c>
      <c r="G102" s="449">
        <v>0</v>
      </c>
    </row>
    <row r="103" spans="1:7">
      <c r="A103" s="432" t="str">
        <f t="shared" si="1"/>
        <v xml:space="preserve">211900053 </v>
      </c>
      <c r="B103" s="448" t="s">
        <v>1983</v>
      </c>
      <c r="C103" s="449">
        <v>-19369.86</v>
      </c>
      <c r="D103" s="449">
        <v>23148.86</v>
      </c>
      <c r="E103" s="449">
        <v>-3779</v>
      </c>
      <c r="F103" s="449">
        <v>0</v>
      </c>
      <c r="G103" s="449">
        <v>19369.86</v>
      </c>
    </row>
    <row r="104" spans="1:7">
      <c r="A104" s="432" t="str">
        <f t="shared" si="1"/>
        <v xml:space="preserve">211900056 </v>
      </c>
      <c r="B104" s="448" t="s">
        <v>1984</v>
      </c>
      <c r="C104" s="449">
        <v>-11211.38</v>
      </c>
      <c r="D104" s="449">
        <v>18966.72</v>
      </c>
      <c r="E104" s="449">
        <v>-7755.34</v>
      </c>
      <c r="F104" s="449">
        <v>0</v>
      </c>
      <c r="G104" s="449">
        <v>11211.38</v>
      </c>
    </row>
    <row r="105" spans="1:7">
      <c r="A105" s="432" t="str">
        <f t="shared" si="1"/>
        <v>2150</v>
      </c>
      <c r="B105" s="455" t="s">
        <v>1985</v>
      </c>
      <c r="C105" s="456">
        <v>-18500</v>
      </c>
      <c r="D105" s="899">
        <v>0</v>
      </c>
      <c r="E105" s="456">
        <v>0</v>
      </c>
      <c r="F105" s="456">
        <v>-18500</v>
      </c>
      <c r="G105" s="456">
        <v>0</v>
      </c>
    </row>
    <row r="106" spans="1:7">
      <c r="A106" s="432" t="str">
        <f t="shared" si="1"/>
        <v>2159</v>
      </c>
      <c r="B106" s="455" t="s">
        <v>1986</v>
      </c>
      <c r="C106" s="456">
        <v>-18500</v>
      </c>
      <c r="D106" s="899">
        <v>0</v>
      </c>
      <c r="E106" s="456">
        <v>0</v>
      </c>
      <c r="F106" s="456">
        <v>-18500</v>
      </c>
      <c r="G106" s="456">
        <v>0</v>
      </c>
    </row>
    <row r="107" spans="1:7">
      <c r="A107" s="432" t="str">
        <f t="shared" si="1"/>
        <v xml:space="preserve">215900001 </v>
      </c>
      <c r="B107" s="448" t="s">
        <v>1987</v>
      </c>
      <c r="C107" s="449">
        <v>-18500</v>
      </c>
      <c r="D107" s="450">
        <v>0</v>
      </c>
      <c r="E107" s="449">
        <v>0</v>
      </c>
      <c r="F107" s="449">
        <v>-18500</v>
      </c>
      <c r="G107" s="449">
        <v>0</v>
      </c>
    </row>
    <row r="108" spans="1:7">
      <c r="A108" s="432" t="str">
        <f t="shared" si="1"/>
        <v>2200</v>
      </c>
      <c r="B108" s="455" t="s">
        <v>797</v>
      </c>
      <c r="C108" s="456">
        <v>-2058413.68</v>
      </c>
      <c r="D108" s="456">
        <v>707.21</v>
      </c>
      <c r="E108" s="456">
        <v>-176265.92</v>
      </c>
      <c r="F108" s="456">
        <v>-2233972.39</v>
      </c>
      <c r="G108" s="456">
        <v>-175558.71</v>
      </c>
    </row>
    <row r="109" spans="1:7">
      <c r="A109" s="432" t="str">
        <f t="shared" si="1"/>
        <v>2260</v>
      </c>
      <c r="B109" s="455" t="s">
        <v>928</v>
      </c>
      <c r="C109" s="456">
        <v>-2058413.68</v>
      </c>
      <c r="D109" s="456">
        <v>707.21</v>
      </c>
      <c r="E109" s="456">
        <v>-176265.92</v>
      </c>
      <c r="F109" s="456">
        <v>-2233972.39</v>
      </c>
      <c r="G109" s="456">
        <v>-175558.71</v>
      </c>
    </row>
    <row r="110" spans="1:7">
      <c r="A110" s="432" t="str">
        <f t="shared" si="1"/>
        <v>2269</v>
      </c>
      <c r="B110" s="455" t="s">
        <v>929</v>
      </c>
      <c r="C110" s="456">
        <v>-2058413.68</v>
      </c>
      <c r="D110" s="456">
        <v>707.21</v>
      </c>
      <c r="E110" s="456">
        <v>-176265.92</v>
      </c>
      <c r="F110" s="456">
        <v>-2233972.39</v>
      </c>
      <c r="G110" s="456">
        <v>-175558.71</v>
      </c>
    </row>
    <row r="111" spans="1:7">
      <c r="A111" s="432" t="str">
        <f t="shared" si="1"/>
        <v xml:space="preserve">226900001 </v>
      </c>
      <c r="B111" s="448" t="s">
        <v>1988</v>
      </c>
      <c r="C111" s="449">
        <v>-2058413.68</v>
      </c>
      <c r="D111" s="449">
        <v>707.21</v>
      </c>
      <c r="E111" s="449">
        <v>-176265.92</v>
      </c>
      <c r="F111" s="449">
        <v>-2233972.39</v>
      </c>
      <c r="G111" s="449">
        <v>-175558.71</v>
      </c>
    </row>
    <row r="112" spans="1:7">
      <c r="A112" s="432" t="str">
        <f t="shared" si="1"/>
        <v>3000</v>
      </c>
      <c r="B112" s="455" t="s">
        <v>798</v>
      </c>
      <c r="C112" s="456">
        <v>-25770683.190000001</v>
      </c>
      <c r="D112" s="456">
        <v>96375130.120000005</v>
      </c>
      <c r="E112" s="456">
        <v>-99232102.319999993</v>
      </c>
      <c r="F112" s="456">
        <v>-28627655.390000001</v>
      </c>
      <c r="G112" s="456">
        <v>-2856972.2</v>
      </c>
    </row>
    <row r="113" spans="1:7">
      <c r="A113" s="432" t="str">
        <f t="shared" si="1"/>
        <v>3100</v>
      </c>
      <c r="B113" s="455" t="s">
        <v>930</v>
      </c>
      <c r="C113" s="456">
        <v>-26724265.559999999</v>
      </c>
      <c r="D113" s="456">
        <v>4726302.8899999997</v>
      </c>
      <c r="E113" s="456">
        <v>-5579764.0300000003</v>
      </c>
      <c r="F113" s="456">
        <v>-27577726.699999999</v>
      </c>
      <c r="G113" s="456">
        <v>-853461.14</v>
      </c>
    </row>
    <row r="114" spans="1:7">
      <c r="A114" s="432" t="str">
        <f t="shared" si="1"/>
        <v>3110</v>
      </c>
      <c r="B114" s="455" t="s">
        <v>799</v>
      </c>
      <c r="C114" s="456">
        <v>-26724265.559999999</v>
      </c>
      <c r="D114" s="456">
        <v>4726302.8899999997</v>
      </c>
      <c r="E114" s="456">
        <v>-5579764.0300000003</v>
      </c>
      <c r="F114" s="456">
        <v>-27577726.699999999</v>
      </c>
      <c r="G114" s="456">
        <v>-853461.14</v>
      </c>
    </row>
    <row r="115" spans="1:7">
      <c r="A115" s="432" t="str">
        <f t="shared" si="1"/>
        <v>3110</v>
      </c>
      <c r="B115" s="455" t="s">
        <v>800</v>
      </c>
      <c r="C115" s="456">
        <v>-26724265.559999999</v>
      </c>
      <c r="D115" s="456">
        <v>4726302.8899999997</v>
      </c>
      <c r="E115" s="456">
        <v>-5579764.0300000003</v>
      </c>
      <c r="F115" s="456">
        <v>-27577726.699999999</v>
      </c>
      <c r="G115" s="456">
        <v>-853461.14</v>
      </c>
    </row>
    <row r="116" spans="1:7">
      <c r="A116" s="432" t="str">
        <f t="shared" si="1"/>
        <v xml:space="preserve">311009105 </v>
      </c>
      <c r="B116" s="448" t="s">
        <v>1989</v>
      </c>
      <c r="C116" s="449">
        <v>-3008906.9</v>
      </c>
      <c r="D116" s="449">
        <v>3117258.79</v>
      </c>
      <c r="E116" s="449">
        <v>-2570857.13</v>
      </c>
      <c r="F116" s="449">
        <v>-2462505.2400000002</v>
      </c>
      <c r="G116" s="449">
        <v>546401.66</v>
      </c>
    </row>
    <row r="117" spans="1:7">
      <c r="A117" s="432" t="str">
        <f t="shared" si="1"/>
        <v xml:space="preserve">311009115 </v>
      </c>
      <c r="B117" s="448" t="s">
        <v>1990</v>
      </c>
      <c r="C117" s="449">
        <v>-22106314.559999999</v>
      </c>
      <c r="D117" s="450">
        <v>0</v>
      </c>
      <c r="E117" s="449">
        <v>-3008906.9</v>
      </c>
      <c r="F117" s="449">
        <v>-25115221.460000001</v>
      </c>
      <c r="G117" s="449">
        <v>-3008906.9</v>
      </c>
    </row>
    <row r="118" spans="1:7">
      <c r="A118" s="432" t="str">
        <f t="shared" si="1"/>
        <v xml:space="preserve">311009999 </v>
      </c>
      <c r="B118" s="448" t="s">
        <v>1991</v>
      </c>
      <c r="C118" s="449">
        <v>-1609044.1</v>
      </c>
      <c r="D118" s="449">
        <v>1609044.1</v>
      </c>
      <c r="E118" s="449">
        <v>0</v>
      </c>
      <c r="F118" s="449">
        <v>0</v>
      </c>
      <c r="G118" s="449">
        <v>1609044.1</v>
      </c>
    </row>
    <row r="119" spans="1:7">
      <c r="A119" s="432" t="str">
        <f t="shared" si="1"/>
        <v>3200</v>
      </c>
      <c r="B119" s="455" t="s">
        <v>801</v>
      </c>
      <c r="C119" s="456">
        <v>953582.37</v>
      </c>
      <c r="D119" s="456">
        <v>91648827.230000004</v>
      </c>
      <c r="E119" s="456">
        <v>-93652338.290000007</v>
      </c>
      <c r="F119" s="456">
        <v>-1049928.69</v>
      </c>
      <c r="G119" s="456">
        <v>-2003511.06</v>
      </c>
    </row>
    <row r="120" spans="1:7">
      <c r="A120" s="432" t="str">
        <f t="shared" si="1"/>
        <v>3210</v>
      </c>
      <c r="B120" s="455" t="s">
        <v>802</v>
      </c>
      <c r="C120" s="456">
        <v>0</v>
      </c>
      <c r="D120" s="456">
        <v>91645048.230000004</v>
      </c>
      <c r="E120" s="456">
        <v>-92039515.189999998</v>
      </c>
      <c r="F120" s="456">
        <v>-394466.96</v>
      </c>
      <c r="G120" s="456">
        <v>-394466.96</v>
      </c>
    </row>
    <row r="121" spans="1:7">
      <c r="A121" s="432" t="str">
        <f t="shared" si="1"/>
        <v>3210</v>
      </c>
      <c r="B121" s="455" t="s">
        <v>803</v>
      </c>
      <c r="C121" s="456">
        <v>0</v>
      </c>
      <c r="D121" s="456">
        <v>91645048.230000004</v>
      </c>
      <c r="E121" s="456">
        <v>-92039515.189999998</v>
      </c>
      <c r="F121" s="456">
        <v>-394466.96</v>
      </c>
      <c r="G121" s="456">
        <v>-394466.96</v>
      </c>
    </row>
    <row r="122" spans="1:7">
      <c r="A122" s="432" t="str">
        <f t="shared" si="1"/>
        <v>3220</v>
      </c>
      <c r="B122" s="455" t="s">
        <v>931</v>
      </c>
      <c r="C122" s="456">
        <v>953582.37</v>
      </c>
      <c r="D122" s="456">
        <v>3779</v>
      </c>
      <c r="E122" s="456">
        <v>-1612823.1</v>
      </c>
      <c r="F122" s="456">
        <v>-655461.73</v>
      </c>
      <c r="G122" s="456">
        <v>-1609044.1</v>
      </c>
    </row>
    <row r="123" spans="1:7">
      <c r="A123" s="432" t="str">
        <f t="shared" si="1"/>
        <v>3220</v>
      </c>
      <c r="B123" s="455" t="s">
        <v>932</v>
      </c>
      <c r="C123" s="456">
        <v>953582.37</v>
      </c>
      <c r="D123" s="456">
        <v>3779</v>
      </c>
      <c r="E123" s="456">
        <v>-1612823.1</v>
      </c>
      <c r="F123" s="456">
        <v>-655461.73</v>
      </c>
      <c r="G123" s="456">
        <v>-1609044.1</v>
      </c>
    </row>
    <row r="124" spans="1:7">
      <c r="A124" s="432" t="str">
        <f t="shared" si="1"/>
        <v xml:space="preserve">322000005 </v>
      </c>
      <c r="B124" s="448" t="s">
        <v>1992</v>
      </c>
      <c r="C124" s="449">
        <v>22077.06</v>
      </c>
      <c r="D124" s="449">
        <v>0</v>
      </c>
      <c r="E124" s="450">
        <v>0</v>
      </c>
      <c r="F124" s="449">
        <v>22077.06</v>
      </c>
      <c r="G124" s="449">
        <v>0</v>
      </c>
    </row>
    <row r="125" spans="1:7">
      <c r="A125" s="432" t="str">
        <f t="shared" si="1"/>
        <v xml:space="preserve">322000006 </v>
      </c>
      <c r="B125" s="448" t="s">
        <v>1993</v>
      </c>
      <c r="C125" s="449">
        <v>118830.46</v>
      </c>
      <c r="D125" s="449">
        <v>0</v>
      </c>
      <c r="E125" s="450">
        <v>0</v>
      </c>
      <c r="F125" s="449">
        <v>118830.46</v>
      </c>
      <c r="G125" s="449">
        <v>0</v>
      </c>
    </row>
    <row r="126" spans="1:7">
      <c r="A126" s="432" t="str">
        <f t="shared" si="1"/>
        <v xml:space="preserve">322000007 </v>
      </c>
      <c r="B126" s="448" t="s">
        <v>1994</v>
      </c>
      <c r="C126" s="449">
        <v>920176.59</v>
      </c>
      <c r="D126" s="449">
        <v>0</v>
      </c>
      <c r="E126" s="450">
        <v>0</v>
      </c>
      <c r="F126" s="449">
        <v>920176.59</v>
      </c>
      <c r="G126" s="449">
        <v>0</v>
      </c>
    </row>
    <row r="127" spans="1:7">
      <c r="A127" s="432" t="str">
        <f t="shared" si="1"/>
        <v xml:space="preserve">322000008 </v>
      </c>
      <c r="B127" s="448" t="s">
        <v>1995</v>
      </c>
      <c r="C127" s="449">
        <v>965800.64</v>
      </c>
      <c r="D127" s="449">
        <v>0</v>
      </c>
      <c r="E127" s="450">
        <v>0</v>
      </c>
      <c r="F127" s="449">
        <v>965800.64</v>
      </c>
      <c r="G127" s="449">
        <v>0</v>
      </c>
    </row>
    <row r="128" spans="1:7">
      <c r="A128" s="432" t="str">
        <f t="shared" si="1"/>
        <v xml:space="preserve">322000009 </v>
      </c>
      <c r="B128" s="448" t="s">
        <v>1996</v>
      </c>
      <c r="C128" s="449">
        <v>785416.01</v>
      </c>
      <c r="D128" s="449">
        <v>0</v>
      </c>
      <c r="E128" s="450">
        <v>0</v>
      </c>
      <c r="F128" s="449">
        <v>785416.01</v>
      </c>
      <c r="G128" s="449">
        <v>0</v>
      </c>
    </row>
    <row r="129" spans="1:7">
      <c r="A129" s="432" t="str">
        <f t="shared" si="1"/>
        <v xml:space="preserve">322000010 </v>
      </c>
      <c r="B129" s="448" t="s">
        <v>1997</v>
      </c>
      <c r="C129" s="449">
        <v>1304745.5900000001</v>
      </c>
      <c r="D129" s="449">
        <v>0</v>
      </c>
      <c r="E129" s="449">
        <v>0</v>
      </c>
      <c r="F129" s="449">
        <v>1304745.5900000001</v>
      </c>
      <c r="G129" s="449">
        <v>0</v>
      </c>
    </row>
    <row r="130" spans="1:7">
      <c r="A130" s="432" t="str">
        <f t="shared" si="1"/>
        <v xml:space="preserve">322000011 </v>
      </c>
      <c r="B130" s="448" t="s">
        <v>1998</v>
      </c>
      <c r="C130" s="449">
        <v>271904.45</v>
      </c>
      <c r="D130" s="449">
        <v>0</v>
      </c>
      <c r="E130" s="449">
        <v>-684258.34</v>
      </c>
      <c r="F130" s="449">
        <v>-412353.89</v>
      </c>
      <c r="G130" s="449">
        <v>-684258.34</v>
      </c>
    </row>
    <row r="131" spans="1:7">
      <c r="A131" s="432" t="str">
        <f t="shared" ref="A131:A194" si="2">IF(LEFT(B131,1)=" ",MID(B131,7,10),MID(B131,7,4))</f>
        <v xml:space="preserve">322000012 </v>
      </c>
      <c r="B131" s="448" t="s">
        <v>1999</v>
      </c>
      <c r="C131" s="449">
        <v>556049.84</v>
      </c>
      <c r="D131" s="449">
        <v>0</v>
      </c>
      <c r="E131" s="449">
        <v>-64264.17</v>
      </c>
      <c r="F131" s="449">
        <v>491785.67</v>
      </c>
      <c r="G131" s="449">
        <v>-64264.17</v>
      </c>
    </row>
    <row r="132" spans="1:7">
      <c r="A132" s="432" t="str">
        <f t="shared" si="2"/>
        <v xml:space="preserve">322000013 </v>
      </c>
      <c r="B132" s="448" t="s">
        <v>2000</v>
      </c>
      <c r="C132" s="449">
        <v>-4048007.42</v>
      </c>
      <c r="D132" s="450">
        <v>0</v>
      </c>
      <c r="E132" s="449">
        <v>-110000</v>
      </c>
      <c r="F132" s="449">
        <v>-4158007.42</v>
      </c>
      <c r="G132" s="449">
        <v>-110000</v>
      </c>
    </row>
    <row r="133" spans="1:7">
      <c r="A133" s="432" t="str">
        <f t="shared" si="2"/>
        <v xml:space="preserve">322000014 </v>
      </c>
      <c r="B133" s="448" t="s">
        <v>2001</v>
      </c>
      <c r="C133" s="449">
        <v>631199.18999999994</v>
      </c>
      <c r="D133" s="449">
        <v>0</v>
      </c>
      <c r="E133" s="449">
        <v>-160929.93</v>
      </c>
      <c r="F133" s="449">
        <v>470269.26</v>
      </c>
      <c r="G133" s="449">
        <v>-160929.93</v>
      </c>
    </row>
    <row r="134" spans="1:7">
      <c r="A134" s="432" t="str">
        <f t="shared" si="2"/>
        <v xml:space="preserve">322000015 </v>
      </c>
      <c r="B134" s="448" t="s">
        <v>2002</v>
      </c>
      <c r="C134" s="449">
        <v>1332152.8400000001</v>
      </c>
      <c r="D134" s="449">
        <v>0</v>
      </c>
      <c r="E134" s="449">
        <v>-144675</v>
      </c>
      <c r="F134" s="449">
        <v>1187477.8400000001</v>
      </c>
      <c r="G134" s="449">
        <v>-144675</v>
      </c>
    </row>
    <row r="135" spans="1:7">
      <c r="A135" s="432" t="str">
        <f t="shared" si="2"/>
        <v xml:space="preserve">322000016 </v>
      </c>
      <c r="B135" s="448" t="s">
        <v>2003</v>
      </c>
      <c r="C135" s="449">
        <v>1484625.68</v>
      </c>
      <c r="D135" s="449">
        <v>3779</v>
      </c>
      <c r="E135" s="449">
        <v>-448695.66</v>
      </c>
      <c r="F135" s="449">
        <v>1039709.02</v>
      </c>
      <c r="G135" s="449">
        <v>-444916.66</v>
      </c>
    </row>
    <row r="136" spans="1:7">
      <c r="A136" s="432" t="str">
        <f t="shared" si="2"/>
        <v xml:space="preserve">322000100 </v>
      </c>
      <c r="B136" s="448" t="s">
        <v>2004</v>
      </c>
      <c r="C136" s="449">
        <v>-3391388.56</v>
      </c>
      <c r="D136" s="450">
        <v>0</v>
      </c>
      <c r="E136" s="449">
        <v>0</v>
      </c>
      <c r="F136" s="449">
        <v>-3391388.56</v>
      </c>
      <c r="G136" s="449">
        <v>0</v>
      </c>
    </row>
    <row r="137" spans="1:7">
      <c r="A137" s="432" t="str">
        <f t="shared" si="2"/>
        <v xml:space="preserve">322000101 </v>
      </c>
      <c r="B137" s="448" t="s">
        <v>2005</v>
      </c>
      <c r="C137" s="449">
        <v>1143346.4099999999</v>
      </c>
      <c r="D137" s="449">
        <v>0</v>
      </c>
      <c r="E137" s="450">
        <v>0</v>
      </c>
      <c r="F137" s="449">
        <v>1143346.4099999999</v>
      </c>
      <c r="G137" s="449">
        <v>0</v>
      </c>
    </row>
    <row r="138" spans="1:7">
      <c r="A138" s="432" t="str">
        <f t="shared" si="2"/>
        <v xml:space="preserve">322001000 </v>
      </c>
      <c r="B138" s="448" t="s">
        <v>2006</v>
      </c>
      <c r="C138" s="449">
        <v>-1143346.4099999999</v>
      </c>
      <c r="D138" s="450">
        <v>0</v>
      </c>
      <c r="E138" s="449">
        <v>0</v>
      </c>
      <c r="F138" s="449">
        <v>-1143346.4099999999</v>
      </c>
      <c r="G138" s="449">
        <v>0</v>
      </c>
    </row>
    <row r="139" spans="1:7">
      <c r="A139" s="432" t="str">
        <f t="shared" si="2"/>
        <v>Acti</v>
      </c>
      <c r="B139" s="453" t="s">
        <v>1704</v>
      </c>
      <c r="C139" s="454">
        <v>0</v>
      </c>
      <c r="D139" s="454">
        <v>91645048.230000004</v>
      </c>
      <c r="E139" s="454">
        <v>-92039515.189999998</v>
      </c>
      <c r="F139" s="454">
        <v>-394466.96</v>
      </c>
      <c r="G139" s="454">
        <v>-394466.96</v>
      </c>
    </row>
    <row r="140" spans="1:7">
      <c r="A140" s="432" t="str">
        <f t="shared" si="2"/>
        <v>4000</v>
      </c>
      <c r="B140" s="455" t="s">
        <v>933</v>
      </c>
      <c r="C140" s="456">
        <v>0</v>
      </c>
      <c r="D140" s="456">
        <v>2819289.42</v>
      </c>
      <c r="E140" s="456">
        <v>-89220523.599999994</v>
      </c>
      <c r="F140" s="456">
        <v>-86401234.180000007</v>
      </c>
      <c r="G140" s="456">
        <v>-86401234.180000007</v>
      </c>
    </row>
    <row r="141" spans="1:7">
      <c r="A141" s="432" t="str">
        <f t="shared" si="2"/>
        <v>4100</v>
      </c>
      <c r="B141" s="455" t="s">
        <v>1525</v>
      </c>
      <c r="C141" s="456">
        <v>0</v>
      </c>
      <c r="D141" s="456">
        <v>70763.42</v>
      </c>
      <c r="E141" s="456">
        <v>-2996297.73</v>
      </c>
      <c r="F141" s="456">
        <v>-2925534.31</v>
      </c>
      <c r="G141" s="456">
        <v>-2925534.31</v>
      </c>
    </row>
    <row r="142" spans="1:7">
      <c r="A142" s="432" t="str">
        <f t="shared" si="2"/>
        <v>4170</v>
      </c>
      <c r="B142" s="455" t="s">
        <v>1526</v>
      </c>
      <c r="C142" s="456">
        <v>0</v>
      </c>
      <c r="D142" s="456">
        <v>70763.42</v>
      </c>
      <c r="E142" s="456">
        <v>-2996297.73</v>
      </c>
      <c r="F142" s="456">
        <v>-2925534.31</v>
      </c>
      <c r="G142" s="456">
        <v>-2925534.31</v>
      </c>
    </row>
    <row r="143" spans="1:7">
      <c r="A143" s="432" t="str">
        <f t="shared" si="2"/>
        <v>4173</v>
      </c>
      <c r="B143" s="455" t="s">
        <v>1527</v>
      </c>
      <c r="C143" s="456">
        <v>0</v>
      </c>
      <c r="D143" s="456">
        <v>70763.42</v>
      </c>
      <c r="E143" s="456">
        <v>-2996297.73</v>
      </c>
      <c r="F143" s="456">
        <v>-2925534.31</v>
      </c>
      <c r="G143" s="456">
        <v>-2925534.31</v>
      </c>
    </row>
    <row r="144" spans="1:7">
      <c r="A144" s="432" t="str">
        <f t="shared" si="2"/>
        <v xml:space="preserve">417307101 </v>
      </c>
      <c r="B144" s="448" t="s">
        <v>2007</v>
      </c>
      <c r="C144" s="449">
        <v>0</v>
      </c>
      <c r="D144" s="449">
        <v>68500</v>
      </c>
      <c r="E144" s="449">
        <v>-1965000</v>
      </c>
      <c r="F144" s="449">
        <v>-1896500</v>
      </c>
      <c r="G144" s="449">
        <v>-1896500</v>
      </c>
    </row>
    <row r="145" spans="1:7">
      <c r="A145" s="432" t="str">
        <f t="shared" si="2"/>
        <v xml:space="preserve">417307102 </v>
      </c>
      <c r="B145" s="448" t="s">
        <v>2008</v>
      </c>
      <c r="C145" s="449">
        <v>0</v>
      </c>
      <c r="D145" s="450">
        <v>0</v>
      </c>
      <c r="E145" s="449">
        <v>-880</v>
      </c>
      <c r="F145" s="449">
        <v>-880</v>
      </c>
      <c r="G145" s="449">
        <v>-880</v>
      </c>
    </row>
    <row r="146" spans="1:7">
      <c r="A146" s="432" t="str">
        <f t="shared" si="2"/>
        <v xml:space="preserve">417307114 </v>
      </c>
      <c r="B146" s="448" t="s">
        <v>2009</v>
      </c>
      <c r="C146" s="449">
        <v>0</v>
      </c>
      <c r="D146" s="449">
        <v>2263.42</v>
      </c>
      <c r="E146" s="449">
        <v>-1030417.73</v>
      </c>
      <c r="F146" s="449">
        <v>-1028154.31</v>
      </c>
      <c r="G146" s="449">
        <v>-1028154.31</v>
      </c>
    </row>
    <row r="147" spans="1:7">
      <c r="A147" s="432" t="str">
        <f t="shared" si="2"/>
        <v>4200</v>
      </c>
      <c r="B147" s="455" t="s">
        <v>934</v>
      </c>
      <c r="C147" s="456">
        <v>0</v>
      </c>
      <c r="D147" s="456">
        <v>2748526</v>
      </c>
      <c r="E147" s="456">
        <v>-86224225.870000005</v>
      </c>
      <c r="F147" s="456">
        <v>-83475699.870000005</v>
      </c>
      <c r="G147" s="456">
        <v>-83475699.870000005</v>
      </c>
    </row>
    <row r="148" spans="1:7">
      <c r="A148" s="432" t="str">
        <f t="shared" si="2"/>
        <v>4220</v>
      </c>
      <c r="B148" s="455" t="s">
        <v>935</v>
      </c>
      <c r="C148" s="456">
        <v>0</v>
      </c>
      <c r="D148" s="456">
        <v>2748526</v>
      </c>
      <c r="E148" s="456">
        <v>-86224225.870000005</v>
      </c>
      <c r="F148" s="456">
        <v>-83475699.870000005</v>
      </c>
      <c r="G148" s="456">
        <v>-83475699.870000005</v>
      </c>
    </row>
    <row r="149" spans="1:7">
      <c r="A149" s="432" t="str">
        <f t="shared" si="2"/>
        <v>4221</v>
      </c>
      <c r="B149" s="455" t="s">
        <v>936</v>
      </c>
      <c r="C149" s="456">
        <v>0</v>
      </c>
      <c r="D149" s="456">
        <v>2748526</v>
      </c>
      <c r="E149" s="456">
        <v>-86224225.870000005</v>
      </c>
      <c r="F149" s="456">
        <v>-83475699.870000005</v>
      </c>
      <c r="G149" s="456">
        <v>-83475699.870000005</v>
      </c>
    </row>
    <row r="150" spans="1:7">
      <c r="A150" s="432" t="str">
        <f t="shared" si="2"/>
        <v xml:space="preserve">422109101 </v>
      </c>
      <c r="B150" s="448" t="s">
        <v>2010</v>
      </c>
      <c r="C150" s="449">
        <v>0</v>
      </c>
      <c r="D150" s="449">
        <v>830172.23</v>
      </c>
      <c r="E150" s="449">
        <v>-66754296.420000002</v>
      </c>
      <c r="F150" s="449">
        <v>-65924124.189999998</v>
      </c>
      <c r="G150" s="449">
        <v>-65924124.189999998</v>
      </c>
    </row>
    <row r="151" spans="1:7">
      <c r="A151" s="432" t="str">
        <f t="shared" si="2"/>
        <v xml:space="preserve">422109102 </v>
      </c>
      <c r="B151" s="448" t="s">
        <v>2011</v>
      </c>
      <c r="C151" s="449">
        <v>0</v>
      </c>
      <c r="D151" s="449">
        <v>360752.79</v>
      </c>
      <c r="E151" s="449">
        <v>-2260191.36</v>
      </c>
      <c r="F151" s="449">
        <v>-1899438.57</v>
      </c>
      <c r="G151" s="449">
        <v>-1899438.57</v>
      </c>
    </row>
    <row r="152" spans="1:7">
      <c r="A152" s="432" t="str">
        <f t="shared" si="2"/>
        <v xml:space="preserve">422109103 </v>
      </c>
      <c r="B152" s="448" t="s">
        <v>2012</v>
      </c>
      <c r="C152" s="449">
        <v>0</v>
      </c>
      <c r="D152" s="449">
        <v>1307600.98</v>
      </c>
      <c r="E152" s="449">
        <v>-16959738.09</v>
      </c>
      <c r="F152" s="449">
        <v>-15652137.109999999</v>
      </c>
      <c r="G152" s="449">
        <v>-15652137.109999999</v>
      </c>
    </row>
    <row r="153" spans="1:7">
      <c r="A153" s="432" t="str">
        <f t="shared" si="2"/>
        <v xml:space="preserve">422109107 </v>
      </c>
      <c r="B153" s="448" t="s">
        <v>2013</v>
      </c>
      <c r="C153" s="449">
        <v>0</v>
      </c>
      <c r="D153" s="449">
        <v>250000</v>
      </c>
      <c r="E153" s="449">
        <v>-250000</v>
      </c>
      <c r="F153" s="449">
        <v>0</v>
      </c>
      <c r="G153" s="449">
        <v>0</v>
      </c>
    </row>
    <row r="154" spans="1:7">
      <c r="A154" s="432" t="str">
        <f t="shared" si="2"/>
        <v>5000</v>
      </c>
      <c r="B154" s="455" t="s">
        <v>937</v>
      </c>
      <c r="C154" s="456">
        <v>0</v>
      </c>
      <c r="D154" s="456">
        <v>88825758.810000002</v>
      </c>
      <c r="E154" s="456">
        <v>-2818991.59</v>
      </c>
      <c r="F154" s="456">
        <v>86006767.219999999</v>
      </c>
      <c r="G154" s="456">
        <v>86006767.219999999</v>
      </c>
    </row>
    <row r="155" spans="1:7">
      <c r="A155" s="432" t="str">
        <f t="shared" si="2"/>
        <v>5100</v>
      </c>
      <c r="B155" s="455" t="s">
        <v>938</v>
      </c>
      <c r="C155" s="456">
        <v>0</v>
      </c>
      <c r="D155" s="456">
        <v>86294691.459999993</v>
      </c>
      <c r="E155" s="456">
        <v>-2818991.59</v>
      </c>
      <c r="F155" s="456">
        <v>83475699.870000005</v>
      </c>
      <c r="G155" s="456">
        <v>83475699.870000005</v>
      </c>
    </row>
    <row r="156" spans="1:7">
      <c r="A156" s="432" t="str">
        <f t="shared" si="2"/>
        <v>5110</v>
      </c>
      <c r="B156" s="455" t="s">
        <v>804</v>
      </c>
      <c r="C156" s="456">
        <v>0</v>
      </c>
      <c r="D156" s="456">
        <v>68030264.340000004</v>
      </c>
      <c r="E156" s="456">
        <v>-2106140.15</v>
      </c>
      <c r="F156" s="456">
        <v>65924124.189999998</v>
      </c>
      <c r="G156" s="456">
        <v>65924124.189999998</v>
      </c>
    </row>
    <row r="157" spans="1:7">
      <c r="A157" s="432" t="str">
        <f t="shared" si="2"/>
        <v>5111</v>
      </c>
      <c r="B157" s="455" t="s">
        <v>939</v>
      </c>
      <c r="C157" s="456">
        <v>0</v>
      </c>
      <c r="D157" s="456">
        <v>16023349.42</v>
      </c>
      <c r="E157" s="456">
        <v>-602686.42000000004</v>
      </c>
      <c r="F157" s="456">
        <v>15420663</v>
      </c>
      <c r="G157" s="456">
        <v>15420663</v>
      </c>
    </row>
    <row r="158" spans="1:7">
      <c r="A158" s="432" t="str">
        <f t="shared" si="2"/>
        <v xml:space="preserve">511101131 </v>
      </c>
      <c r="B158" s="448" t="s">
        <v>2014</v>
      </c>
      <c r="C158" s="449">
        <v>0</v>
      </c>
      <c r="D158" s="449">
        <v>16023349.42</v>
      </c>
      <c r="E158" s="449">
        <v>-602686.42000000004</v>
      </c>
      <c r="F158" s="449">
        <v>15420663</v>
      </c>
      <c r="G158" s="449">
        <v>15420663</v>
      </c>
    </row>
    <row r="159" spans="1:7">
      <c r="A159" s="432" t="str">
        <f t="shared" si="2"/>
        <v>5112</v>
      </c>
      <c r="B159" s="455" t="s">
        <v>2015</v>
      </c>
      <c r="C159" s="456">
        <v>0</v>
      </c>
      <c r="D159" s="456">
        <v>2555732.5299999998</v>
      </c>
      <c r="E159" s="456">
        <v>-36195.089999999997</v>
      </c>
      <c r="F159" s="456">
        <v>2519537.44</v>
      </c>
      <c r="G159" s="456">
        <v>2519537.44</v>
      </c>
    </row>
    <row r="160" spans="1:7">
      <c r="A160" s="432" t="str">
        <f t="shared" si="2"/>
        <v xml:space="preserve">511201212 </v>
      </c>
      <c r="B160" s="448" t="s">
        <v>2016</v>
      </c>
      <c r="C160" s="449">
        <v>0</v>
      </c>
      <c r="D160" s="449">
        <v>2555732.5299999998</v>
      </c>
      <c r="E160" s="449">
        <v>-36195.089999999997</v>
      </c>
      <c r="F160" s="449">
        <v>2519537.44</v>
      </c>
      <c r="G160" s="449">
        <v>2519537.44</v>
      </c>
    </row>
    <row r="161" spans="1:7">
      <c r="A161" s="432" t="str">
        <f t="shared" si="2"/>
        <v>5113</v>
      </c>
      <c r="B161" s="455" t="s">
        <v>940</v>
      </c>
      <c r="C161" s="456">
        <v>0</v>
      </c>
      <c r="D161" s="456">
        <v>7738140.6100000003</v>
      </c>
      <c r="E161" s="456">
        <v>-9260.77</v>
      </c>
      <c r="F161" s="456">
        <v>7728879.8399999999</v>
      </c>
      <c r="G161" s="456">
        <v>7728879.8399999999</v>
      </c>
    </row>
    <row r="162" spans="1:7">
      <c r="A162" s="432" t="str">
        <f t="shared" si="2"/>
        <v xml:space="preserve">511301311 </v>
      </c>
      <c r="B162" s="448" t="s">
        <v>2017</v>
      </c>
      <c r="C162" s="449">
        <v>0</v>
      </c>
      <c r="D162" s="449">
        <v>34919.68</v>
      </c>
      <c r="E162" s="449">
        <v>-1541.14</v>
      </c>
      <c r="F162" s="449">
        <v>33378.54</v>
      </c>
      <c r="G162" s="449">
        <v>33378.54</v>
      </c>
    </row>
    <row r="163" spans="1:7">
      <c r="A163" s="432" t="str">
        <f t="shared" si="2"/>
        <v xml:space="preserve">511301321 </v>
      </c>
      <c r="B163" s="448" t="s">
        <v>2018</v>
      </c>
      <c r="C163" s="449">
        <v>0</v>
      </c>
      <c r="D163" s="449">
        <v>1365731.7</v>
      </c>
      <c r="E163" s="450">
        <v>0</v>
      </c>
      <c r="F163" s="449">
        <v>1365731.7</v>
      </c>
      <c r="G163" s="449">
        <v>1365731.7</v>
      </c>
    </row>
    <row r="164" spans="1:7">
      <c r="A164" s="432" t="str">
        <f t="shared" si="2"/>
        <v xml:space="preserve">511301323 </v>
      </c>
      <c r="B164" s="448" t="s">
        <v>2019</v>
      </c>
      <c r="C164" s="449">
        <v>0</v>
      </c>
      <c r="D164" s="449">
        <v>6000623.5800000001</v>
      </c>
      <c r="E164" s="450">
        <v>0</v>
      </c>
      <c r="F164" s="449">
        <v>6000623.5800000001</v>
      </c>
      <c r="G164" s="449">
        <v>6000623.5800000001</v>
      </c>
    </row>
    <row r="165" spans="1:7">
      <c r="A165" s="432" t="str">
        <f t="shared" si="2"/>
        <v xml:space="preserve">511301342 </v>
      </c>
      <c r="B165" s="448" t="s">
        <v>2020</v>
      </c>
      <c r="C165" s="449">
        <v>0</v>
      </c>
      <c r="D165" s="449">
        <v>336865.65</v>
      </c>
      <c r="E165" s="449">
        <v>-7719.63</v>
      </c>
      <c r="F165" s="449">
        <v>329146.02</v>
      </c>
      <c r="G165" s="449">
        <v>329146.02</v>
      </c>
    </row>
    <row r="166" spans="1:7">
      <c r="A166" s="432" t="str">
        <f t="shared" si="2"/>
        <v>5114</v>
      </c>
      <c r="B166" s="455" t="s">
        <v>805</v>
      </c>
      <c r="C166" s="456">
        <v>0</v>
      </c>
      <c r="D166" s="456">
        <v>4790018.96</v>
      </c>
      <c r="E166" s="456">
        <v>-186793.72</v>
      </c>
      <c r="F166" s="456">
        <v>4603225.24</v>
      </c>
      <c r="G166" s="456">
        <v>4603225.24</v>
      </c>
    </row>
    <row r="167" spans="1:7">
      <c r="A167" s="432" t="str">
        <f t="shared" si="2"/>
        <v xml:space="preserve">511401411 </v>
      </c>
      <c r="B167" s="448" t="s">
        <v>2021</v>
      </c>
      <c r="C167" s="449">
        <v>0</v>
      </c>
      <c r="D167" s="449">
        <v>3442397.5</v>
      </c>
      <c r="E167" s="449">
        <v>-127679.78</v>
      </c>
      <c r="F167" s="449">
        <v>3314717.72</v>
      </c>
      <c r="G167" s="449">
        <v>3314717.72</v>
      </c>
    </row>
    <row r="168" spans="1:7">
      <c r="A168" s="432" t="str">
        <f t="shared" si="2"/>
        <v xml:space="preserve">511401412 </v>
      </c>
      <c r="B168" s="448" t="s">
        <v>2022</v>
      </c>
      <c r="C168" s="449">
        <v>0</v>
      </c>
      <c r="D168" s="449">
        <v>1058655.97</v>
      </c>
      <c r="E168" s="449">
        <v>-39949.94</v>
      </c>
      <c r="F168" s="449">
        <v>1018706.03</v>
      </c>
      <c r="G168" s="449">
        <v>1018706.03</v>
      </c>
    </row>
    <row r="169" spans="1:7">
      <c r="A169" s="432" t="str">
        <f t="shared" si="2"/>
        <v xml:space="preserve">511401441 </v>
      </c>
      <c r="B169" s="448" t="s">
        <v>2023</v>
      </c>
      <c r="C169" s="449">
        <v>0</v>
      </c>
      <c r="D169" s="449">
        <v>288965.49</v>
      </c>
      <c r="E169" s="449">
        <v>-19164</v>
      </c>
      <c r="F169" s="449">
        <v>269801.49</v>
      </c>
      <c r="G169" s="449">
        <v>269801.49</v>
      </c>
    </row>
    <row r="170" spans="1:7">
      <c r="A170" s="432" t="str">
        <f t="shared" si="2"/>
        <v>5115</v>
      </c>
      <c r="B170" s="455" t="s">
        <v>941</v>
      </c>
      <c r="C170" s="456">
        <v>0</v>
      </c>
      <c r="D170" s="456">
        <v>35576833.539999999</v>
      </c>
      <c r="E170" s="456">
        <v>-1270542.6499999999</v>
      </c>
      <c r="F170" s="456">
        <v>34306290.890000001</v>
      </c>
      <c r="G170" s="456">
        <v>34306290.890000001</v>
      </c>
    </row>
    <row r="171" spans="1:7">
      <c r="A171" s="432" t="str">
        <f t="shared" si="2"/>
        <v xml:space="preserve">511501531 </v>
      </c>
      <c r="B171" s="448" t="s">
        <v>2024</v>
      </c>
      <c r="C171" s="449">
        <v>0</v>
      </c>
      <c r="D171" s="449">
        <v>1612956.6</v>
      </c>
      <c r="E171" s="450">
        <v>0</v>
      </c>
      <c r="F171" s="449">
        <v>1612956.6</v>
      </c>
      <c r="G171" s="449">
        <v>1612956.6</v>
      </c>
    </row>
    <row r="172" spans="1:7">
      <c r="A172" s="432" t="str">
        <f t="shared" si="2"/>
        <v xml:space="preserve">511501541 </v>
      </c>
      <c r="B172" s="448" t="s">
        <v>2025</v>
      </c>
      <c r="C172" s="449">
        <v>0</v>
      </c>
      <c r="D172" s="449">
        <v>16169371.92</v>
      </c>
      <c r="E172" s="449">
        <v>-610456.56000000006</v>
      </c>
      <c r="F172" s="449">
        <v>15558915.359999999</v>
      </c>
      <c r="G172" s="449">
        <v>15558915.359999999</v>
      </c>
    </row>
    <row r="173" spans="1:7">
      <c r="A173" s="432" t="str">
        <f t="shared" si="2"/>
        <v xml:space="preserve">511501591 </v>
      </c>
      <c r="B173" s="448" t="s">
        <v>2026</v>
      </c>
      <c r="C173" s="449">
        <v>0</v>
      </c>
      <c r="D173" s="449">
        <v>17451992.48</v>
      </c>
      <c r="E173" s="449">
        <v>-649795.13</v>
      </c>
      <c r="F173" s="449">
        <v>16802197.350000001</v>
      </c>
      <c r="G173" s="449">
        <v>16802197.350000001</v>
      </c>
    </row>
    <row r="174" spans="1:7">
      <c r="A174" s="432" t="str">
        <f t="shared" si="2"/>
        <v xml:space="preserve">511501592 </v>
      </c>
      <c r="B174" s="448" t="s">
        <v>2027</v>
      </c>
      <c r="C174" s="449">
        <v>0</v>
      </c>
      <c r="D174" s="449">
        <v>342512.54</v>
      </c>
      <c r="E174" s="449">
        <v>-10290.959999999999</v>
      </c>
      <c r="F174" s="449">
        <v>332221.58</v>
      </c>
      <c r="G174" s="449">
        <v>332221.58</v>
      </c>
    </row>
    <row r="175" spans="1:7">
      <c r="A175" s="432" t="str">
        <f t="shared" si="2"/>
        <v>5116</v>
      </c>
      <c r="B175" s="455" t="s">
        <v>2543</v>
      </c>
      <c r="C175" s="456">
        <v>0</v>
      </c>
      <c r="D175" s="456">
        <v>1346189.28</v>
      </c>
      <c r="E175" s="456">
        <v>-661.5</v>
      </c>
      <c r="F175" s="456">
        <v>1345527.78</v>
      </c>
      <c r="G175" s="456">
        <v>1345527.78</v>
      </c>
    </row>
    <row r="176" spans="1:7">
      <c r="A176" s="432" t="str">
        <f t="shared" si="2"/>
        <v xml:space="preserve">511601711 </v>
      </c>
      <c r="B176" s="448" t="s">
        <v>2978</v>
      </c>
      <c r="C176" s="449">
        <v>0</v>
      </c>
      <c r="D176" s="449">
        <v>1317362.1599999999</v>
      </c>
      <c r="E176" s="449">
        <v>-661.5</v>
      </c>
      <c r="F176" s="449">
        <v>1316700.6599999999</v>
      </c>
      <c r="G176" s="449">
        <v>1316700.6599999999</v>
      </c>
    </row>
    <row r="177" spans="1:7">
      <c r="A177" s="432" t="str">
        <f t="shared" si="2"/>
        <v xml:space="preserve">511601712 </v>
      </c>
      <c r="B177" s="448" t="s">
        <v>2544</v>
      </c>
      <c r="C177" s="449">
        <v>0</v>
      </c>
      <c r="D177" s="449">
        <v>28827.119999999999</v>
      </c>
      <c r="E177" s="450">
        <v>0</v>
      </c>
      <c r="F177" s="449">
        <v>28827.119999999999</v>
      </c>
      <c r="G177" s="449">
        <v>28827.119999999999</v>
      </c>
    </row>
    <row r="178" spans="1:7">
      <c r="A178" s="432" t="str">
        <f t="shared" si="2"/>
        <v>5120</v>
      </c>
      <c r="B178" s="455" t="s">
        <v>942</v>
      </c>
      <c r="C178" s="456">
        <v>0</v>
      </c>
      <c r="D178" s="456">
        <v>1925624.07</v>
      </c>
      <c r="E178" s="456">
        <v>-26185.5</v>
      </c>
      <c r="F178" s="456">
        <v>1899438.57</v>
      </c>
      <c r="G178" s="456">
        <v>1899438.57</v>
      </c>
    </row>
    <row r="179" spans="1:7">
      <c r="A179" s="432" t="str">
        <f t="shared" si="2"/>
        <v>5121</v>
      </c>
      <c r="B179" s="455" t="s">
        <v>943</v>
      </c>
      <c r="C179" s="456">
        <v>0</v>
      </c>
      <c r="D179" s="456">
        <v>900332.04</v>
      </c>
      <c r="E179" s="899">
        <v>0</v>
      </c>
      <c r="F179" s="456">
        <v>900332.04</v>
      </c>
      <c r="G179" s="456">
        <v>900332.04</v>
      </c>
    </row>
    <row r="180" spans="1:7">
      <c r="A180" s="432" t="str">
        <f t="shared" si="2"/>
        <v xml:space="preserve">512102111 </v>
      </c>
      <c r="B180" s="448" t="s">
        <v>2028</v>
      </c>
      <c r="C180" s="449">
        <v>0</v>
      </c>
      <c r="D180" s="449">
        <v>256155.42</v>
      </c>
      <c r="E180" s="450">
        <v>0</v>
      </c>
      <c r="F180" s="449">
        <v>256155.42</v>
      </c>
      <c r="G180" s="449">
        <v>256155.42</v>
      </c>
    </row>
    <row r="181" spans="1:7">
      <c r="A181" s="432" t="str">
        <f t="shared" si="2"/>
        <v xml:space="preserve">512102112 </v>
      </c>
      <c r="B181" s="448" t="s">
        <v>2029</v>
      </c>
      <c r="C181" s="449">
        <v>0</v>
      </c>
      <c r="D181" s="449">
        <v>25295.599999999999</v>
      </c>
      <c r="E181" s="450">
        <v>0</v>
      </c>
      <c r="F181" s="449">
        <v>25295.599999999999</v>
      </c>
      <c r="G181" s="449">
        <v>25295.599999999999</v>
      </c>
    </row>
    <row r="182" spans="1:7">
      <c r="A182" s="432" t="str">
        <f t="shared" si="2"/>
        <v xml:space="preserve">512102141 </v>
      </c>
      <c r="B182" s="448" t="s">
        <v>2030</v>
      </c>
      <c r="C182" s="449">
        <v>0</v>
      </c>
      <c r="D182" s="449">
        <v>383130.03</v>
      </c>
      <c r="E182" s="450">
        <v>0</v>
      </c>
      <c r="F182" s="449">
        <v>383130.03</v>
      </c>
      <c r="G182" s="449">
        <v>383130.03</v>
      </c>
    </row>
    <row r="183" spans="1:7">
      <c r="A183" s="432" t="str">
        <f t="shared" si="2"/>
        <v xml:space="preserve">512102151 </v>
      </c>
      <c r="B183" s="448" t="s">
        <v>2031</v>
      </c>
      <c r="C183" s="449">
        <v>0</v>
      </c>
      <c r="D183" s="449">
        <v>77563</v>
      </c>
      <c r="E183" s="450">
        <v>0</v>
      </c>
      <c r="F183" s="449">
        <v>77563</v>
      </c>
      <c r="G183" s="449">
        <v>77563</v>
      </c>
    </row>
    <row r="184" spans="1:7">
      <c r="A184" s="432" t="str">
        <f t="shared" si="2"/>
        <v xml:space="preserve">512102161 </v>
      </c>
      <c r="B184" s="448" t="s">
        <v>2545</v>
      </c>
      <c r="C184" s="449">
        <v>0</v>
      </c>
      <c r="D184" s="449">
        <v>158187.99</v>
      </c>
      <c r="E184" s="450">
        <v>0</v>
      </c>
      <c r="F184" s="449">
        <v>158187.99</v>
      </c>
      <c r="G184" s="449">
        <v>158187.99</v>
      </c>
    </row>
    <row r="185" spans="1:7">
      <c r="A185" s="432" t="str">
        <f t="shared" si="2"/>
        <v>5122</v>
      </c>
      <c r="B185" s="455" t="s">
        <v>944</v>
      </c>
      <c r="C185" s="456">
        <v>0</v>
      </c>
      <c r="D185" s="456">
        <v>16466.810000000001</v>
      </c>
      <c r="E185" s="899">
        <v>0</v>
      </c>
      <c r="F185" s="456">
        <v>16466.810000000001</v>
      </c>
      <c r="G185" s="456">
        <v>16466.810000000001</v>
      </c>
    </row>
    <row r="186" spans="1:7">
      <c r="A186" s="432" t="str">
        <f t="shared" si="2"/>
        <v xml:space="preserve">512202212 </v>
      </c>
      <c r="B186" s="448" t="s">
        <v>2032</v>
      </c>
      <c r="C186" s="449">
        <v>0</v>
      </c>
      <c r="D186" s="449">
        <v>16466.810000000001</v>
      </c>
      <c r="E186" s="450">
        <v>0</v>
      </c>
      <c r="F186" s="449">
        <v>16466.810000000001</v>
      </c>
      <c r="G186" s="449">
        <v>16466.810000000001</v>
      </c>
    </row>
    <row r="187" spans="1:7">
      <c r="A187" s="432" t="str">
        <f t="shared" si="2"/>
        <v>5124</v>
      </c>
      <c r="B187" s="455" t="s">
        <v>945</v>
      </c>
      <c r="C187" s="456">
        <v>0</v>
      </c>
      <c r="D187" s="456">
        <v>31420.17</v>
      </c>
      <c r="E187" s="899">
        <v>0</v>
      </c>
      <c r="F187" s="456">
        <v>31420.17</v>
      </c>
      <c r="G187" s="456">
        <v>31420.17</v>
      </c>
    </row>
    <row r="188" spans="1:7">
      <c r="A188" s="432" t="str">
        <f t="shared" si="2"/>
        <v xml:space="preserve">512402461 </v>
      </c>
      <c r="B188" s="448" t="s">
        <v>2568</v>
      </c>
      <c r="C188" s="449">
        <v>0</v>
      </c>
      <c r="D188" s="449">
        <v>925.6</v>
      </c>
      <c r="E188" s="450">
        <v>0</v>
      </c>
      <c r="F188" s="449">
        <v>925.6</v>
      </c>
      <c r="G188" s="449">
        <v>925.6</v>
      </c>
    </row>
    <row r="189" spans="1:7">
      <c r="A189" s="432" t="str">
        <f t="shared" si="2"/>
        <v xml:space="preserve">512402481 </v>
      </c>
      <c r="B189" s="448" t="s">
        <v>2033</v>
      </c>
      <c r="C189" s="449">
        <v>0</v>
      </c>
      <c r="D189" s="449">
        <v>15736.17</v>
      </c>
      <c r="E189" s="450">
        <v>0</v>
      </c>
      <c r="F189" s="449">
        <v>15736.17</v>
      </c>
      <c r="G189" s="449">
        <v>15736.17</v>
      </c>
    </row>
    <row r="190" spans="1:7">
      <c r="A190" s="432" t="str">
        <f t="shared" si="2"/>
        <v xml:space="preserve">512402491 </v>
      </c>
      <c r="B190" s="448" t="s">
        <v>2569</v>
      </c>
      <c r="C190" s="449">
        <v>0</v>
      </c>
      <c r="D190" s="449">
        <v>14758.4</v>
      </c>
      <c r="E190" s="450">
        <v>0</v>
      </c>
      <c r="F190" s="449">
        <v>14758.4</v>
      </c>
      <c r="G190" s="449">
        <v>14758.4</v>
      </c>
    </row>
    <row r="191" spans="1:7">
      <c r="A191" s="432" t="str">
        <f t="shared" si="2"/>
        <v>5125</v>
      </c>
      <c r="B191" s="455" t="s">
        <v>2570</v>
      </c>
      <c r="C191" s="456">
        <v>0</v>
      </c>
      <c r="D191" s="456">
        <v>1564.5</v>
      </c>
      <c r="E191" s="899">
        <v>0</v>
      </c>
      <c r="F191" s="456">
        <v>1564.5</v>
      </c>
      <c r="G191" s="456">
        <v>1564.5</v>
      </c>
    </row>
    <row r="192" spans="1:7">
      <c r="A192" s="432" t="str">
        <f t="shared" si="2"/>
        <v xml:space="preserve">512502531 </v>
      </c>
      <c r="B192" s="448" t="s">
        <v>2571</v>
      </c>
      <c r="C192" s="449">
        <v>0</v>
      </c>
      <c r="D192" s="449">
        <v>1564.5</v>
      </c>
      <c r="E192" s="450">
        <v>0</v>
      </c>
      <c r="F192" s="449">
        <v>1564.5</v>
      </c>
      <c r="G192" s="449">
        <v>1564.5</v>
      </c>
    </row>
    <row r="193" spans="1:7">
      <c r="A193" s="432" t="str">
        <f t="shared" si="2"/>
        <v>5126</v>
      </c>
      <c r="B193" s="455" t="s">
        <v>946</v>
      </c>
      <c r="C193" s="456">
        <v>0</v>
      </c>
      <c r="D193" s="456">
        <v>802967.54</v>
      </c>
      <c r="E193" s="456">
        <v>-26185.5</v>
      </c>
      <c r="F193" s="456">
        <v>776782.04</v>
      </c>
      <c r="G193" s="456">
        <v>776782.04</v>
      </c>
    </row>
    <row r="194" spans="1:7">
      <c r="A194" s="432" t="str">
        <f t="shared" si="2"/>
        <v xml:space="preserve">512602612 </v>
      </c>
      <c r="B194" s="448" t="s">
        <v>2034</v>
      </c>
      <c r="C194" s="449">
        <v>0</v>
      </c>
      <c r="D194" s="449">
        <v>802967.54</v>
      </c>
      <c r="E194" s="449">
        <v>-26185.5</v>
      </c>
      <c r="F194" s="449">
        <v>776782.04</v>
      </c>
      <c r="G194" s="449">
        <v>776782.04</v>
      </c>
    </row>
    <row r="195" spans="1:7">
      <c r="A195" s="432" t="str">
        <f t="shared" ref="A195:A201" si="3">IF(LEFT(B195,1)=" ",MID(B195,7,10),MID(B195,7,4))</f>
        <v>5127</v>
      </c>
      <c r="B195" s="455" t="s">
        <v>2546</v>
      </c>
      <c r="C195" s="456">
        <v>0</v>
      </c>
      <c r="D195" s="456">
        <v>82033.850000000006</v>
      </c>
      <c r="E195" s="899">
        <v>0</v>
      </c>
      <c r="F195" s="456">
        <v>82033.850000000006</v>
      </c>
      <c r="G195" s="456">
        <v>82033.850000000006</v>
      </c>
    </row>
    <row r="196" spans="1:7">
      <c r="A196" s="432" t="str">
        <f t="shared" si="3"/>
        <v xml:space="preserve">512702711 </v>
      </c>
      <c r="B196" s="448" t="s">
        <v>2547</v>
      </c>
      <c r="C196" s="449">
        <v>0</v>
      </c>
      <c r="D196" s="449">
        <v>82033.850000000006</v>
      </c>
      <c r="E196" s="450">
        <v>0</v>
      </c>
      <c r="F196" s="449">
        <v>82033.850000000006</v>
      </c>
      <c r="G196" s="449">
        <v>82033.850000000006</v>
      </c>
    </row>
    <row r="197" spans="1:7">
      <c r="A197" s="432" t="str">
        <f t="shared" si="3"/>
        <v>5129</v>
      </c>
      <c r="B197" s="455" t="s">
        <v>947</v>
      </c>
      <c r="C197" s="456">
        <v>0</v>
      </c>
      <c r="D197" s="456">
        <v>90839.16</v>
      </c>
      <c r="E197" s="899">
        <v>0</v>
      </c>
      <c r="F197" s="456">
        <v>90839.16</v>
      </c>
      <c r="G197" s="456">
        <v>90839.16</v>
      </c>
    </row>
    <row r="198" spans="1:7">
      <c r="A198" s="432" t="str">
        <f t="shared" si="3"/>
        <v xml:space="preserve">512902911 </v>
      </c>
      <c r="B198" s="448" t="s">
        <v>2979</v>
      </c>
      <c r="C198" s="449">
        <v>0</v>
      </c>
      <c r="D198" s="449">
        <v>7749.35</v>
      </c>
      <c r="E198" s="450">
        <v>0</v>
      </c>
      <c r="F198" s="449">
        <v>7749.35</v>
      </c>
      <c r="G198" s="449">
        <v>7749.35</v>
      </c>
    </row>
    <row r="199" spans="1:7">
      <c r="A199" s="432" t="str">
        <f t="shared" si="3"/>
        <v xml:space="preserve">512902921 </v>
      </c>
      <c r="B199" s="448" t="s">
        <v>2548</v>
      </c>
      <c r="C199" s="449">
        <v>0</v>
      </c>
      <c r="D199" s="449">
        <v>1801.01</v>
      </c>
      <c r="E199" s="450">
        <v>0</v>
      </c>
      <c r="F199" s="449">
        <v>1801.01</v>
      </c>
      <c r="G199" s="449">
        <v>1801.01</v>
      </c>
    </row>
    <row r="200" spans="1:7">
      <c r="A200" s="432" t="str">
        <f t="shared" si="3"/>
        <v xml:space="preserve">512902941 </v>
      </c>
      <c r="B200" s="448" t="s">
        <v>2035</v>
      </c>
      <c r="C200" s="449">
        <v>0</v>
      </c>
      <c r="D200" s="449">
        <v>81288.800000000003</v>
      </c>
      <c r="E200" s="450">
        <v>0</v>
      </c>
      <c r="F200" s="449">
        <v>81288.800000000003</v>
      </c>
      <c r="G200" s="449">
        <v>81288.800000000003</v>
      </c>
    </row>
    <row r="201" spans="1:7">
      <c r="A201" s="432" t="str">
        <f t="shared" si="3"/>
        <v>5130</v>
      </c>
      <c r="B201" s="455" t="s">
        <v>806</v>
      </c>
      <c r="C201" s="456">
        <v>0</v>
      </c>
      <c r="D201" s="456">
        <v>16338803.050000001</v>
      </c>
      <c r="E201" s="456">
        <v>-686665.94</v>
      </c>
      <c r="F201" s="456">
        <v>15652137.109999999</v>
      </c>
      <c r="G201" s="456">
        <v>15652137.109999999</v>
      </c>
    </row>
    <row r="202" spans="1:7">
      <c r="A202" s="432" t="str">
        <f t="shared" ref="A202:A260" si="4">IF(LEFT(B202,1)=" ",MID(B202,7,10),MID(B202,7,4))</f>
        <v>5131</v>
      </c>
      <c r="B202" s="455" t="s">
        <v>807</v>
      </c>
      <c r="C202" s="456">
        <v>0</v>
      </c>
      <c r="D202" s="456">
        <v>1084084.82</v>
      </c>
      <c r="E202" s="456">
        <v>-86631</v>
      </c>
      <c r="F202" s="456">
        <v>997453.82</v>
      </c>
      <c r="G202" s="456">
        <v>997453.82</v>
      </c>
    </row>
    <row r="203" spans="1:7">
      <c r="A203" s="432" t="str">
        <f t="shared" si="4"/>
        <v xml:space="preserve">513103111 </v>
      </c>
      <c r="B203" s="448" t="s">
        <v>2036</v>
      </c>
      <c r="C203" s="449">
        <v>0</v>
      </c>
      <c r="D203" s="449">
        <v>348899</v>
      </c>
      <c r="E203" s="449">
        <v>-35000</v>
      </c>
      <c r="F203" s="449">
        <v>313899</v>
      </c>
      <c r="G203" s="449">
        <v>313899</v>
      </c>
    </row>
    <row r="204" spans="1:7">
      <c r="A204" s="432" t="str">
        <f t="shared" si="4"/>
        <v xml:space="preserve">513103131 </v>
      </c>
      <c r="B204" s="448" t="s">
        <v>2037</v>
      </c>
      <c r="C204" s="449">
        <v>0</v>
      </c>
      <c r="D204" s="449">
        <v>10124</v>
      </c>
      <c r="E204" s="449">
        <v>-692</v>
      </c>
      <c r="F204" s="449">
        <v>9432</v>
      </c>
      <c r="G204" s="449">
        <v>9432</v>
      </c>
    </row>
    <row r="205" spans="1:7">
      <c r="A205" s="432" t="str">
        <f t="shared" si="4"/>
        <v xml:space="preserve">513103141 </v>
      </c>
      <c r="B205" s="448" t="s">
        <v>2038</v>
      </c>
      <c r="C205" s="449">
        <v>0</v>
      </c>
      <c r="D205" s="449">
        <v>104871.99</v>
      </c>
      <c r="E205" s="449">
        <v>-13439</v>
      </c>
      <c r="F205" s="449">
        <v>91432.99</v>
      </c>
      <c r="G205" s="449">
        <v>91432.99</v>
      </c>
    </row>
    <row r="206" spans="1:7">
      <c r="A206" s="432" t="str">
        <f t="shared" si="4"/>
        <v xml:space="preserve">513103151 </v>
      </c>
      <c r="B206" s="448" t="s">
        <v>2039</v>
      </c>
      <c r="C206" s="449">
        <v>0</v>
      </c>
      <c r="D206" s="449">
        <v>80598</v>
      </c>
      <c r="E206" s="449">
        <v>-8000</v>
      </c>
      <c r="F206" s="449">
        <v>72598</v>
      </c>
      <c r="G206" s="449">
        <v>72598</v>
      </c>
    </row>
    <row r="207" spans="1:7">
      <c r="A207" s="432" t="str">
        <f t="shared" si="4"/>
        <v xml:space="preserve">513103171 </v>
      </c>
      <c r="B207" s="448" t="s">
        <v>2040</v>
      </c>
      <c r="C207" s="449">
        <v>0</v>
      </c>
      <c r="D207" s="449">
        <v>363066.33</v>
      </c>
      <c r="E207" s="449">
        <v>-29500</v>
      </c>
      <c r="F207" s="449">
        <v>333566.33</v>
      </c>
      <c r="G207" s="449">
        <v>333566.33</v>
      </c>
    </row>
    <row r="208" spans="1:7">
      <c r="A208" s="432" t="str">
        <f t="shared" si="4"/>
        <v xml:space="preserve">513103181 </v>
      </c>
      <c r="B208" s="448" t="s">
        <v>2041</v>
      </c>
      <c r="C208" s="449">
        <v>0</v>
      </c>
      <c r="D208" s="449">
        <v>176525.5</v>
      </c>
      <c r="E208" s="450">
        <v>0</v>
      </c>
      <c r="F208" s="449">
        <v>176525.5</v>
      </c>
      <c r="G208" s="449">
        <v>176525.5</v>
      </c>
    </row>
    <row r="209" spans="1:7">
      <c r="A209" s="432" t="str">
        <f t="shared" si="4"/>
        <v>5132</v>
      </c>
      <c r="B209" s="455" t="s">
        <v>1528</v>
      </c>
      <c r="C209" s="456">
        <v>0</v>
      </c>
      <c r="D209" s="456">
        <v>1685604.32</v>
      </c>
      <c r="E209" s="456">
        <v>-6728</v>
      </c>
      <c r="F209" s="456">
        <v>1678876.32</v>
      </c>
      <c r="G209" s="456">
        <v>1678876.32</v>
      </c>
    </row>
    <row r="210" spans="1:7">
      <c r="A210" s="432" t="str">
        <f t="shared" si="4"/>
        <v xml:space="preserve">513203221 </v>
      </c>
      <c r="B210" s="448" t="s">
        <v>2042</v>
      </c>
      <c r="C210" s="449">
        <v>0</v>
      </c>
      <c r="D210" s="449">
        <v>1462897.36</v>
      </c>
      <c r="E210" s="450">
        <v>0</v>
      </c>
      <c r="F210" s="449">
        <v>1462897.36</v>
      </c>
      <c r="G210" s="449">
        <v>1462897.36</v>
      </c>
    </row>
    <row r="211" spans="1:7">
      <c r="A211" s="432" t="str">
        <f t="shared" si="4"/>
        <v xml:space="preserve">513203231 </v>
      </c>
      <c r="B211" s="448" t="s">
        <v>2043</v>
      </c>
      <c r="C211" s="449">
        <v>0</v>
      </c>
      <c r="D211" s="449">
        <v>74008</v>
      </c>
      <c r="E211" s="450">
        <v>0</v>
      </c>
      <c r="F211" s="449">
        <v>74008</v>
      </c>
      <c r="G211" s="449">
        <v>74008</v>
      </c>
    </row>
    <row r="212" spans="1:7">
      <c r="A212" s="432" t="str">
        <f t="shared" si="4"/>
        <v xml:space="preserve">513203261 </v>
      </c>
      <c r="B212" s="448" t="s">
        <v>2980</v>
      </c>
      <c r="C212" s="449">
        <v>0</v>
      </c>
      <c r="D212" s="449">
        <v>13456</v>
      </c>
      <c r="E212" s="449">
        <v>-6728</v>
      </c>
      <c r="F212" s="449">
        <v>6728</v>
      </c>
      <c r="G212" s="449">
        <v>6728</v>
      </c>
    </row>
    <row r="213" spans="1:7">
      <c r="A213" s="432" t="str">
        <f t="shared" si="4"/>
        <v xml:space="preserve">513203271 </v>
      </c>
      <c r="B213" s="448" t="s">
        <v>2044</v>
      </c>
      <c r="C213" s="449">
        <v>0</v>
      </c>
      <c r="D213" s="449">
        <v>135242.96</v>
      </c>
      <c r="E213" s="450">
        <v>0</v>
      </c>
      <c r="F213" s="449">
        <v>135242.96</v>
      </c>
      <c r="G213" s="449">
        <v>135242.96</v>
      </c>
    </row>
    <row r="214" spans="1:7">
      <c r="A214" s="432" t="str">
        <f t="shared" si="4"/>
        <v>5133</v>
      </c>
      <c r="B214" s="455" t="s">
        <v>948</v>
      </c>
      <c r="C214" s="456">
        <v>0</v>
      </c>
      <c r="D214" s="456">
        <v>4593076.59</v>
      </c>
      <c r="E214" s="456">
        <v>-125596.74</v>
      </c>
      <c r="F214" s="456">
        <v>4467479.8499999996</v>
      </c>
      <c r="G214" s="456">
        <v>4467479.8499999996</v>
      </c>
    </row>
    <row r="215" spans="1:7">
      <c r="A215" s="432" t="str">
        <f t="shared" si="4"/>
        <v xml:space="preserve">513303312 </v>
      </c>
      <c r="B215" s="448" t="s">
        <v>2549</v>
      </c>
      <c r="C215" s="449">
        <v>0</v>
      </c>
      <c r="D215" s="449">
        <v>319000</v>
      </c>
      <c r="E215" s="449">
        <v>-40600</v>
      </c>
      <c r="F215" s="449">
        <v>278400</v>
      </c>
      <c r="G215" s="449">
        <v>278400</v>
      </c>
    </row>
    <row r="216" spans="1:7">
      <c r="A216" s="432" t="str">
        <f t="shared" si="4"/>
        <v xml:space="preserve">513303332 </v>
      </c>
      <c r="B216" s="448" t="s">
        <v>2045</v>
      </c>
      <c r="C216" s="449">
        <v>0</v>
      </c>
      <c r="D216" s="449">
        <v>1315380</v>
      </c>
      <c r="E216" s="450">
        <v>0</v>
      </c>
      <c r="F216" s="449">
        <v>1315380</v>
      </c>
      <c r="G216" s="449">
        <v>1315380</v>
      </c>
    </row>
    <row r="217" spans="1:7">
      <c r="A217" s="432" t="str">
        <f t="shared" si="4"/>
        <v xml:space="preserve">513303341 </v>
      </c>
      <c r="B217" s="448" t="s">
        <v>2046</v>
      </c>
      <c r="C217" s="449">
        <v>0</v>
      </c>
      <c r="D217" s="449">
        <v>1962879.48</v>
      </c>
      <c r="E217" s="449">
        <v>-84996.74</v>
      </c>
      <c r="F217" s="449">
        <v>1877882.74</v>
      </c>
      <c r="G217" s="449">
        <v>1877882.74</v>
      </c>
    </row>
    <row r="218" spans="1:7">
      <c r="A218" s="432" t="str">
        <f t="shared" si="4"/>
        <v xml:space="preserve">513303361 </v>
      </c>
      <c r="B218" s="448" t="s">
        <v>2047</v>
      </c>
      <c r="C218" s="449">
        <v>0</v>
      </c>
      <c r="D218" s="449">
        <v>683249.64</v>
      </c>
      <c r="E218" s="450">
        <v>0</v>
      </c>
      <c r="F218" s="449">
        <v>683249.64</v>
      </c>
      <c r="G218" s="449">
        <v>683249.64</v>
      </c>
    </row>
    <row r="219" spans="1:7">
      <c r="A219" s="432" t="str">
        <f t="shared" si="4"/>
        <v xml:space="preserve">513303381 </v>
      </c>
      <c r="B219" s="448" t="s">
        <v>2048</v>
      </c>
      <c r="C219" s="449">
        <v>0</v>
      </c>
      <c r="D219" s="449">
        <v>312567.46999999997</v>
      </c>
      <c r="E219" s="450">
        <v>0</v>
      </c>
      <c r="F219" s="449">
        <v>312567.46999999997</v>
      </c>
      <c r="G219" s="449">
        <v>312567.46999999997</v>
      </c>
    </row>
    <row r="220" spans="1:7">
      <c r="A220" s="432" t="str">
        <f t="shared" si="4"/>
        <v>5134</v>
      </c>
      <c r="B220" s="455" t="s">
        <v>2049</v>
      </c>
      <c r="C220" s="456">
        <v>0</v>
      </c>
      <c r="D220" s="456">
        <v>220343.55</v>
      </c>
      <c r="E220" s="456">
        <v>-29603.439999999999</v>
      </c>
      <c r="F220" s="456">
        <v>190740.11</v>
      </c>
      <c r="G220" s="456">
        <v>190740.11</v>
      </c>
    </row>
    <row r="221" spans="1:7">
      <c r="A221" s="432" t="str">
        <f t="shared" si="4"/>
        <v xml:space="preserve">513403411 </v>
      </c>
      <c r="B221" s="448" t="s">
        <v>2050</v>
      </c>
      <c r="C221" s="449">
        <v>0</v>
      </c>
      <c r="D221" s="449">
        <v>29318.34</v>
      </c>
      <c r="E221" s="449">
        <v>-26027.21</v>
      </c>
      <c r="F221" s="449">
        <v>3291.13</v>
      </c>
      <c r="G221" s="449">
        <v>3291.13</v>
      </c>
    </row>
    <row r="222" spans="1:7">
      <c r="A222" s="432" t="str">
        <f t="shared" si="4"/>
        <v xml:space="preserve">513403451 </v>
      </c>
      <c r="B222" s="448" t="s">
        <v>2550</v>
      </c>
      <c r="C222" s="449">
        <v>0</v>
      </c>
      <c r="D222" s="449">
        <v>147767.1</v>
      </c>
      <c r="E222" s="449">
        <v>-3576.23</v>
      </c>
      <c r="F222" s="449">
        <v>144190.87</v>
      </c>
      <c r="G222" s="449">
        <v>144190.87</v>
      </c>
    </row>
    <row r="223" spans="1:7">
      <c r="A223" s="432" t="str">
        <f t="shared" si="4"/>
        <v xml:space="preserve">513403471 </v>
      </c>
      <c r="B223" s="448" t="s">
        <v>2051</v>
      </c>
      <c r="C223" s="449">
        <v>0</v>
      </c>
      <c r="D223" s="449">
        <v>43258.11</v>
      </c>
      <c r="E223" s="450">
        <v>0</v>
      </c>
      <c r="F223" s="449">
        <v>43258.11</v>
      </c>
      <c r="G223" s="449">
        <v>43258.11</v>
      </c>
    </row>
    <row r="224" spans="1:7">
      <c r="A224" s="432" t="str">
        <f t="shared" si="4"/>
        <v>5135</v>
      </c>
      <c r="B224" s="455" t="s">
        <v>949</v>
      </c>
      <c r="C224" s="456">
        <v>0</v>
      </c>
      <c r="D224" s="456">
        <v>483408.84</v>
      </c>
      <c r="E224" s="456">
        <v>-16199.31</v>
      </c>
      <c r="F224" s="456">
        <v>467209.53</v>
      </c>
      <c r="G224" s="456">
        <v>467209.53</v>
      </c>
    </row>
    <row r="225" spans="1:7">
      <c r="A225" s="432" t="str">
        <f t="shared" si="4"/>
        <v xml:space="preserve">513503511 </v>
      </c>
      <c r="B225" s="448" t="s">
        <v>2052</v>
      </c>
      <c r="C225" s="449">
        <v>0</v>
      </c>
      <c r="D225" s="449">
        <v>71118.880000000005</v>
      </c>
      <c r="E225" s="450">
        <v>0</v>
      </c>
      <c r="F225" s="449">
        <v>71118.880000000005</v>
      </c>
      <c r="G225" s="449">
        <v>71118.880000000005</v>
      </c>
    </row>
    <row r="226" spans="1:7">
      <c r="A226" s="432" t="str">
        <f t="shared" si="4"/>
        <v xml:space="preserve">513503512 </v>
      </c>
      <c r="B226" s="448" t="s">
        <v>2572</v>
      </c>
      <c r="C226" s="449">
        <v>0</v>
      </c>
      <c r="D226" s="449">
        <v>8990</v>
      </c>
      <c r="E226" s="450">
        <v>0</v>
      </c>
      <c r="F226" s="449">
        <v>8990</v>
      </c>
      <c r="G226" s="449">
        <v>8990</v>
      </c>
    </row>
    <row r="227" spans="1:7">
      <c r="A227" s="432" t="str">
        <f t="shared" si="4"/>
        <v xml:space="preserve">513503521 </v>
      </c>
      <c r="B227" s="448" t="s">
        <v>2053</v>
      </c>
      <c r="C227" s="449">
        <v>0</v>
      </c>
      <c r="D227" s="449">
        <v>32154.12</v>
      </c>
      <c r="E227" s="450">
        <v>0</v>
      </c>
      <c r="F227" s="449">
        <v>32154.12</v>
      </c>
      <c r="G227" s="449">
        <v>32154.12</v>
      </c>
    </row>
    <row r="228" spans="1:7">
      <c r="A228" s="432" t="str">
        <f t="shared" si="4"/>
        <v xml:space="preserve">513503531 </v>
      </c>
      <c r="B228" s="448" t="s">
        <v>2573</v>
      </c>
      <c r="C228" s="449">
        <v>0</v>
      </c>
      <c r="D228" s="449">
        <v>10041.81</v>
      </c>
      <c r="E228" s="450">
        <v>0</v>
      </c>
      <c r="F228" s="449">
        <v>10041.81</v>
      </c>
      <c r="G228" s="449">
        <v>10041.81</v>
      </c>
    </row>
    <row r="229" spans="1:7">
      <c r="A229" s="432" t="str">
        <f t="shared" si="4"/>
        <v xml:space="preserve">513503551 </v>
      </c>
      <c r="B229" s="448" t="s">
        <v>2054</v>
      </c>
      <c r="C229" s="449">
        <v>0</v>
      </c>
      <c r="D229" s="449">
        <v>311660.21999999997</v>
      </c>
      <c r="E229" s="449">
        <v>-6198.99</v>
      </c>
      <c r="F229" s="449">
        <v>305461.23</v>
      </c>
      <c r="G229" s="449">
        <v>305461.23</v>
      </c>
    </row>
    <row r="230" spans="1:7">
      <c r="A230" s="432" t="str">
        <f t="shared" si="4"/>
        <v xml:space="preserve">513503571 </v>
      </c>
      <c r="B230" s="448" t="s">
        <v>2551</v>
      </c>
      <c r="C230" s="449">
        <v>0</v>
      </c>
      <c r="D230" s="449">
        <v>12760</v>
      </c>
      <c r="E230" s="450">
        <v>0</v>
      </c>
      <c r="F230" s="449">
        <v>12760</v>
      </c>
      <c r="G230" s="449">
        <v>12760</v>
      </c>
    </row>
    <row r="231" spans="1:7">
      <c r="A231" s="432" t="str">
        <f t="shared" si="4"/>
        <v xml:space="preserve">513503581 </v>
      </c>
      <c r="B231" s="448" t="s">
        <v>2552</v>
      </c>
      <c r="C231" s="449">
        <v>0</v>
      </c>
      <c r="D231" s="449">
        <v>13091.33</v>
      </c>
      <c r="E231" s="449">
        <v>-10000.32</v>
      </c>
      <c r="F231" s="449">
        <v>3091.01</v>
      </c>
      <c r="G231" s="449">
        <v>3091.01</v>
      </c>
    </row>
    <row r="232" spans="1:7">
      <c r="A232" s="432" t="str">
        <f t="shared" si="4"/>
        <v xml:space="preserve">513503591 </v>
      </c>
      <c r="B232" s="448" t="s">
        <v>2574</v>
      </c>
      <c r="C232" s="449">
        <v>0</v>
      </c>
      <c r="D232" s="449">
        <v>23592.48</v>
      </c>
      <c r="E232" s="450">
        <v>0</v>
      </c>
      <c r="F232" s="449">
        <v>23592.48</v>
      </c>
      <c r="G232" s="449">
        <v>23592.48</v>
      </c>
    </row>
    <row r="233" spans="1:7">
      <c r="A233" s="432" t="str">
        <f t="shared" si="4"/>
        <v>5136</v>
      </c>
      <c r="B233" s="455" t="s">
        <v>2055</v>
      </c>
      <c r="C233" s="456">
        <v>0</v>
      </c>
      <c r="D233" s="456">
        <v>5517096.1100000003</v>
      </c>
      <c r="E233" s="456">
        <v>-369481.84</v>
      </c>
      <c r="F233" s="456">
        <v>5147614.2699999996</v>
      </c>
      <c r="G233" s="456">
        <v>5147614.2699999996</v>
      </c>
    </row>
    <row r="234" spans="1:7">
      <c r="A234" s="432" t="str">
        <f t="shared" si="4"/>
        <v xml:space="preserve">513603611 </v>
      </c>
      <c r="B234" s="448" t="s">
        <v>2056</v>
      </c>
      <c r="C234" s="449">
        <v>0</v>
      </c>
      <c r="D234" s="449">
        <v>5448509.1900000004</v>
      </c>
      <c r="E234" s="449">
        <v>-369481.84</v>
      </c>
      <c r="F234" s="449">
        <v>5079027.3499999996</v>
      </c>
      <c r="G234" s="449">
        <v>5079027.3499999996</v>
      </c>
    </row>
    <row r="235" spans="1:7">
      <c r="A235" s="432" t="str">
        <f t="shared" si="4"/>
        <v xml:space="preserve">513603612 </v>
      </c>
      <c r="B235" s="448" t="s">
        <v>2981</v>
      </c>
      <c r="C235" s="449">
        <v>0</v>
      </c>
      <c r="D235" s="449">
        <v>68586.92</v>
      </c>
      <c r="E235" s="450">
        <v>0</v>
      </c>
      <c r="F235" s="449">
        <v>68586.92</v>
      </c>
      <c r="G235" s="449">
        <v>68586.92</v>
      </c>
    </row>
    <row r="236" spans="1:7">
      <c r="A236" s="432" t="str">
        <f t="shared" si="4"/>
        <v>5137</v>
      </c>
      <c r="B236" s="455" t="s">
        <v>950</v>
      </c>
      <c r="C236" s="456">
        <v>0</v>
      </c>
      <c r="D236" s="456">
        <v>175052.32</v>
      </c>
      <c r="E236" s="456">
        <v>-1590</v>
      </c>
      <c r="F236" s="456">
        <v>173462.32</v>
      </c>
      <c r="G236" s="456">
        <v>173462.32</v>
      </c>
    </row>
    <row r="237" spans="1:7">
      <c r="A237" s="432" t="str">
        <f t="shared" si="4"/>
        <v xml:space="preserve">513703711 </v>
      </c>
      <c r="B237" s="448" t="s">
        <v>2575</v>
      </c>
      <c r="C237" s="449">
        <v>0</v>
      </c>
      <c r="D237" s="449">
        <v>25926</v>
      </c>
      <c r="E237" s="450">
        <v>0</v>
      </c>
      <c r="F237" s="449">
        <v>25926</v>
      </c>
      <c r="G237" s="449">
        <v>25926</v>
      </c>
    </row>
    <row r="238" spans="1:7">
      <c r="A238" s="432" t="str">
        <f t="shared" si="4"/>
        <v xml:space="preserve">513703721 </v>
      </c>
      <c r="B238" s="448" t="s">
        <v>2057</v>
      </c>
      <c r="C238" s="449">
        <v>0</v>
      </c>
      <c r="D238" s="449">
        <v>94048.5</v>
      </c>
      <c r="E238" s="449">
        <v>-1050</v>
      </c>
      <c r="F238" s="449">
        <v>92998.5</v>
      </c>
      <c r="G238" s="449">
        <v>92998.5</v>
      </c>
    </row>
    <row r="239" spans="1:7">
      <c r="A239" s="432" t="str">
        <f t="shared" si="4"/>
        <v xml:space="preserve">513703751 </v>
      </c>
      <c r="B239" s="448" t="s">
        <v>2058</v>
      </c>
      <c r="C239" s="449">
        <v>0</v>
      </c>
      <c r="D239" s="449">
        <v>55077.82</v>
      </c>
      <c r="E239" s="449">
        <v>-540</v>
      </c>
      <c r="F239" s="449">
        <v>54537.82</v>
      </c>
      <c r="G239" s="449">
        <v>54537.82</v>
      </c>
    </row>
    <row r="240" spans="1:7">
      <c r="A240" s="432" t="str">
        <f t="shared" si="4"/>
        <v>5138</v>
      </c>
      <c r="B240" s="455" t="s">
        <v>808</v>
      </c>
      <c r="C240" s="456">
        <v>0</v>
      </c>
      <c r="D240" s="456">
        <v>1368504.95</v>
      </c>
      <c r="E240" s="456">
        <v>-12218.64</v>
      </c>
      <c r="F240" s="456">
        <v>1356286.31</v>
      </c>
      <c r="G240" s="456">
        <v>1356286.31</v>
      </c>
    </row>
    <row r="241" spans="1:7">
      <c r="A241" s="432" t="str">
        <f t="shared" si="4"/>
        <v xml:space="preserve">513803811 </v>
      </c>
      <c r="B241" s="448" t="s">
        <v>2059</v>
      </c>
      <c r="C241" s="449">
        <v>0</v>
      </c>
      <c r="D241" s="449">
        <v>831198.11</v>
      </c>
      <c r="E241" s="449">
        <v>-8140</v>
      </c>
      <c r="F241" s="449">
        <v>823058.11</v>
      </c>
      <c r="G241" s="449">
        <v>823058.11</v>
      </c>
    </row>
    <row r="242" spans="1:7">
      <c r="A242" s="432" t="str">
        <f t="shared" si="4"/>
        <v xml:space="preserve">513803831 </v>
      </c>
      <c r="B242" s="448" t="s">
        <v>2576</v>
      </c>
      <c r="C242" s="449">
        <v>0</v>
      </c>
      <c r="D242" s="449">
        <v>359462.40000000002</v>
      </c>
      <c r="E242" s="449">
        <v>-4078.64</v>
      </c>
      <c r="F242" s="449">
        <v>355383.76</v>
      </c>
      <c r="G242" s="449">
        <v>355383.76</v>
      </c>
    </row>
    <row r="243" spans="1:7">
      <c r="A243" s="432" t="str">
        <f t="shared" si="4"/>
        <v xml:space="preserve">513803852 </v>
      </c>
      <c r="B243" s="448" t="s">
        <v>2060</v>
      </c>
      <c r="C243" s="449">
        <v>0</v>
      </c>
      <c r="D243" s="449">
        <v>162788.44</v>
      </c>
      <c r="E243" s="450">
        <v>0</v>
      </c>
      <c r="F243" s="449">
        <v>162788.44</v>
      </c>
      <c r="G243" s="449">
        <v>162788.44</v>
      </c>
    </row>
    <row r="244" spans="1:7">
      <c r="A244" s="432" t="str">
        <f t="shared" si="4"/>
        <v xml:space="preserve">513803853 </v>
      </c>
      <c r="B244" s="448" t="s">
        <v>2553</v>
      </c>
      <c r="C244" s="449">
        <v>0</v>
      </c>
      <c r="D244" s="449">
        <v>15056</v>
      </c>
      <c r="E244" s="450">
        <v>0</v>
      </c>
      <c r="F244" s="449">
        <v>15056</v>
      </c>
      <c r="G244" s="449">
        <v>15056</v>
      </c>
    </row>
    <row r="245" spans="1:7">
      <c r="A245" s="432" t="str">
        <f t="shared" si="4"/>
        <v>5139</v>
      </c>
      <c r="B245" s="455" t="s">
        <v>951</v>
      </c>
      <c r="C245" s="456">
        <v>0</v>
      </c>
      <c r="D245" s="456">
        <v>1211631.55</v>
      </c>
      <c r="E245" s="456">
        <v>-38616.97</v>
      </c>
      <c r="F245" s="456">
        <v>1173014.58</v>
      </c>
      <c r="G245" s="456">
        <v>1173014.58</v>
      </c>
    </row>
    <row r="246" spans="1:7">
      <c r="A246" s="432" t="str">
        <f t="shared" si="4"/>
        <v xml:space="preserve">513903921 </v>
      </c>
      <c r="B246" s="448" t="s">
        <v>2061</v>
      </c>
      <c r="C246" s="449">
        <v>0</v>
      </c>
      <c r="D246" s="449">
        <v>32579.53</v>
      </c>
      <c r="E246" s="449">
        <v>-1624</v>
      </c>
      <c r="F246" s="449">
        <v>30955.53</v>
      </c>
      <c r="G246" s="449">
        <v>30955.53</v>
      </c>
    </row>
    <row r="247" spans="1:7">
      <c r="A247" s="432" t="str">
        <f t="shared" si="4"/>
        <v xml:space="preserve">513903981 </v>
      </c>
      <c r="B247" s="448" t="s">
        <v>2062</v>
      </c>
      <c r="C247" s="449">
        <v>0</v>
      </c>
      <c r="D247" s="449">
        <v>1179052.02</v>
      </c>
      <c r="E247" s="449">
        <v>-36992.97</v>
      </c>
      <c r="F247" s="449">
        <v>1142059.05</v>
      </c>
      <c r="G247" s="449">
        <v>1142059.05</v>
      </c>
    </row>
    <row r="248" spans="1:7">
      <c r="A248" s="432" t="str">
        <f t="shared" si="4"/>
        <v>5500</v>
      </c>
      <c r="B248" s="455" t="s">
        <v>952</v>
      </c>
      <c r="C248" s="456">
        <v>0</v>
      </c>
      <c r="D248" s="456">
        <v>2531067.35</v>
      </c>
      <c r="E248" s="899">
        <v>0</v>
      </c>
      <c r="F248" s="456">
        <v>2531067.35</v>
      </c>
      <c r="G248" s="456">
        <v>2531067.35</v>
      </c>
    </row>
    <row r="249" spans="1:7">
      <c r="A249" s="432" t="str">
        <f t="shared" si="4"/>
        <v>5510</v>
      </c>
      <c r="B249" s="455" t="s">
        <v>953</v>
      </c>
      <c r="C249" s="456">
        <v>0</v>
      </c>
      <c r="D249" s="456">
        <v>2531067.35</v>
      </c>
      <c r="E249" s="899">
        <v>0</v>
      </c>
      <c r="F249" s="456">
        <v>2531067.35</v>
      </c>
      <c r="G249" s="456">
        <v>2531067.35</v>
      </c>
    </row>
    <row r="250" spans="1:7">
      <c r="A250" s="432" t="str">
        <f t="shared" si="4"/>
        <v>5515</v>
      </c>
      <c r="B250" s="455" t="s">
        <v>954</v>
      </c>
      <c r="C250" s="456">
        <v>0</v>
      </c>
      <c r="D250" s="456">
        <v>2359186.1</v>
      </c>
      <c r="E250" s="899">
        <v>0</v>
      </c>
      <c r="F250" s="456">
        <v>2359186.1</v>
      </c>
      <c r="G250" s="456">
        <v>2359186.1</v>
      </c>
    </row>
    <row r="251" spans="1:7">
      <c r="A251" s="432" t="str">
        <f t="shared" si="4"/>
        <v xml:space="preserve">551505111 </v>
      </c>
      <c r="B251" s="448" t="s">
        <v>2063</v>
      </c>
      <c r="C251" s="449">
        <v>0</v>
      </c>
      <c r="D251" s="449">
        <v>379989.09</v>
      </c>
      <c r="E251" s="450">
        <v>0</v>
      </c>
      <c r="F251" s="449">
        <v>379989.09</v>
      </c>
      <c r="G251" s="449">
        <v>379989.09</v>
      </c>
    </row>
    <row r="252" spans="1:7">
      <c r="A252" s="432" t="str">
        <f t="shared" si="4"/>
        <v xml:space="preserve">551505133 </v>
      </c>
      <c r="B252" s="448" t="s">
        <v>2064</v>
      </c>
      <c r="C252" s="449">
        <v>0</v>
      </c>
      <c r="D252" s="449">
        <v>314.39999999999998</v>
      </c>
      <c r="E252" s="450">
        <v>0</v>
      </c>
      <c r="F252" s="449">
        <v>314.39999999999998</v>
      </c>
      <c r="G252" s="449">
        <v>314.39999999999998</v>
      </c>
    </row>
    <row r="253" spans="1:7">
      <c r="A253" s="432" t="str">
        <f t="shared" si="4"/>
        <v xml:space="preserve">551505151 </v>
      </c>
      <c r="B253" s="448" t="s">
        <v>2065</v>
      </c>
      <c r="C253" s="449">
        <v>0</v>
      </c>
      <c r="D253" s="449">
        <v>858041.51</v>
      </c>
      <c r="E253" s="450">
        <v>0</v>
      </c>
      <c r="F253" s="449">
        <v>858041.51</v>
      </c>
      <c r="G253" s="449">
        <v>858041.51</v>
      </c>
    </row>
    <row r="254" spans="1:7">
      <c r="A254" s="432" t="str">
        <f t="shared" si="4"/>
        <v xml:space="preserve">551505191 </v>
      </c>
      <c r="B254" s="448" t="s">
        <v>2066</v>
      </c>
      <c r="C254" s="449">
        <v>0</v>
      </c>
      <c r="D254" s="449">
        <v>19916.03</v>
      </c>
      <c r="E254" s="450">
        <v>0</v>
      </c>
      <c r="F254" s="449">
        <v>19916.03</v>
      </c>
      <c r="G254" s="449">
        <v>19916.03</v>
      </c>
    </row>
    <row r="255" spans="1:7">
      <c r="A255" s="432" t="str">
        <f t="shared" si="4"/>
        <v xml:space="preserve">551505411 </v>
      </c>
      <c r="B255" s="448" t="s">
        <v>2067</v>
      </c>
      <c r="C255" s="449">
        <v>0</v>
      </c>
      <c r="D255" s="449">
        <v>1079051.1200000001</v>
      </c>
      <c r="E255" s="450">
        <v>0</v>
      </c>
      <c r="F255" s="449">
        <v>1079051.1200000001</v>
      </c>
      <c r="G255" s="449">
        <v>1079051.1200000001</v>
      </c>
    </row>
    <row r="256" spans="1:7">
      <c r="A256" s="432" t="str">
        <f t="shared" si="4"/>
        <v xml:space="preserve">551505631 </v>
      </c>
      <c r="B256" s="448" t="s">
        <v>2068</v>
      </c>
      <c r="C256" s="449">
        <v>0</v>
      </c>
      <c r="D256" s="449">
        <v>352.36</v>
      </c>
      <c r="E256" s="450">
        <v>0</v>
      </c>
      <c r="F256" s="449">
        <v>352.36</v>
      </c>
      <c r="G256" s="449">
        <v>352.36</v>
      </c>
    </row>
    <row r="257" spans="1:7">
      <c r="A257" s="432" t="str">
        <f t="shared" si="4"/>
        <v xml:space="preserve">551505651 </v>
      </c>
      <c r="B257" s="448" t="s">
        <v>2069</v>
      </c>
      <c r="C257" s="449">
        <v>0</v>
      </c>
      <c r="D257" s="449">
        <v>4538.32</v>
      </c>
      <c r="E257" s="450">
        <v>0</v>
      </c>
      <c r="F257" s="449">
        <v>4538.32</v>
      </c>
      <c r="G257" s="449">
        <v>4538.32</v>
      </c>
    </row>
    <row r="258" spans="1:7">
      <c r="A258" s="432" t="str">
        <f t="shared" si="4"/>
        <v xml:space="preserve">551505661 </v>
      </c>
      <c r="B258" s="448" t="s">
        <v>2070</v>
      </c>
      <c r="C258" s="449">
        <v>0</v>
      </c>
      <c r="D258" s="449">
        <v>16983.27</v>
      </c>
      <c r="E258" s="450">
        <v>0</v>
      </c>
      <c r="F258" s="449">
        <v>16983.27</v>
      </c>
      <c r="G258" s="449">
        <v>16983.27</v>
      </c>
    </row>
    <row r="259" spans="1:7">
      <c r="A259" s="432" t="str">
        <f t="shared" si="4"/>
        <v>5518</v>
      </c>
      <c r="B259" s="455" t="s">
        <v>2577</v>
      </c>
      <c r="C259" s="456">
        <v>0</v>
      </c>
      <c r="D259" s="456">
        <v>171881.25</v>
      </c>
      <c r="E259" s="899">
        <v>0</v>
      </c>
      <c r="F259" s="456">
        <v>171881.25</v>
      </c>
      <c r="G259" s="456">
        <v>171881.25</v>
      </c>
    </row>
    <row r="260" spans="1:7">
      <c r="A260" s="432" t="str">
        <f t="shared" si="4"/>
        <v xml:space="preserve">551805411 </v>
      </c>
      <c r="B260" s="448" t="s">
        <v>2578</v>
      </c>
      <c r="C260" s="449">
        <v>0</v>
      </c>
      <c r="D260" s="449">
        <v>171881.25</v>
      </c>
      <c r="E260" s="450">
        <v>0</v>
      </c>
      <c r="F260" s="449">
        <v>171881.25</v>
      </c>
      <c r="G260" s="449">
        <v>171881.25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3"/>
  <sheetViews>
    <sheetView showGridLines="0" zoomScale="50" zoomScaleNormal="50" workbookViewId="0">
      <selection activeCell="A25" sqref="A25"/>
    </sheetView>
  </sheetViews>
  <sheetFormatPr baseColWidth="10" defaultColWidth="11.5703125" defaultRowHeight="15"/>
  <cols>
    <col min="1" max="1" width="57.7109375" style="933" bestFit="1" customWidth="1"/>
    <col min="2" max="3" width="19.28515625" style="934" bestFit="1" customWidth="1"/>
    <col min="4" max="4" width="17.7109375" style="934" bestFit="1" customWidth="1"/>
    <col min="5" max="7" width="11.5703125" style="935"/>
    <col min="8" max="16384" width="11.5703125" style="933"/>
  </cols>
  <sheetData>
    <row r="1" spans="1:7" ht="15.75" thickBot="1"/>
    <row r="2" spans="1:7" ht="85.5" customHeight="1" thickBot="1">
      <c r="A2" s="1135" t="s">
        <v>3042</v>
      </c>
      <c r="B2" s="1136"/>
      <c r="C2" s="1136"/>
      <c r="D2" s="1136"/>
      <c r="E2" s="1136"/>
      <c r="F2" s="1136"/>
      <c r="G2" s="1137"/>
    </row>
    <row r="3" spans="1:7">
      <c r="A3" s="1134" t="s">
        <v>3029</v>
      </c>
      <c r="B3" s="958" t="s">
        <v>828</v>
      </c>
      <c r="C3" s="958" t="s">
        <v>846</v>
      </c>
      <c r="D3" s="958" t="s">
        <v>3030</v>
      </c>
      <c r="E3" s="933"/>
      <c r="F3" s="933"/>
      <c r="G3" s="933"/>
    </row>
    <row r="4" spans="1:7">
      <c r="A4" s="967" t="s">
        <v>3031</v>
      </c>
      <c r="B4" s="968">
        <v>2242315.87</v>
      </c>
      <c r="C4" s="968">
        <v>0</v>
      </c>
      <c r="D4" s="968">
        <v>2242315.87</v>
      </c>
      <c r="E4" s="933"/>
      <c r="F4" s="933"/>
      <c r="G4" s="933"/>
    </row>
    <row r="5" spans="1:7">
      <c r="A5" s="967" t="s">
        <v>3032</v>
      </c>
      <c r="B5" s="968">
        <v>2242315.87</v>
      </c>
      <c r="C5" s="968">
        <v>0</v>
      </c>
      <c r="D5" s="968">
        <v>2242315.87</v>
      </c>
      <c r="E5" s="933"/>
      <c r="F5" s="933"/>
      <c r="G5" s="933"/>
    </row>
    <row r="6" spans="1:7">
      <c r="A6" s="967" t="s">
        <v>3033</v>
      </c>
      <c r="B6" s="968">
        <v>2242315.87</v>
      </c>
      <c r="C6" s="968">
        <v>0</v>
      </c>
      <c r="D6" s="968">
        <v>2242315.87</v>
      </c>
      <c r="E6" s="933"/>
      <c r="F6" s="933"/>
      <c r="G6" s="933"/>
    </row>
    <row r="7" spans="1:7">
      <c r="A7" s="931" t="s">
        <v>3034</v>
      </c>
      <c r="B7" s="932">
        <v>2242315.87</v>
      </c>
      <c r="C7" s="932">
        <v>0</v>
      </c>
      <c r="D7" s="932">
        <v>2242315.87</v>
      </c>
      <c r="E7" s="933"/>
      <c r="F7" s="933"/>
      <c r="G7" s="933"/>
    </row>
    <row r="9" spans="1:7">
      <c r="A9" s="926" t="s">
        <v>2298</v>
      </c>
      <c r="B9" s="927" t="s">
        <v>828</v>
      </c>
      <c r="C9" s="927" t="s">
        <v>370</v>
      </c>
      <c r="D9" s="927" t="s">
        <v>368</v>
      </c>
      <c r="E9" s="927" t="s">
        <v>366</v>
      </c>
      <c r="F9" s="927" t="s">
        <v>2299</v>
      </c>
      <c r="G9" s="927" t="s">
        <v>2300</v>
      </c>
    </row>
    <row r="10" spans="1:7">
      <c r="A10" s="967" t="s">
        <v>2301</v>
      </c>
      <c r="B10" s="968">
        <v>0</v>
      </c>
      <c r="C10" s="968">
        <v>0</v>
      </c>
      <c r="D10" s="968">
        <v>0</v>
      </c>
      <c r="E10" s="968">
        <v>0</v>
      </c>
      <c r="F10" s="968">
        <v>0</v>
      </c>
      <c r="G10" s="968">
        <v>2533</v>
      </c>
    </row>
    <row r="11" spans="1:7">
      <c r="A11" s="967" t="s">
        <v>1720</v>
      </c>
      <c r="B11" s="968">
        <v>-352.57</v>
      </c>
      <c r="C11" s="968">
        <v>-352.57</v>
      </c>
      <c r="D11" s="968">
        <v>820.75</v>
      </c>
      <c r="E11" s="968">
        <v>480.45</v>
      </c>
      <c r="F11" s="968">
        <v>-350.46</v>
      </c>
      <c r="G11" s="968">
        <v>494.85</v>
      </c>
    </row>
    <row r="12" spans="1:7">
      <c r="A12" s="967" t="s">
        <v>1721</v>
      </c>
      <c r="B12" s="968">
        <v>18500</v>
      </c>
      <c r="C12" s="968">
        <v>18500</v>
      </c>
      <c r="D12" s="968">
        <v>20250</v>
      </c>
      <c r="E12" s="968">
        <v>0</v>
      </c>
      <c r="F12" s="969">
        <v>0</v>
      </c>
      <c r="G12" s="969">
        <v>0</v>
      </c>
    </row>
    <row r="13" spans="1:7">
      <c r="A13" s="931" t="s">
        <v>2302</v>
      </c>
      <c r="B13" s="932">
        <v>18147.43</v>
      </c>
      <c r="C13" s="932">
        <v>18147.43</v>
      </c>
      <c r="D13" s="932">
        <v>21070.75</v>
      </c>
      <c r="E13" s="932">
        <v>480.45</v>
      </c>
      <c r="F13" s="932">
        <v>-350.46</v>
      </c>
      <c r="G13" s="932">
        <v>3027.85</v>
      </c>
    </row>
    <row r="15" spans="1:7">
      <c r="A15" s="926" t="s">
        <v>2303</v>
      </c>
      <c r="B15" s="927" t="s">
        <v>2304</v>
      </c>
      <c r="C15" s="927" t="s">
        <v>829</v>
      </c>
      <c r="D15" s="927" t="s">
        <v>830</v>
      </c>
      <c r="E15" s="927" t="s">
        <v>831</v>
      </c>
      <c r="F15" s="927" t="s">
        <v>832</v>
      </c>
    </row>
    <row r="16" spans="1:7">
      <c r="A16" s="928" t="s">
        <v>1723</v>
      </c>
      <c r="B16" s="929">
        <v>0.02</v>
      </c>
      <c r="C16" s="929">
        <v>0.02</v>
      </c>
      <c r="D16" s="929">
        <v>0</v>
      </c>
      <c r="E16" s="929">
        <v>0</v>
      </c>
      <c r="F16" s="929">
        <v>0</v>
      </c>
    </row>
    <row r="17" spans="1:6">
      <c r="A17" s="928" t="s">
        <v>1726</v>
      </c>
      <c r="B17" s="929">
        <v>102.12</v>
      </c>
      <c r="C17" s="929">
        <v>102.12</v>
      </c>
      <c r="D17" s="929">
        <v>0</v>
      </c>
      <c r="E17" s="929">
        <v>0</v>
      </c>
      <c r="F17" s="929">
        <v>0</v>
      </c>
    </row>
    <row r="18" spans="1:6">
      <c r="A18" s="928" t="s">
        <v>2305</v>
      </c>
      <c r="B18" s="929">
        <v>19632.43</v>
      </c>
      <c r="C18" s="929">
        <v>19632.43</v>
      </c>
      <c r="D18" s="929">
        <v>0</v>
      </c>
      <c r="E18" s="929">
        <v>0</v>
      </c>
      <c r="F18" s="929">
        <v>0</v>
      </c>
    </row>
    <row r="19" spans="1:6">
      <c r="A19" s="931" t="s">
        <v>2306</v>
      </c>
      <c r="B19" s="932">
        <v>19734.57</v>
      </c>
      <c r="C19" s="932">
        <v>19734.57</v>
      </c>
      <c r="D19" s="932">
        <v>0</v>
      </c>
      <c r="E19" s="932">
        <v>0</v>
      </c>
      <c r="F19" s="932">
        <v>0</v>
      </c>
    </row>
    <row r="21" spans="1:6">
      <c r="A21" s="926" t="s">
        <v>833</v>
      </c>
      <c r="B21" s="927" t="s">
        <v>720</v>
      </c>
      <c r="C21" s="927" t="s">
        <v>723</v>
      </c>
      <c r="D21" s="927" t="s">
        <v>724</v>
      </c>
      <c r="E21" s="927" t="s">
        <v>834</v>
      </c>
    </row>
    <row r="22" spans="1:6">
      <c r="A22" s="928" t="s">
        <v>2307</v>
      </c>
      <c r="B22" s="929">
        <v>4548970.16</v>
      </c>
      <c r="C22" s="929">
        <v>4983254.08</v>
      </c>
      <c r="D22" s="929">
        <v>434283.92</v>
      </c>
      <c r="E22" s="929">
        <v>0</v>
      </c>
    </row>
    <row r="23" spans="1:6">
      <c r="A23" s="928" t="s">
        <v>2308</v>
      </c>
      <c r="B23" s="929">
        <v>6036180.2800000003</v>
      </c>
      <c r="C23" s="929">
        <v>6884479.9500000002</v>
      </c>
      <c r="D23" s="929">
        <v>848299.67</v>
      </c>
      <c r="E23" s="929">
        <v>0</v>
      </c>
    </row>
    <row r="24" spans="1:6">
      <c r="A24" s="928" t="s">
        <v>2309</v>
      </c>
      <c r="B24" s="929">
        <v>195634.37</v>
      </c>
      <c r="C24" s="929">
        <v>287978.98</v>
      </c>
      <c r="D24" s="929">
        <v>92344.61</v>
      </c>
      <c r="E24" s="929">
        <v>0</v>
      </c>
    </row>
    <row r="25" spans="1:6">
      <c r="A25" s="928" t="s">
        <v>2310</v>
      </c>
      <c r="B25" s="929">
        <v>4248189.0199999996</v>
      </c>
      <c r="C25" s="929">
        <v>4807787.01</v>
      </c>
      <c r="D25" s="929">
        <v>559597.99</v>
      </c>
      <c r="E25" s="929">
        <v>0</v>
      </c>
    </row>
    <row r="26" spans="1:6">
      <c r="A26" s="928" t="s">
        <v>2311</v>
      </c>
      <c r="B26" s="929">
        <v>63848.480000000003</v>
      </c>
      <c r="C26" s="929">
        <v>63848.480000000003</v>
      </c>
      <c r="D26" s="929">
        <v>0</v>
      </c>
      <c r="E26" s="929">
        <v>0</v>
      </c>
    </row>
    <row r="27" spans="1:6">
      <c r="A27" s="928" t="s">
        <v>2312</v>
      </c>
      <c r="B27" s="929">
        <v>222259.42</v>
      </c>
      <c r="C27" s="929">
        <v>315923.15999999997</v>
      </c>
      <c r="D27" s="929">
        <v>93663.74</v>
      </c>
      <c r="E27" s="929">
        <v>0</v>
      </c>
    </row>
    <row r="28" spans="1:6">
      <c r="A28" s="928" t="s">
        <v>2313</v>
      </c>
      <c r="B28" s="929">
        <v>339665.4</v>
      </c>
      <c r="C28" s="929">
        <v>339665.4</v>
      </c>
      <c r="D28" s="929">
        <v>0</v>
      </c>
      <c r="E28" s="929">
        <v>0</v>
      </c>
    </row>
    <row r="29" spans="1:6">
      <c r="A29" s="928" t="s">
        <v>2314</v>
      </c>
      <c r="B29" s="929">
        <v>200262.99</v>
      </c>
      <c r="C29" s="929">
        <v>200262.99</v>
      </c>
      <c r="D29" s="929">
        <v>0</v>
      </c>
      <c r="E29" s="929">
        <v>0</v>
      </c>
    </row>
    <row r="30" spans="1:6">
      <c r="A30" s="928" t="s">
        <v>835</v>
      </c>
      <c r="B30" s="929">
        <v>15855010.119999999</v>
      </c>
      <c r="C30" s="929">
        <v>17883200.050000001</v>
      </c>
      <c r="D30" s="929">
        <v>2028189.93</v>
      </c>
      <c r="E30" s="929">
        <v>0</v>
      </c>
    </row>
    <row r="31" spans="1:6">
      <c r="A31" s="928" t="s">
        <v>2315</v>
      </c>
      <c r="B31" s="929">
        <v>-2603512.62</v>
      </c>
      <c r="C31" s="929">
        <v>-2983501.71</v>
      </c>
      <c r="D31" s="929">
        <v>-379989.09</v>
      </c>
      <c r="E31" s="929">
        <v>0</v>
      </c>
    </row>
    <row r="32" spans="1:6">
      <c r="A32" s="928" t="s">
        <v>2316</v>
      </c>
      <c r="B32" s="929">
        <v>-199555.6</v>
      </c>
      <c r="C32" s="929">
        <v>-199870</v>
      </c>
      <c r="D32" s="929">
        <v>-314.39999999999998</v>
      </c>
      <c r="E32" s="929">
        <v>0</v>
      </c>
    </row>
    <row r="33" spans="1:5">
      <c r="A33" s="928" t="s">
        <v>2317</v>
      </c>
      <c r="B33" s="929">
        <v>-4362527.07</v>
      </c>
      <c r="C33" s="929">
        <v>-5220568.58</v>
      </c>
      <c r="D33" s="929">
        <v>-858041.51</v>
      </c>
      <c r="E33" s="929">
        <v>0</v>
      </c>
    </row>
    <row r="34" spans="1:5">
      <c r="A34" s="928" t="s">
        <v>2318</v>
      </c>
      <c r="B34" s="929">
        <v>-47340.12</v>
      </c>
      <c r="C34" s="929">
        <v>-67256.149999999994</v>
      </c>
      <c r="D34" s="929">
        <v>-19916.03</v>
      </c>
      <c r="E34" s="929">
        <v>0</v>
      </c>
    </row>
    <row r="35" spans="1:5">
      <c r="A35" s="928" t="s">
        <v>2319</v>
      </c>
      <c r="B35" s="929">
        <v>-1316309.06</v>
      </c>
      <c r="C35" s="929">
        <v>-1877341.42</v>
      </c>
      <c r="D35" s="929">
        <v>-561032.36</v>
      </c>
      <c r="E35" s="929">
        <v>0</v>
      </c>
    </row>
    <row r="36" spans="1:5">
      <c r="A36" s="928" t="s">
        <v>2320</v>
      </c>
      <c r="B36" s="929">
        <v>-62979.519999999997</v>
      </c>
      <c r="C36" s="929">
        <v>-63331.88</v>
      </c>
      <c r="D36" s="929">
        <v>-352.36</v>
      </c>
      <c r="E36" s="929">
        <v>0</v>
      </c>
    </row>
    <row r="37" spans="1:5">
      <c r="A37" s="928" t="s">
        <v>2321</v>
      </c>
      <c r="B37" s="929">
        <v>-214835.42</v>
      </c>
      <c r="C37" s="929">
        <v>-219373.74</v>
      </c>
      <c r="D37" s="929">
        <v>-4538.32</v>
      </c>
      <c r="E37" s="929">
        <v>0</v>
      </c>
    </row>
    <row r="38" spans="1:5">
      <c r="A38" s="928" t="s">
        <v>2322</v>
      </c>
      <c r="B38" s="929">
        <v>-16983.27</v>
      </c>
      <c r="C38" s="929">
        <v>-16983.27</v>
      </c>
      <c r="D38" s="929">
        <v>0</v>
      </c>
      <c r="E38" s="929">
        <v>0</v>
      </c>
    </row>
    <row r="39" spans="1:5">
      <c r="A39" s="928" t="s">
        <v>2323</v>
      </c>
      <c r="B39" s="929">
        <v>-33966.54</v>
      </c>
      <c r="C39" s="929">
        <v>-50949.81</v>
      </c>
      <c r="D39" s="929">
        <v>-16983.27</v>
      </c>
      <c r="E39" s="929">
        <v>0</v>
      </c>
    </row>
    <row r="40" spans="1:5">
      <c r="A40" s="928" t="s">
        <v>836</v>
      </c>
      <c r="B40" s="929">
        <v>-8858009.2200000007</v>
      </c>
      <c r="C40" s="929">
        <v>-10699176.560000001</v>
      </c>
      <c r="D40" s="929">
        <v>-1841167.34</v>
      </c>
      <c r="E40" s="929">
        <v>0</v>
      </c>
    </row>
    <row r="41" spans="1:5">
      <c r="A41" s="931" t="s">
        <v>837</v>
      </c>
      <c r="B41" s="932">
        <v>6997000.9000000004</v>
      </c>
      <c r="C41" s="932">
        <v>7184023.4900000002</v>
      </c>
      <c r="D41" s="932">
        <v>187022.59</v>
      </c>
      <c r="E41" s="932">
        <v>0</v>
      </c>
    </row>
    <row r="43" spans="1:5">
      <c r="A43" s="926" t="s">
        <v>838</v>
      </c>
      <c r="B43" s="927" t="s">
        <v>720</v>
      </c>
      <c r="C43" s="927" t="s">
        <v>723</v>
      </c>
      <c r="D43" s="927" t="s">
        <v>724</v>
      </c>
      <c r="E43" s="927" t="s">
        <v>839</v>
      </c>
    </row>
    <row r="44" spans="1:5">
      <c r="A44" s="928" t="s">
        <v>2324</v>
      </c>
      <c r="B44" s="929">
        <v>12295170.92</v>
      </c>
      <c r="C44" s="929">
        <v>12295170.92</v>
      </c>
      <c r="D44" s="929">
        <v>0</v>
      </c>
      <c r="E44" s="929">
        <v>0</v>
      </c>
    </row>
    <row r="45" spans="1:5">
      <c r="A45" s="928" t="s">
        <v>2325</v>
      </c>
      <c r="B45" s="929">
        <v>67335.789999999994</v>
      </c>
      <c r="C45" s="929">
        <v>67335.789999999994</v>
      </c>
      <c r="D45" s="929">
        <v>0</v>
      </c>
      <c r="E45" s="929">
        <v>0</v>
      </c>
    </row>
    <row r="46" spans="1:5">
      <c r="A46" s="928" t="s">
        <v>2326</v>
      </c>
      <c r="B46" s="929">
        <v>461010.15</v>
      </c>
      <c r="C46" s="929">
        <v>586425.44999999995</v>
      </c>
      <c r="D46" s="929">
        <v>125415.3</v>
      </c>
      <c r="E46" s="929">
        <v>0</v>
      </c>
    </row>
    <row r="47" spans="1:5">
      <c r="A47" s="928" t="s">
        <v>840</v>
      </c>
      <c r="B47" s="929">
        <v>12823516.859999999</v>
      </c>
      <c r="C47" s="929">
        <v>12948932.16</v>
      </c>
      <c r="D47" s="929">
        <v>125415.3</v>
      </c>
      <c r="E47" s="929">
        <v>0</v>
      </c>
    </row>
    <row r="48" spans="1:5">
      <c r="A48" s="928" t="s">
        <v>2327</v>
      </c>
      <c r="B48" s="929">
        <v>45485.72</v>
      </c>
      <c r="C48" s="929">
        <v>35200</v>
      </c>
      <c r="D48" s="929">
        <v>-10285.719999999999</v>
      </c>
      <c r="E48" s="929">
        <v>0</v>
      </c>
    </row>
    <row r="49" spans="1:6">
      <c r="A49" s="928" t="s">
        <v>841</v>
      </c>
      <c r="B49" s="929">
        <v>45485.72</v>
      </c>
      <c r="C49" s="929">
        <v>35200</v>
      </c>
      <c r="D49" s="929">
        <v>-10285.719999999999</v>
      </c>
      <c r="E49" s="929">
        <v>0</v>
      </c>
    </row>
    <row r="50" spans="1:6">
      <c r="A50" s="931" t="s">
        <v>842</v>
      </c>
      <c r="B50" s="932">
        <v>12869002.58</v>
      </c>
      <c r="C50" s="932">
        <v>12984132.16</v>
      </c>
      <c r="D50" s="932">
        <v>115129.58</v>
      </c>
      <c r="E50" s="932">
        <v>0</v>
      </c>
    </row>
    <row r="52" spans="1:6">
      <c r="A52" s="926" t="s">
        <v>843</v>
      </c>
      <c r="B52" s="927" t="s">
        <v>828</v>
      </c>
      <c r="C52" s="927" t="s">
        <v>829</v>
      </c>
      <c r="D52" s="927" t="s">
        <v>830</v>
      </c>
      <c r="E52" s="927" t="s">
        <v>831</v>
      </c>
      <c r="F52" s="927" t="s">
        <v>832</v>
      </c>
    </row>
    <row r="53" spans="1:6">
      <c r="A53" s="928" t="s">
        <v>3035</v>
      </c>
      <c r="B53" s="929">
        <v>-1186099.8500000001</v>
      </c>
      <c r="C53" s="929">
        <v>-1186099.8500000001</v>
      </c>
      <c r="D53" s="929">
        <v>0</v>
      </c>
      <c r="E53" s="929">
        <v>0</v>
      </c>
      <c r="F53" s="929">
        <v>0</v>
      </c>
    </row>
    <row r="54" spans="1:6">
      <c r="A54" s="928" t="s">
        <v>3036</v>
      </c>
      <c r="B54" s="929">
        <v>-135009</v>
      </c>
      <c r="C54" s="929">
        <v>-135009</v>
      </c>
      <c r="D54" s="929">
        <v>0</v>
      </c>
      <c r="E54" s="929">
        <v>0</v>
      </c>
      <c r="F54" s="929">
        <v>0</v>
      </c>
    </row>
    <row r="55" spans="1:6">
      <c r="A55" s="928" t="s">
        <v>2328</v>
      </c>
      <c r="B55" s="929">
        <v>-5998.91</v>
      </c>
      <c r="C55" s="929">
        <v>-5998.91</v>
      </c>
      <c r="D55" s="929">
        <v>0</v>
      </c>
      <c r="E55" s="929">
        <v>0</v>
      </c>
      <c r="F55" s="929">
        <v>0</v>
      </c>
    </row>
    <row r="56" spans="1:6">
      <c r="A56" s="928" t="s">
        <v>2329</v>
      </c>
      <c r="B56" s="929">
        <v>-3408225.36</v>
      </c>
      <c r="C56" s="929">
        <v>-3408225.36</v>
      </c>
      <c r="D56" s="929"/>
      <c r="E56" s="929"/>
      <c r="F56" s="929"/>
    </row>
    <row r="57" spans="1:6">
      <c r="A57" s="928" t="s">
        <v>2330</v>
      </c>
      <c r="B57" s="929">
        <v>-15827.55</v>
      </c>
      <c r="C57" s="929">
        <v>-15827.55</v>
      </c>
      <c r="D57" s="929">
        <v>0</v>
      </c>
      <c r="E57" s="929">
        <v>0</v>
      </c>
      <c r="F57" s="929">
        <v>0</v>
      </c>
    </row>
    <row r="58" spans="1:6">
      <c r="A58" s="928" t="s">
        <v>2331</v>
      </c>
      <c r="B58" s="929">
        <v>-6649.27</v>
      </c>
      <c r="C58" s="929">
        <v>-6649.27</v>
      </c>
      <c r="D58" s="929">
        <v>0</v>
      </c>
      <c r="E58" s="929">
        <v>0</v>
      </c>
      <c r="F58" s="929">
        <v>0</v>
      </c>
    </row>
    <row r="59" spans="1:6">
      <c r="A59" s="928" t="s">
        <v>2332</v>
      </c>
      <c r="B59" s="929">
        <v>-3417.68</v>
      </c>
      <c r="C59" s="929">
        <v>-3417.68</v>
      </c>
      <c r="D59" s="929">
        <v>0</v>
      </c>
      <c r="E59" s="929">
        <v>0</v>
      </c>
      <c r="F59" s="929">
        <v>0</v>
      </c>
    </row>
    <row r="60" spans="1:6">
      <c r="A60" s="928" t="s">
        <v>2333</v>
      </c>
      <c r="B60" s="929">
        <v>-630.74</v>
      </c>
      <c r="C60" s="929">
        <v>-630.74</v>
      </c>
      <c r="D60" s="929">
        <v>0</v>
      </c>
      <c r="E60" s="929">
        <v>0</v>
      </c>
      <c r="F60" s="929">
        <v>0</v>
      </c>
    </row>
    <row r="61" spans="1:6">
      <c r="A61" s="928" t="s">
        <v>2334</v>
      </c>
      <c r="B61" s="929">
        <v>-248969.41</v>
      </c>
      <c r="C61" s="929">
        <v>-248969.41</v>
      </c>
      <c r="D61" s="929">
        <v>0</v>
      </c>
      <c r="E61" s="929">
        <v>0</v>
      </c>
      <c r="F61" s="929">
        <v>0</v>
      </c>
    </row>
    <row r="62" spans="1:6">
      <c r="A62" s="928" t="s">
        <v>2335</v>
      </c>
      <c r="B62" s="929">
        <v>-2339.9499999999998</v>
      </c>
      <c r="C62" s="929">
        <v>-2339.9499999999998</v>
      </c>
      <c r="D62" s="929">
        <v>0</v>
      </c>
      <c r="E62" s="929">
        <v>0</v>
      </c>
      <c r="F62" s="929">
        <v>0</v>
      </c>
    </row>
    <row r="63" spans="1:6">
      <c r="A63" s="928" t="s">
        <v>2336</v>
      </c>
      <c r="B63" s="929">
        <v>-5590.8</v>
      </c>
      <c r="C63" s="929">
        <v>-5590.8</v>
      </c>
      <c r="D63" s="929">
        <v>0</v>
      </c>
      <c r="E63" s="929">
        <v>0</v>
      </c>
      <c r="F63" s="929">
        <v>0</v>
      </c>
    </row>
    <row r="64" spans="1:6">
      <c r="A64" s="928" t="s">
        <v>2337</v>
      </c>
      <c r="B64" s="929">
        <v>0.02</v>
      </c>
      <c r="C64" s="929">
        <v>0.02</v>
      </c>
      <c r="D64" s="929">
        <v>0</v>
      </c>
      <c r="E64" s="929">
        <v>0</v>
      </c>
      <c r="F64" s="929">
        <v>0</v>
      </c>
    </row>
    <row r="65" spans="1:6">
      <c r="A65" s="928" t="s">
        <v>2338</v>
      </c>
      <c r="B65" s="929">
        <v>-7.0000000000000007E-2</v>
      </c>
      <c r="C65" s="929">
        <v>-7.0000000000000007E-2</v>
      </c>
      <c r="D65" s="929">
        <v>0</v>
      </c>
      <c r="E65" s="929">
        <v>0</v>
      </c>
      <c r="F65" s="929">
        <v>0</v>
      </c>
    </row>
    <row r="66" spans="1:6">
      <c r="A66" s="928" t="s">
        <v>844</v>
      </c>
      <c r="B66" s="929">
        <v>-5018758.57</v>
      </c>
      <c r="C66" s="929">
        <v>-5018758.57</v>
      </c>
      <c r="D66" s="929">
        <v>0</v>
      </c>
      <c r="E66" s="929">
        <v>0</v>
      </c>
      <c r="F66" s="929">
        <v>0</v>
      </c>
    </row>
    <row r="67" spans="1:6">
      <c r="A67" s="931" t="s">
        <v>845</v>
      </c>
      <c r="B67" s="932">
        <v>-5018758.57</v>
      </c>
      <c r="C67" s="932">
        <v>-5018758.57</v>
      </c>
      <c r="D67" s="932">
        <v>0</v>
      </c>
      <c r="E67" s="932">
        <v>0</v>
      </c>
      <c r="F67" s="932">
        <v>0</v>
      </c>
    </row>
    <row r="69" spans="1:6">
      <c r="A69" s="926" t="s">
        <v>2339</v>
      </c>
      <c r="B69" s="927" t="s">
        <v>828</v>
      </c>
      <c r="C69" s="927" t="s">
        <v>846</v>
      </c>
      <c r="D69" s="927" t="s">
        <v>847</v>
      </c>
    </row>
    <row r="70" spans="1:6">
      <c r="A70" s="928" t="s">
        <v>2340</v>
      </c>
      <c r="B70" s="929">
        <v>-18500</v>
      </c>
      <c r="C70" s="929">
        <v>0</v>
      </c>
      <c r="D70" s="929">
        <v>0</v>
      </c>
    </row>
    <row r="71" spans="1:6">
      <c r="A71" s="928" t="s">
        <v>2341</v>
      </c>
      <c r="B71" s="929">
        <v>-18500</v>
      </c>
      <c r="C71" s="929">
        <v>0</v>
      </c>
      <c r="D71" s="929">
        <v>0</v>
      </c>
    </row>
    <row r="72" spans="1:6">
      <c r="A72" s="931" t="s">
        <v>2342</v>
      </c>
      <c r="B72" s="932">
        <v>-18500</v>
      </c>
      <c r="C72" s="932">
        <v>0</v>
      </c>
      <c r="D72" s="932">
        <v>0</v>
      </c>
    </row>
    <row r="74" spans="1:6">
      <c r="A74" s="926" t="s">
        <v>994</v>
      </c>
      <c r="B74" s="927" t="s">
        <v>828</v>
      </c>
      <c r="C74" s="927" t="s">
        <v>848</v>
      </c>
    </row>
    <row r="75" spans="1:6">
      <c r="A75" s="928" t="s">
        <v>2343</v>
      </c>
      <c r="B75" s="929">
        <v>-1896500</v>
      </c>
      <c r="C75" s="929">
        <v>0</v>
      </c>
    </row>
    <row r="76" spans="1:6">
      <c r="A76" s="928" t="s">
        <v>2344</v>
      </c>
      <c r="B76" s="929">
        <v>-880</v>
      </c>
      <c r="C76" s="929">
        <v>0</v>
      </c>
    </row>
    <row r="77" spans="1:6">
      <c r="A77" s="928" t="s">
        <v>2345</v>
      </c>
      <c r="B77" s="929">
        <v>-1028154.31</v>
      </c>
      <c r="C77" s="929">
        <v>0</v>
      </c>
    </row>
    <row r="78" spans="1:6">
      <c r="A78" s="928" t="s">
        <v>1522</v>
      </c>
      <c r="B78" s="929">
        <v>-2925534.31</v>
      </c>
      <c r="C78" s="929">
        <v>0</v>
      </c>
    </row>
    <row r="79" spans="1:6">
      <c r="A79" s="928" t="s">
        <v>2346</v>
      </c>
      <c r="B79" s="929">
        <v>-65924124.189999998</v>
      </c>
      <c r="C79" s="929">
        <v>0</v>
      </c>
    </row>
    <row r="80" spans="1:6">
      <c r="A80" s="928" t="s">
        <v>2347</v>
      </c>
      <c r="B80" s="929">
        <v>-1899438.57</v>
      </c>
      <c r="C80" s="929">
        <v>0</v>
      </c>
    </row>
    <row r="81" spans="1:4">
      <c r="A81" s="928" t="s">
        <v>2348</v>
      </c>
      <c r="B81" s="929">
        <v>-15652137.109999999</v>
      </c>
      <c r="C81" s="929">
        <v>0</v>
      </c>
    </row>
    <row r="82" spans="1:4">
      <c r="A82" s="928" t="s">
        <v>849</v>
      </c>
      <c r="B82" s="929">
        <v>-83475699.870000005</v>
      </c>
      <c r="C82" s="929">
        <v>0</v>
      </c>
    </row>
    <row r="83" spans="1:4">
      <c r="A83" s="931" t="s">
        <v>995</v>
      </c>
      <c r="B83" s="932">
        <v>-86401234.180000007</v>
      </c>
      <c r="C83" s="932">
        <v>0</v>
      </c>
    </row>
    <row r="85" spans="1:4">
      <c r="A85" s="926" t="s">
        <v>996</v>
      </c>
      <c r="B85" s="927" t="s">
        <v>828</v>
      </c>
      <c r="C85" s="927" t="s">
        <v>850</v>
      </c>
      <c r="D85" s="927" t="s">
        <v>851</v>
      </c>
    </row>
    <row r="86" spans="1:4">
      <c r="A86" s="928" t="s">
        <v>1826</v>
      </c>
      <c r="B86" s="929">
        <v>15420663</v>
      </c>
      <c r="C86" s="929">
        <v>17.929600000000001</v>
      </c>
      <c r="D86" s="929">
        <v>0</v>
      </c>
    </row>
    <row r="87" spans="1:4">
      <c r="A87" s="928" t="s">
        <v>1828</v>
      </c>
      <c r="B87" s="929">
        <v>2519537.44</v>
      </c>
      <c r="C87" s="929">
        <v>2.9295</v>
      </c>
      <c r="D87" s="929">
        <v>0</v>
      </c>
    </row>
    <row r="88" spans="1:4">
      <c r="A88" s="928" t="s">
        <v>1829</v>
      </c>
      <c r="B88" s="929">
        <v>33378.54</v>
      </c>
      <c r="C88" s="929">
        <v>3.8800000000000001E-2</v>
      </c>
      <c r="D88" s="929">
        <v>0</v>
      </c>
    </row>
    <row r="89" spans="1:4">
      <c r="A89" s="928" t="s">
        <v>1830</v>
      </c>
      <c r="B89" s="929">
        <v>1365731.7</v>
      </c>
      <c r="C89" s="929">
        <v>1.5879000000000001</v>
      </c>
      <c r="D89" s="929">
        <v>0</v>
      </c>
    </row>
    <row r="90" spans="1:4">
      <c r="A90" s="928" t="s">
        <v>2349</v>
      </c>
      <c r="B90" s="929">
        <v>6000623.5800000001</v>
      </c>
      <c r="C90" s="929">
        <v>6.9768999999999997</v>
      </c>
      <c r="D90" s="929">
        <v>0</v>
      </c>
    </row>
    <row r="91" spans="1:4">
      <c r="A91" s="928" t="s">
        <v>2350</v>
      </c>
      <c r="B91" s="929">
        <v>329146.02</v>
      </c>
      <c r="C91" s="929">
        <v>0.38269999999999998</v>
      </c>
      <c r="D91" s="929">
        <v>0</v>
      </c>
    </row>
    <row r="92" spans="1:4">
      <c r="A92" s="928" t="s">
        <v>1833</v>
      </c>
      <c r="B92" s="929">
        <v>3314717.72</v>
      </c>
      <c r="C92" s="929">
        <v>3.8540000000000001</v>
      </c>
      <c r="D92" s="929">
        <v>0</v>
      </c>
    </row>
    <row r="93" spans="1:4">
      <c r="A93" s="928" t="s">
        <v>1834</v>
      </c>
      <c r="B93" s="929">
        <v>1018706.03</v>
      </c>
      <c r="C93" s="929">
        <v>1.1843999999999999</v>
      </c>
      <c r="D93" s="929">
        <v>0</v>
      </c>
    </row>
    <row r="94" spans="1:4">
      <c r="A94" s="928" t="s">
        <v>1835</v>
      </c>
      <c r="B94" s="929">
        <v>269801.49</v>
      </c>
      <c r="C94" s="929">
        <v>0.31369999999999998</v>
      </c>
      <c r="D94" s="929">
        <v>0</v>
      </c>
    </row>
    <row r="95" spans="1:4">
      <c r="A95" s="928" t="s">
        <v>1836</v>
      </c>
      <c r="B95" s="929">
        <v>1612956.6</v>
      </c>
      <c r="C95" s="929">
        <v>1.8754</v>
      </c>
      <c r="D95" s="929">
        <v>0</v>
      </c>
    </row>
    <row r="96" spans="1:4">
      <c r="A96" s="928" t="s">
        <v>1837</v>
      </c>
      <c r="B96" s="929">
        <v>15558915.359999999</v>
      </c>
      <c r="C96" s="929">
        <v>18.090299999999999</v>
      </c>
      <c r="D96" s="929">
        <v>0</v>
      </c>
    </row>
    <row r="97" spans="1:4">
      <c r="A97" s="928" t="s">
        <v>1839</v>
      </c>
      <c r="B97" s="929">
        <v>16802197.350000001</v>
      </c>
      <c r="C97" s="929">
        <v>19.535900000000002</v>
      </c>
      <c r="D97" s="929">
        <v>0</v>
      </c>
    </row>
    <row r="98" spans="1:4">
      <c r="A98" s="928" t="s">
        <v>1840</v>
      </c>
      <c r="B98" s="929">
        <v>332221.58</v>
      </c>
      <c r="C98" s="929">
        <v>0.38629999999999998</v>
      </c>
      <c r="D98" s="929">
        <v>0</v>
      </c>
    </row>
    <row r="99" spans="1:4">
      <c r="A99" s="928" t="s">
        <v>1841</v>
      </c>
      <c r="B99" s="929">
        <v>1316700.6599999999</v>
      </c>
      <c r="C99" s="929">
        <v>1.5308999999999999</v>
      </c>
      <c r="D99" s="929">
        <v>0</v>
      </c>
    </row>
    <row r="100" spans="1:4">
      <c r="A100" s="928" t="s">
        <v>2558</v>
      </c>
      <c r="B100" s="929">
        <v>28827.119999999999</v>
      </c>
      <c r="C100" s="929">
        <v>3.3500000000000002E-2</v>
      </c>
      <c r="D100" s="929">
        <v>0</v>
      </c>
    </row>
    <row r="101" spans="1:4">
      <c r="A101" s="928" t="s">
        <v>2351</v>
      </c>
      <c r="B101" s="929">
        <v>256155.42</v>
      </c>
      <c r="C101" s="929">
        <v>0.29780000000000001</v>
      </c>
      <c r="D101" s="929">
        <v>0</v>
      </c>
    </row>
    <row r="102" spans="1:4">
      <c r="A102" s="928" t="s">
        <v>2352</v>
      </c>
      <c r="B102" s="929">
        <v>25295.599999999999</v>
      </c>
      <c r="C102" s="929">
        <v>2.9399999999999999E-2</v>
      </c>
      <c r="D102" s="929">
        <v>0</v>
      </c>
    </row>
    <row r="103" spans="1:4">
      <c r="A103" s="928" t="s">
        <v>1846</v>
      </c>
      <c r="B103" s="929">
        <v>383130.03</v>
      </c>
      <c r="C103" s="929">
        <v>0.44550000000000001</v>
      </c>
      <c r="D103" s="929">
        <v>0</v>
      </c>
    </row>
    <row r="104" spans="1:4">
      <c r="A104" s="928" t="s">
        <v>1847</v>
      </c>
      <c r="B104" s="929">
        <v>77563</v>
      </c>
      <c r="C104" s="929">
        <v>9.0200000000000002E-2</v>
      </c>
      <c r="D104" s="929">
        <v>0</v>
      </c>
    </row>
    <row r="105" spans="1:4">
      <c r="A105" s="928" t="s">
        <v>1848</v>
      </c>
      <c r="B105" s="929">
        <v>158187.99</v>
      </c>
      <c r="C105" s="929">
        <v>0.18390000000000001</v>
      </c>
      <c r="D105" s="929">
        <v>0</v>
      </c>
    </row>
    <row r="106" spans="1:4">
      <c r="A106" s="928" t="s">
        <v>1849</v>
      </c>
      <c r="B106" s="929">
        <v>16466.810000000001</v>
      </c>
      <c r="C106" s="929">
        <v>1.9099999999999999E-2</v>
      </c>
      <c r="D106" s="929">
        <v>0</v>
      </c>
    </row>
    <row r="107" spans="1:4">
      <c r="A107" s="928" t="s">
        <v>2596</v>
      </c>
      <c r="B107" s="929">
        <v>925.6</v>
      </c>
      <c r="C107" s="929">
        <v>1.1000000000000001E-3</v>
      </c>
      <c r="D107" s="929">
        <v>0</v>
      </c>
    </row>
    <row r="108" spans="1:4">
      <c r="A108" s="928" t="s">
        <v>2353</v>
      </c>
      <c r="B108" s="929">
        <v>15736.17</v>
      </c>
      <c r="C108" s="929">
        <v>1.83E-2</v>
      </c>
      <c r="D108" s="929">
        <v>0</v>
      </c>
    </row>
    <row r="109" spans="1:4">
      <c r="A109" s="928" t="s">
        <v>1852</v>
      </c>
      <c r="B109" s="929">
        <v>14758.4</v>
      </c>
      <c r="C109" s="929">
        <v>1.72E-2</v>
      </c>
      <c r="D109" s="929">
        <v>0</v>
      </c>
    </row>
    <row r="110" spans="1:4">
      <c r="A110" s="928" t="s">
        <v>1853</v>
      </c>
      <c r="B110" s="929">
        <v>1564.5</v>
      </c>
      <c r="C110" s="929">
        <v>1.8E-3</v>
      </c>
      <c r="D110" s="929">
        <v>0</v>
      </c>
    </row>
    <row r="111" spans="1:4">
      <c r="A111" s="928" t="s">
        <v>1854</v>
      </c>
      <c r="B111" s="929">
        <v>776782.04</v>
      </c>
      <c r="C111" s="929">
        <v>0.9032</v>
      </c>
      <c r="D111" s="929">
        <v>0</v>
      </c>
    </row>
    <row r="112" spans="1:4">
      <c r="A112" s="928" t="s">
        <v>1855</v>
      </c>
      <c r="B112" s="929">
        <v>82033.850000000006</v>
      </c>
      <c r="C112" s="929">
        <v>9.5399999999999999E-2</v>
      </c>
      <c r="D112" s="929">
        <v>0</v>
      </c>
    </row>
    <row r="113" spans="1:4">
      <c r="A113" s="928" t="s">
        <v>1857</v>
      </c>
      <c r="B113" s="929">
        <v>7749.35</v>
      </c>
      <c r="C113" s="929">
        <v>8.9999999999999993E-3</v>
      </c>
      <c r="D113" s="929">
        <v>0</v>
      </c>
    </row>
    <row r="114" spans="1:4">
      <c r="A114" s="928" t="s">
        <v>1858</v>
      </c>
      <c r="B114" s="929">
        <v>1801.01</v>
      </c>
      <c r="C114" s="929">
        <v>2.0999999999999999E-3</v>
      </c>
      <c r="D114" s="929">
        <v>0</v>
      </c>
    </row>
    <row r="115" spans="1:4">
      <c r="A115" s="928" t="s">
        <v>1860</v>
      </c>
      <c r="B115" s="929">
        <v>81288.800000000003</v>
      </c>
      <c r="C115" s="929">
        <v>9.4500000000000001E-2</v>
      </c>
      <c r="D115" s="929">
        <v>0</v>
      </c>
    </row>
    <row r="116" spans="1:4">
      <c r="A116" s="928" t="s">
        <v>2354</v>
      </c>
      <c r="B116" s="929">
        <v>313899</v>
      </c>
      <c r="C116" s="929">
        <v>0.36499999999999999</v>
      </c>
      <c r="D116" s="929">
        <v>0</v>
      </c>
    </row>
    <row r="117" spans="1:4">
      <c r="A117" s="928" t="s">
        <v>1862</v>
      </c>
      <c r="B117" s="929">
        <v>9432</v>
      </c>
      <c r="C117" s="929">
        <v>1.0999999999999999E-2</v>
      </c>
      <c r="D117" s="929">
        <v>0</v>
      </c>
    </row>
    <row r="118" spans="1:4">
      <c r="A118" s="928" t="s">
        <v>2355</v>
      </c>
      <c r="B118" s="929">
        <v>91432.99</v>
      </c>
      <c r="C118" s="929">
        <v>0.10630000000000001</v>
      </c>
      <c r="D118" s="929">
        <v>0</v>
      </c>
    </row>
    <row r="119" spans="1:4">
      <c r="A119" s="928" t="s">
        <v>2356</v>
      </c>
      <c r="B119" s="929">
        <v>72598</v>
      </c>
      <c r="C119" s="929">
        <v>8.4400000000000003E-2</v>
      </c>
      <c r="D119" s="929">
        <v>0</v>
      </c>
    </row>
    <row r="120" spans="1:4">
      <c r="A120" s="928" t="s">
        <v>2357</v>
      </c>
      <c r="B120" s="929">
        <v>333566.33</v>
      </c>
      <c r="C120" s="929">
        <v>0.38779999999999998</v>
      </c>
      <c r="D120" s="929">
        <v>0</v>
      </c>
    </row>
    <row r="121" spans="1:4">
      <c r="A121" s="928" t="s">
        <v>1867</v>
      </c>
      <c r="B121" s="929">
        <v>176525.5</v>
      </c>
      <c r="C121" s="929">
        <v>0.20519999999999999</v>
      </c>
      <c r="D121" s="929">
        <v>0</v>
      </c>
    </row>
    <row r="122" spans="1:4">
      <c r="A122" s="928" t="s">
        <v>1868</v>
      </c>
      <c r="B122" s="929">
        <v>1462897.36</v>
      </c>
      <c r="C122" s="929">
        <v>1.7009000000000001</v>
      </c>
      <c r="D122" s="929">
        <v>0</v>
      </c>
    </row>
    <row r="123" spans="1:4">
      <c r="A123" s="928" t="s">
        <v>1869</v>
      </c>
      <c r="B123" s="929">
        <v>74008</v>
      </c>
      <c r="C123" s="929">
        <v>8.5999999999999993E-2</v>
      </c>
      <c r="D123" s="929">
        <v>0</v>
      </c>
    </row>
    <row r="124" spans="1:4">
      <c r="A124" s="928" t="s">
        <v>2972</v>
      </c>
      <c r="B124" s="929">
        <v>6728</v>
      </c>
      <c r="C124" s="929">
        <v>7.7999999999999996E-3</v>
      </c>
      <c r="D124" s="929">
        <v>0</v>
      </c>
    </row>
    <row r="125" spans="1:4">
      <c r="A125" s="928" t="s">
        <v>1870</v>
      </c>
      <c r="B125" s="929">
        <v>135242.96</v>
      </c>
      <c r="C125" s="929">
        <v>0.15720000000000001</v>
      </c>
      <c r="D125" s="929">
        <v>0</v>
      </c>
    </row>
    <row r="126" spans="1:4">
      <c r="A126" s="928" t="s">
        <v>2559</v>
      </c>
      <c r="B126" s="929">
        <v>278400</v>
      </c>
      <c r="C126" s="929">
        <v>0.32369999999999999</v>
      </c>
      <c r="D126" s="929">
        <v>0</v>
      </c>
    </row>
    <row r="127" spans="1:4">
      <c r="A127" s="928" t="s">
        <v>1873</v>
      </c>
      <c r="B127" s="929">
        <v>1315380</v>
      </c>
      <c r="C127" s="929">
        <v>1.5294000000000001</v>
      </c>
      <c r="D127" s="929">
        <v>0</v>
      </c>
    </row>
    <row r="128" spans="1:4">
      <c r="A128" s="928" t="s">
        <v>2358</v>
      </c>
      <c r="B128" s="929">
        <v>1877882.74</v>
      </c>
      <c r="C128" s="929">
        <v>2.1833999999999998</v>
      </c>
      <c r="D128" s="929">
        <v>0</v>
      </c>
    </row>
    <row r="129" spans="1:4">
      <c r="A129" s="928" t="s">
        <v>1875</v>
      </c>
      <c r="B129" s="929">
        <v>683249.64</v>
      </c>
      <c r="C129" s="929">
        <v>0.7944</v>
      </c>
      <c r="D129" s="929">
        <v>0</v>
      </c>
    </row>
    <row r="130" spans="1:4">
      <c r="A130" s="928" t="s">
        <v>2359</v>
      </c>
      <c r="B130" s="929">
        <v>312567.46999999997</v>
      </c>
      <c r="C130" s="929">
        <v>0.3634</v>
      </c>
      <c r="D130" s="929">
        <v>0</v>
      </c>
    </row>
    <row r="131" spans="1:4">
      <c r="A131" s="928" t="s">
        <v>1878</v>
      </c>
      <c r="B131" s="929">
        <v>3291.13</v>
      </c>
      <c r="C131" s="929">
        <v>3.8E-3</v>
      </c>
      <c r="D131" s="929">
        <v>0</v>
      </c>
    </row>
    <row r="132" spans="1:4">
      <c r="A132" s="928" t="s">
        <v>2560</v>
      </c>
      <c r="B132" s="929">
        <v>144190.87</v>
      </c>
      <c r="C132" s="929">
        <v>0.16769999999999999</v>
      </c>
      <c r="D132" s="929">
        <v>0</v>
      </c>
    </row>
    <row r="133" spans="1:4">
      <c r="A133" s="928" t="s">
        <v>1880</v>
      </c>
      <c r="B133" s="929">
        <v>43258.11</v>
      </c>
      <c r="C133" s="929">
        <v>5.0299999999999997E-2</v>
      </c>
      <c r="D133" s="929">
        <v>0</v>
      </c>
    </row>
    <row r="134" spans="1:4">
      <c r="A134" s="928" t="s">
        <v>1881</v>
      </c>
      <c r="B134" s="929">
        <v>71118.880000000005</v>
      </c>
      <c r="C134" s="929">
        <v>8.2699999999999996E-2</v>
      </c>
      <c r="D134" s="929">
        <v>0</v>
      </c>
    </row>
    <row r="135" spans="1:4">
      <c r="A135" s="928" t="s">
        <v>2597</v>
      </c>
      <c r="B135" s="929">
        <v>8990</v>
      </c>
      <c r="C135" s="929">
        <v>1.0500000000000001E-2</v>
      </c>
      <c r="D135" s="929">
        <v>0</v>
      </c>
    </row>
    <row r="136" spans="1:4">
      <c r="A136" s="928" t="s">
        <v>1883</v>
      </c>
      <c r="B136" s="929">
        <v>32154.12</v>
      </c>
      <c r="C136" s="929">
        <v>3.7400000000000003E-2</v>
      </c>
      <c r="D136" s="929">
        <v>0</v>
      </c>
    </row>
    <row r="137" spans="1:4">
      <c r="A137" s="928" t="s">
        <v>1884</v>
      </c>
      <c r="B137" s="929">
        <v>10041.81</v>
      </c>
      <c r="C137" s="929">
        <v>1.17E-2</v>
      </c>
      <c r="D137" s="929">
        <v>0</v>
      </c>
    </row>
    <row r="138" spans="1:4">
      <c r="A138" s="928" t="s">
        <v>1885</v>
      </c>
      <c r="B138" s="929">
        <v>305461.23</v>
      </c>
      <c r="C138" s="929">
        <v>0.35520000000000002</v>
      </c>
      <c r="D138" s="929">
        <v>0</v>
      </c>
    </row>
    <row r="139" spans="1:4">
      <c r="A139" s="928" t="s">
        <v>1886</v>
      </c>
      <c r="B139" s="929">
        <v>12760</v>
      </c>
      <c r="C139" s="929">
        <v>1.4800000000000001E-2</v>
      </c>
      <c r="D139" s="929">
        <v>0</v>
      </c>
    </row>
    <row r="140" spans="1:4">
      <c r="A140" s="928" t="s">
        <v>1887</v>
      </c>
      <c r="B140" s="929">
        <v>3091.01</v>
      </c>
      <c r="C140" s="929">
        <v>3.5999999999999999E-3</v>
      </c>
      <c r="D140" s="929">
        <v>0</v>
      </c>
    </row>
    <row r="141" spans="1:4">
      <c r="A141" s="928" t="s">
        <v>1888</v>
      </c>
      <c r="B141" s="929">
        <v>23592.48</v>
      </c>
      <c r="C141" s="929">
        <v>2.7400000000000001E-2</v>
      </c>
      <c r="D141" s="929">
        <v>0</v>
      </c>
    </row>
    <row r="142" spans="1:4">
      <c r="A142" s="928" t="s">
        <v>1889</v>
      </c>
      <c r="B142" s="929">
        <v>5079027.3499999996</v>
      </c>
      <c r="C142" s="929">
        <v>5.9054000000000002</v>
      </c>
      <c r="D142" s="929">
        <v>0</v>
      </c>
    </row>
    <row r="143" spans="1:4">
      <c r="A143" s="928" t="s">
        <v>1890</v>
      </c>
      <c r="B143" s="929">
        <v>68586.92</v>
      </c>
      <c r="C143" s="929">
        <v>7.9699999999999993E-2</v>
      </c>
      <c r="D143" s="929">
        <v>0</v>
      </c>
    </row>
    <row r="144" spans="1:4">
      <c r="A144" s="928" t="s">
        <v>1894</v>
      </c>
      <c r="B144" s="929">
        <v>25926</v>
      </c>
      <c r="C144" s="929">
        <v>3.0099999999999998E-2</v>
      </c>
      <c r="D144" s="929">
        <v>0</v>
      </c>
    </row>
    <row r="145" spans="1:4">
      <c r="A145" s="928" t="s">
        <v>1896</v>
      </c>
      <c r="B145" s="929">
        <v>92998.5</v>
      </c>
      <c r="C145" s="929">
        <v>0.1081</v>
      </c>
      <c r="D145" s="929">
        <v>0</v>
      </c>
    </row>
    <row r="146" spans="1:4">
      <c r="A146" s="928" t="s">
        <v>1898</v>
      </c>
      <c r="B146" s="929">
        <v>54537.82</v>
      </c>
      <c r="C146" s="929">
        <v>6.3399999999999998E-2</v>
      </c>
      <c r="D146" s="929">
        <v>0</v>
      </c>
    </row>
    <row r="147" spans="1:4">
      <c r="A147" s="928" t="s">
        <v>1900</v>
      </c>
      <c r="B147" s="929">
        <v>823058.11</v>
      </c>
      <c r="C147" s="929">
        <v>0.95699999999999996</v>
      </c>
      <c r="D147" s="929">
        <v>0</v>
      </c>
    </row>
    <row r="148" spans="1:4">
      <c r="A148" s="928" t="s">
        <v>2598</v>
      </c>
      <c r="B148" s="929">
        <v>355383.76</v>
      </c>
      <c r="C148" s="929">
        <v>0.41320000000000001</v>
      </c>
      <c r="D148" s="929">
        <v>0</v>
      </c>
    </row>
    <row r="149" spans="1:4">
      <c r="A149" s="928" t="s">
        <v>1902</v>
      </c>
      <c r="B149" s="929">
        <v>162788.44</v>
      </c>
      <c r="C149" s="929">
        <v>0.1893</v>
      </c>
      <c r="D149" s="929">
        <v>0</v>
      </c>
    </row>
    <row r="150" spans="1:4">
      <c r="A150" s="928" t="s">
        <v>2561</v>
      </c>
      <c r="B150" s="929">
        <v>15056</v>
      </c>
      <c r="C150" s="929">
        <v>1.7500000000000002E-2</v>
      </c>
      <c r="D150" s="929">
        <v>0</v>
      </c>
    </row>
    <row r="151" spans="1:4">
      <c r="A151" s="928" t="s">
        <v>2360</v>
      </c>
      <c r="B151" s="929">
        <v>30955.53</v>
      </c>
      <c r="C151" s="929">
        <v>3.5999999999999997E-2</v>
      </c>
      <c r="D151" s="929">
        <v>0</v>
      </c>
    </row>
    <row r="152" spans="1:4">
      <c r="A152" s="928" t="s">
        <v>1905</v>
      </c>
      <c r="B152" s="929">
        <v>1142059.05</v>
      </c>
      <c r="C152" s="929">
        <v>1.3279000000000001</v>
      </c>
      <c r="D152" s="929">
        <v>0</v>
      </c>
    </row>
    <row r="153" spans="1:4">
      <c r="A153" s="928" t="s">
        <v>2361</v>
      </c>
      <c r="B153" s="929">
        <v>379989.09</v>
      </c>
      <c r="C153" s="929">
        <v>0.44180000000000003</v>
      </c>
      <c r="D153" s="929">
        <v>0</v>
      </c>
    </row>
    <row r="154" spans="1:4">
      <c r="A154" s="928" t="s">
        <v>1907</v>
      </c>
      <c r="B154" s="929">
        <v>314.39999999999998</v>
      </c>
      <c r="C154" s="929">
        <v>4.0000000000000002E-4</v>
      </c>
      <c r="D154" s="929">
        <v>0</v>
      </c>
    </row>
    <row r="155" spans="1:4">
      <c r="A155" s="928" t="s">
        <v>2362</v>
      </c>
      <c r="B155" s="929">
        <v>858041.51</v>
      </c>
      <c r="C155" s="929">
        <v>0.99760000000000004</v>
      </c>
      <c r="D155" s="929">
        <v>0</v>
      </c>
    </row>
    <row r="156" spans="1:4">
      <c r="A156" s="928" t="s">
        <v>1909</v>
      </c>
      <c r="B156" s="929">
        <v>19916.03</v>
      </c>
      <c r="C156" s="929">
        <v>2.3199999999999998E-2</v>
      </c>
      <c r="D156" s="929">
        <v>0</v>
      </c>
    </row>
    <row r="157" spans="1:4">
      <c r="A157" s="928" t="s">
        <v>1910</v>
      </c>
      <c r="B157" s="929">
        <v>1079051.1200000001</v>
      </c>
      <c r="C157" s="929">
        <v>1.2545999999999999</v>
      </c>
      <c r="D157" s="929">
        <v>0</v>
      </c>
    </row>
    <row r="158" spans="1:4">
      <c r="A158" s="928" t="s">
        <v>1912</v>
      </c>
      <c r="B158" s="929">
        <v>352.36</v>
      </c>
      <c r="C158" s="929">
        <v>4.0000000000000002E-4</v>
      </c>
      <c r="D158" s="929">
        <v>0</v>
      </c>
    </row>
    <row r="159" spans="1:4">
      <c r="A159" s="928" t="s">
        <v>1913</v>
      </c>
      <c r="B159" s="929">
        <v>4538.32</v>
      </c>
      <c r="C159" s="929">
        <v>5.3E-3</v>
      </c>
      <c r="D159" s="929">
        <v>0</v>
      </c>
    </row>
    <row r="160" spans="1:4">
      <c r="A160" s="928" t="s">
        <v>1914</v>
      </c>
      <c r="B160" s="929">
        <v>16983.27</v>
      </c>
      <c r="C160" s="929">
        <v>1.9699999999999999E-2</v>
      </c>
      <c r="D160" s="929">
        <v>0</v>
      </c>
    </row>
    <row r="161" spans="1:6">
      <c r="A161" s="928" t="s">
        <v>1916</v>
      </c>
      <c r="B161" s="929">
        <v>171881.25</v>
      </c>
      <c r="C161" s="929">
        <v>0.19980000000000001</v>
      </c>
      <c r="D161" s="929">
        <v>0</v>
      </c>
    </row>
    <row r="162" spans="1:6">
      <c r="A162" s="931" t="s">
        <v>997</v>
      </c>
      <c r="B162" s="932">
        <v>86006767.219999999</v>
      </c>
      <c r="C162" s="932">
        <v>100</v>
      </c>
      <c r="D162" s="932">
        <v>0</v>
      </c>
    </row>
    <row r="163" spans="1:6">
      <c r="A163" s="961"/>
      <c r="B163" s="962"/>
      <c r="C163" s="962"/>
      <c r="D163" s="962"/>
    </row>
    <row r="164" spans="1:6">
      <c r="A164" s="926" t="s">
        <v>852</v>
      </c>
      <c r="B164" s="927" t="s">
        <v>853</v>
      </c>
      <c r="C164" s="927" t="s">
        <v>854</v>
      </c>
      <c r="D164" s="927" t="s">
        <v>855</v>
      </c>
      <c r="E164" s="927" t="s">
        <v>846</v>
      </c>
      <c r="F164" s="927" t="s">
        <v>847</v>
      </c>
    </row>
    <row r="165" spans="1:6">
      <c r="A165" s="928" t="s">
        <v>1795</v>
      </c>
      <c r="B165" s="929">
        <v>-3008906.9</v>
      </c>
      <c r="C165" s="929">
        <v>-2462505.2400000002</v>
      </c>
      <c r="D165" s="929">
        <v>546401.66</v>
      </c>
      <c r="E165" s="929">
        <v>0</v>
      </c>
      <c r="F165" s="929">
        <v>0</v>
      </c>
    </row>
    <row r="166" spans="1:6">
      <c r="A166" s="928" t="s">
        <v>2363</v>
      </c>
      <c r="B166" s="929">
        <v>-22106314.559999999</v>
      </c>
      <c r="C166" s="929">
        <v>-25115221.460000001</v>
      </c>
      <c r="D166" s="929">
        <v>-3008906.9</v>
      </c>
      <c r="E166" s="929">
        <v>0</v>
      </c>
      <c r="F166" s="929">
        <v>0</v>
      </c>
    </row>
    <row r="167" spans="1:6">
      <c r="A167" s="928" t="s">
        <v>1797</v>
      </c>
      <c r="B167" s="929">
        <v>-1609044.1</v>
      </c>
      <c r="C167" s="929">
        <v>0</v>
      </c>
      <c r="D167" s="929">
        <v>1609044.1</v>
      </c>
      <c r="E167" s="929">
        <v>0</v>
      </c>
      <c r="F167" s="929">
        <v>0</v>
      </c>
    </row>
    <row r="168" spans="1:6">
      <c r="A168" s="931" t="s">
        <v>856</v>
      </c>
      <c r="B168" s="932">
        <v>-26724265.559999999</v>
      </c>
      <c r="C168" s="932">
        <v>-27577726.699999999</v>
      </c>
      <c r="D168" s="932">
        <v>-853461.14</v>
      </c>
      <c r="E168" s="932">
        <v>0</v>
      </c>
      <c r="F168" s="932">
        <v>0</v>
      </c>
    </row>
    <row r="170" spans="1:6">
      <c r="A170" s="926" t="s">
        <v>857</v>
      </c>
      <c r="B170" s="927" t="s">
        <v>853</v>
      </c>
      <c r="C170" s="927" t="s">
        <v>854</v>
      </c>
      <c r="D170" s="927" t="s">
        <v>855</v>
      </c>
      <c r="E170" s="927" t="s">
        <v>847</v>
      </c>
    </row>
    <row r="171" spans="1:6">
      <c r="A171" s="928" t="s">
        <v>858</v>
      </c>
      <c r="B171" s="929">
        <v>0</v>
      </c>
      <c r="C171" s="929">
        <v>-394466.96</v>
      </c>
      <c r="D171" s="929">
        <v>-394466.96</v>
      </c>
      <c r="E171" s="929">
        <v>0</v>
      </c>
    </row>
    <row r="172" spans="1:6">
      <c r="A172" s="928" t="s">
        <v>2364</v>
      </c>
      <c r="B172" s="929">
        <v>22077.06</v>
      </c>
      <c r="C172" s="929">
        <v>22077.06</v>
      </c>
      <c r="D172" s="929">
        <v>0</v>
      </c>
      <c r="E172" s="929">
        <v>0</v>
      </c>
    </row>
    <row r="173" spans="1:6">
      <c r="A173" s="928" t="s">
        <v>2365</v>
      </c>
      <c r="B173" s="929">
        <v>118830.46</v>
      </c>
      <c r="C173" s="929">
        <v>118830.46</v>
      </c>
      <c r="D173" s="929">
        <v>0</v>
      </c>
      <c r="E173" s="929">
        <v>0</v>
      </c>
    </row>
    <row r="174" spans="1:6">
      <c r="A174" s="928" t="s">
        <v>2366</v>
      </c>
      <c r="B174" s="929">
        <v>920176.59</v>
      </c>
      <c r="C174" s="929">
        <v>920176.59</v>
      </c>
      <c r="D174" s="929">
        <v>0</v>
      </c>
      <c r="E174" s="929">
        <v>0</v>
      </c>
    </row>
    <row r="175" spans="1:6">
      <c r="A175" s="928" t="s">
        <v>2367</v>
      </c>
      <c r="B175" s="929">
        <v>965800.64</v>
      </c>
      <c r="C175" s="929">
        <v>965800.64</v>
      </c>
      <c r="D175" s="929">
        <v>0</v>
      </c>
      <c r="E175" s="929">
        <v>0</v>
      </c>
    </row>
    <row r="176" spans="1:6">
      <c r="A176" s="928" t="s">
        <v>2368</v>
      </c>
      <c r="B176" s="929">
        <v>785416.01</v>
      </c>
      <c r="C176" s="929">
        <v>785416.01</v>
      </c>
      <c r="D176" s="929">
        <v>0</v>
      </c>
      <c r="E176" s="929">
        <v>0</v>
      </c>
    </row>
    <row r="177" spans="1:5">
      <c r="A177" s="928" t="s">
        <v>2369</v>
      </c>
      <c r="B177" s="929">
        <v>1304745.5900000001</v>
      </c>
      <c r="C177" s="929">
        <v>1304745.5900000001</v>
      </c>
      <c r="D177" s="929">
        <v>0</v>
      </c>
      <c r="E177" s="929">
        <v>0</v>
      </c>
    </row>
    <row r="178" spans="1:5">
      <c r="A178" s="928" t="s">
        <v>2370</v>
      </c>
      <c r="B178" s="929">
        <v>271904.45</v>
      </c>
      <c r="C178" s="929">
        <v>-412353.89</v>
      </c>
      <c r="D178" s="929">
        <v>-684258.34</v>
      </c>
      <c r="E178" s="929">
        <v>0</v>
      </c>
    </row>
    <row r="179" spans="1:5">
      <c r="A179" s="928" t="s">
        <v>2371</v>
      </c>
      <c r="B179" s="929">
        <v>556049.84</v>
      </c>
      <c r="C179" s="929">
        <v>491785.67</v>
      </c>
      <c r="D179" s="929">
        <v>-64264.17</v>
      </c>
      <c r="E179" s="929">
        <v>0</v>
      </c>
    </row>
    <row r="180" spans="1:5">
      <c r="A180" s="928" t="s">
        <v>2372</v>
      </c>
      <c r="B180" s="929">
        <v>-4048007.42</v>
      </c>
      <c r="C180" s="929">
        <v>-4158007.42</v>
      </c>
      <c r="D180" s="929">
        <v>-110000</v>
      </c>
      <c r="E180" s="929">
        <v>0</v>
      </c>
    </row>
    <row r="181" spans="1:5">
      <c r="A181" s="928" t="s">
        <v>2373</v>
      </c>
      <c r="B181" s="929">
        <v>631199.18999999994</v>
      </c>
      <c r="C181" s="929">
        <v>470269.26</v>
      </c>
      <c r="D181" s="929">
        <v>-160929.93</v>
      </c>
      <c r="E181" s="929">
        <v>0</v>
      </c>
    </row>
    <row r="182" spans="1:5">
      <c r="A182" s="928" t="s">
        <v>2374</v>
      </c>
      <c r="B182" s="929">
        <v>1332152.8400000001</v>
      </c>
      <c r="C182" s="929">
        <v>1187477.8400000001</v>
      </c>
      <c r="D182" s="929">
        <v>-144675</v>
      </c>
      <c r="E182" s="929">
        <v>0</v>
      </c>
    </row>
    <row r="183" spans="1:5">
      <c r="A183" s="928" t="s">
        <v>2375</v>
      </c>
      <c r="B183" s="929">
        <v>1484625.68</v>
      </c>
      <c r="C183" s="929">
        <v>1039709.02</v>
      </c>
      <c r="D183" s="929">
        <v>-444916.66</v>
      </c>
      <c r="E183" s="929">
        <v>0</v>
      </c>
    </row>
    <row r="184" spans="1:5">
      <c r="A184" s="928" t="s">
        <v>2376</v>
      </c>
      <c r="B184" s="929">
        <v>-3391388.56</v>
      </c>
      <c r="C184" s="929">
        <v>-3391388.56</v>
      </c>
      <c r="D184" s="929">
        <v>0</v>
      </c>
      <c r="E184" s="929">
        <v>0</v>
      </c>
    </row>
    <row r="185" spans="1:5">
      <c r="A185" s="928" t="s">
        <v>2377</v>
      </c>
      <c r="B185" s="929">
        <v>1143346.4099999999</v>
      </c>
      <c r="C185" s="929">
        <v>1143346.4099999999</v>
      </c>
      <c r="D185" s="929">
        <v>0</v>
      </c>
      <c r="E185" s="929">
        <v>0</v>
      </c>
    </row>
    <row r="186" spans="1:5">
      <c r="A186" s="928" t="s">
        <v>2378</v>
      </c>
      <c r="B186" s="929">
        <v>-1143346.4099999999</v>
      </c>
      <c r="C186" s="929">
        <v>-1143346.4099999999</v>
      </c>
      <c r="D186" s="929">
        <v>0</v>
      </c>
      <c r="E186" s="929">
        <v>0</v>
      </c>
    </row>
    <row r="187" spans="1:5">
      <c r="A187" s="928" t="s">
        <v>859</v>
      </c>
      <c r="B187" s="929">
        <v>953582.37</v>
      </c>
      <c r="C187" s="929">
        <v>-655461.73</v>
      </c>
      <c r="D187" s="929">
        <v>-1609044.1</v>
      </c>
      <c r="E187" s="929">
        <v>0</v>
      </c>
    </row>
    <row r="188" spans="1:5">
      <c r="A188" s="931" t="s">
        <v>860</v>
      </c>
      <c r="B188" s="932">
        <v>953582.37</v>
      </c>
      <c r="C188" s="932">
        <v>-1049928.69</v>
      </c>
      <c r="D188" s="932">
        <v>-2003511.06</v>
      </c>
      <c r="E188" s="932">
        <v>0</v>
      </c>
    </row>
    <row r="190" spans="1:5">
      <c r="A190" s="926" t="s">
        <v>861</v>
      </c>
      <c r="B190" s="927" t="s">
        <v>853</v>
      </c>
      <c r="C190" s="927" t="s">
        <v>854</v>
      </c>
      <c r="D190" s="927" t="s">
        <v>724</v>
      </c>
    </row>
    <row r="191" spans="1:5">
      <c r="A191" s="928" t="s">
        <v>2379</v>
      </c>
      <c r="B191" s="929">
        <v>1000</v>
      </c>
      <c r="C191" s="929">
        <v>10098.200000000001</v>
      </c>
      <c r="D191" s="929">
        <v>9098.2000000000007</v>
      </c>
    </row>
    <row r="192" spans="1:5">
      <c r="A192" s="928" t="s">
        <v>2380</v>
      </c>
      <c r="B192" s="929">
        <v>4361505.6399999997</v>
      </c>
      <c r="C192" s="929">
        <v>6040977.7800000003</v>
      </c>
      <c r="D192" s="929">
        <v>1679472.14</v>
      </c>
    </row>
    <row r="193" spans="1:4">
      <c r="A193" s="928" t="s">
        <v>2381</v>
      </c>
      <c r="B193" s="929">
        <v>2058172.59</v>
      </c>
      <c r="C193" s="929">
        <v>2233731.2999999998</v>
      </c>
      <c r="D193" s="929">
        <v>175558.71</v>
      </c>
    </row>
    <row r="194" spans="1:4">
      <c r="A194" s="928" t="s">
        <v>2382</v>
      </c>
      <c r="B194" s="929">
        <v>0</v>
      </c>
      <c r="C194" s="929">
        <v>488002.96</v>
      </c>
      <c r="D194" s="929">
        <v>488002.96</v>
      </c>
    </row>
    <row r="195" spans="1:4">
      <c r="A195" s="928" t="s">
        <v>2383</v>
      </c>
      <c r="B195" s="929">
        <v>4903487.4800000004</v>
      </c>
      <c r="C195" s="929">
        <v>4677722.59</v>
      </c>
      <c r="D195" s="929">
        <v>-225764.89</v>
      </c>
    </row>
    <row r="196" spans="1:4">
      <c r="A196" s="928" t="s">
        <v>862</v>
      </c>
      <c r="B196" s="929">
        <v>11324165.710000001</v>
      </c>
      <c r="C196" s="929">
        <v>13450532.83</v>
      </c>
      <c r="D196" s="929">
        <v>2126367.12</v>
      </c>
    </row>
    <row r="197" spans="1:4">
      <c r="A197" s="928" t="s">
        <v>3037</v>
      </c>
      <c r="B197" s="929">
        <v>0</v>
      </c>
      <c r="C197" s="929">
        <v>2242315.87</v>
      </c>
      <c r="D197" s="929">
        <v>2242315.87</v>
      </c>
    </row>
    <row r="198" spans="1:4">
      <c r="A198" s="928" t="s">
        <v>3038</v>
      </c>
      <c r="B198" s="929">
        <v>0</v>
      </c>
      <c r="C198" s="929">
        <v>2242315.87</v>
      </c>
      <c r="D198" s="929">
        <v>2242315.87</v>
      </c>
    </row>
    <row r="199" spans="1:4">
      <c r="A199" s="931" t="s">
        <v>863</v>
      </c>
      <c r="B199" s="932">
        <v>11324165.710000001</v>
      </c>
      <c r="C199" s="932">
        <v>15692848.699999999</v>
      </c>
      <c r="D199" s="932">
        <v>4368682.99</v>
      </c>
    </row>
    <row r="201" spans="1:4">
      <c r="A201" s="926" t="s">
        <v>2562</v>
      </c>
      <c r="B201" s="927" t="s">
        <v>724</v>
      </c>
      <c r="C201" s="927" t="s">
        <v>2563</v>
      </c>
    </row>
    <row r="202" spans="1:4">
      <c r="A202" s="928" t="s">
        <v>2599</v>
      </c>
      <c r="B202" s="929">
        <v>434283.92</v>
      </c>
      <c r="C202" s="929">
        <v>0</v>
      </c>
    </row>
    <row r="203" spans="1:4">
      <c r="A203" s="928" t="s">
        <v>2564</v>
      </c>
      <c r="B203" s="929">
        <v>848299.67</v>
      </c>
      <c r="C203" s="929">
        <v>0</v>
      </c>
    </row>
    <row r="204" spans="1:4">
      <c r="A204" s="928" t="s">
        <v>2600</v>
      </c>
      <c r="B204" s="929">
        <v>92344.61</v>
      </c>
      <c r="C204" s="929">
        <v>0</v>
      </c>
    </row>
    <row r="205" spans="1:4">
      <c r="A205" s="928" t="s">
        <v>2565</v>
      </c>
      <c r="B205" s="929">
        <v>1374928.2</v>
      </c>
      <c r="C205" s="929">
        <v>0</v>
      </c>
    </row>
    <row r="206" spans="1:4">
      <c r="A206" s="928" t="s">
        <v>2601</v>
      </c>
      <c r="B206" s="929">
        <v>559597.99</v>
      </c>
      <c r="C206" s="929">
        <v>0</v>
      </c>
    </row>
    <row r="207" spans="1:4">
      <c r="A207" s="928" t="s">
        <v>2602</v>
      </c>
      <c r="B207" s="929">
        <v>559597.99</v>
      </c>
      <c r="C207" s="929">
        <v>0</v>
      </c>
    </row>
    <row r="208" spans="1:4">
      <c r="A208" s="928" t="s">
        <v>2603</v>
      </c>
      <c r="B208" s="929">
        <v>93663.74</v>
      </c>
      <c r="C208" s="929">
        <v>0</v>
      </c>
    </row>
    <row r="209" spans="1:3">
      <c r="A209" s="928" t="s">
        <v>2604</v>
      </c>
      <c r="B209" s="929">
        <v>93663.74</v>
      </c>
      <c r="C209" s="929">
        <v>0</v>
      </c>
    </row>
    <row r="210" spans="1:3">
      <c r="A210" s="928" t="s">
        <v>2566</v>
      </c>
      <c r="B210" s="929">
        <v>2028189.93</v>
      </c>
      <c r="C210" s="929">
        <v>0</v>
      </c>
    </row>
    <row r="211" spans="1:3">
      <c r="A211" s="928" t="s">
        <v>3039</v>
      </c>
      <c r="B211" s="929">
        <v>125415.3</v>
      </c>
      <c r="C211" s="929">
        <v>0</v>
      </c>
    </row>
    <row r="212" spans="1:3">
      <c r="A212" s="928" t="s">
        <v>3040</v>
      </c>
      <c r="B212" s="929">
        <v>125415.3</v>
      </c>
      <c r="C212" s="929">
        <v>0</v>
      </c>
    </row>
    <row r="213" spans="1:3">
      <c r="A213" s="928" t="s">
        <v>3041</v>
      </c>
      <c r="B213" s="929">
        <v>125415.3</v>
      </c>
      <c r="C213" s="929">
        <v>0</v>
      </c>
    </row>
    <row r="214" spans="1:3">
      <c r="A214" s="931" t="s">
        <v>2567</v>
      </c>
      <c r="B214" s="932">
        <v>2153605.23</v>
      </c>
      <c r="C214" s="932">
        <v>0</v>
      </c>
    </row>
    <row r="216" spans="1:3">
      <c r="A216" s="926" t="s">
        <v>864</v>
      </c>
      <c r="B216" s="927" t="s">
        <v>865</v>
      </c>
      <c r="C216" s="927" t="s">
        <v>866</v>
      </c>
    </row>
    <row r="217" spans="1:3">
      <c r="A217" s="928" t="s">
        <v>867</v>
      </c>
      <c r="B217" s="929">
        <v>2531067.35</v>
      </c>
      <c r="C217" s="929">
        <v>2390566.85</v>
      </c>
    </row>
    <row r="218" spans="1:3">
      <c r="A218" s="931" t="s">
        <v>868</v>
      </c>
      <c r="B218" s="932">
        <v>2531067.35</v>
      </c>
      <c r="C218" s="932">
        <v>2390566.85</v>
      </c>
    </row>
    <row r="220" spans="1:3">
      <c r="A220" s="926" t="s">
        <v>869</v>
      </c>
      <c r="B220" s="927" t="s">
        <v>718</v>
      </c>
    </row>
    <row r="221" spans="1:3">
      <c r="A221" s="938" t="s">
        <v>870</v>
      </c>
      <c r="B221" s="939">
        <v>-88863739.420000002</v>
      </c>
    </row>
    <row r="222" spans="1:3">
      <c r="A222" s="931" t="s">
        <v>871</v>
      </c>
      <c r="B222" s="963">
        <v>0</v>
      </c>
    </row>
    <row r="223" spans="1:3">
      <c r="A223" s="940" t="s">
        <v>872</v>
      </c>
      <c r="B223" s="941">
        <v>0</v>
      </c>
    </row>
    <row r="224" spans="1:3">
      <c r="A224" s="940" t="s">
        <v>873</v>
      </c>
      <c r="B224" s="941">
        <v>0</v>
      </c>
    </row>
    <row r="225" spans="1:3">
      <c r="A225" s="940" t="s">
        <v>874</v>
      </c>
      <c r="B225" s="941">
        <v>0</v>
      </c>
    </row>
    <row r="226" spans="1:3">
      <c r="A226" s="940" t="s">
        <v>875</v>
      </c>
      <c r="B226" s="941">
        <v>0</v>
      </c>
    </row>
    <row r="227" spans="1:3">
      <c r="A227" s="940" t="s">
        <v>876</v>
      </c>
      <c r="B227" s="941">
        <v>0</v>
      </c>
    </row>
    <row r="228" spans="1:3">
      <c r="A228" s="931" t="s">
        <v>877</v>
      </c>
      <c r="B228" s="964">
        <v>-2462505.2400000002</v>
      </c>
    </row>
    <row r="229" spans="1:3">
      <c r="A229" s="940" t="s">
        <v>878</v>
      </c>
      <c r="B229" s="941">
        <v>0</v>
      </c>
    </row>
    <row r="230" spans="1:3">
      <c r="A230" s="940" t="s">
        <v>879</v>
      </c>
      <c r="B230" s="941">
        <v>0</v>
      </c>
    </row>
    <row r="231" spans="1:3">
      <c r="A231" s="940" t="s">
        <v>880</v>
      </c>
      <c r="B231" s="941">
        <v>0</v>
      </c>
    </row>
    <row r="232" spans="1:3">
      <c r="A232" s="940" t="s">
        <v>881</v>
      </c>
      <c r="B232" s="942">
        <v>-2462505.2400000002</v>
      </c>
    </row>
    <row r="233" spans="1:3">
      <c r="A233" s="938" t="s">
        <v>882</v>
      </c>
      <c r="B233" s="939">
        <v>-86401234.180000007</v>
      </c>
      <c r="C233" s="988">
        <f>+B221+B222-B228-B233</f>
        <v>0</v>
      </c>
    </row>
    <row r="235" spans="1:3">
      <c r="A235" s="926" t="s">
        <v>883</v>
      </c>
      <c r="B235" s="927" t="s">
        <v>718</v>
      </c>
    </row>
    <row r="236" spans="1:3">
      <c r="A236" s="936" t="s">
        <v>884</v>
      </c>
      <c r="B236" s="937">
        <v>86193205.109999999</v>
      </c>
    </row>
    <row r="237" spans="1:3">
      <c r="A237" s="965" t="s">
        <v>885</v>
      </c>
      <c r="B237" s="966">
        <v>2717505.24</v>
      </c>
    </row>
    <row r="238" spans="1:3">
      <c r="A238" s="928" t="s">
        <v>886</v>
      </c>
      <c r="B238" s="929">
        <v>1374928.2</v>
      </c>
    </row>
    <row r="239" spans="1:3">
      <c r="A239" s="928" t="s">
        <v>887</v>
      </c>
      <c r="B239" s="930">
        <v>0</v>
      </c>
    </row>
    <row r="240" spans="1:3">
      <c r="A240" s="928" t="s">
        <v>888</v>
      </c>
      <c r="B240" s="930">
        <v>0</v>
      </c>
    </row>
    <row r="241" spans="1:2">
      <c r="A241" s="928" t="s">
        <v>889</v>
      </c>
      <c r="B241" s="929">
        <v>1123498</v>
      </c>
    </row>
    <row r="242" spans="1:2">
      <c r="A242" s="928" t="s">
        <v>890</v>
      </c>
      <c r="B242" s="930">
        <v>0</v>
      </c>
    </row>
    <row r="243" spans="1:2">
      <c r="A243" s="928" t="s">
        <v>891</v>
      </c>
      <c r="B243" s="929">
        <v>93663.74</v>
      </c>
    </row>
    <row r="244" spans="1:2">
      <c r="A244" s="928" t="s">
        <v>892</v>
      </c>
      <c r="B244" s="930">
        <v>0</v>
      </c>
    </row>
    <row r="245" spans="1:2">
      <c r="A245" s="928" t="s">
        <v>893</v>
      </c>
      <c r="B245" s="930">
        <v>0</v>
      </c>
    </row>
    <row r="246" spans="1:2">
      <c r="A246" s="928" t="s">
        <v>894</v>
      </c>
      <c r="B246" s="929">
        <v>125415.3</v>
      </c>
    </row>
    <row r="247" spans="1:2">
      <c r="A247" s="928" t="s">
        <v>895</v>
      </c>
      <c r="B247" s="930">
        <v>0</v>
      </c>
    </row>
    <row r="248" spans="1:2">
      <c r="A248" s="928" t="s">
        <v>896</v>
      </c>
      <c r="B248" s="930">
        <v>0</v>
      </c>
    </row>
    <row r="249" spans="1:2">
      <c r="A249" s="928" t="s">
        <v>897</v>
      </c>
      <c r="B249" s="930">
        <v>0</v>
      </c>
    </row>
    <row r="250" spans="1:2">
      <c r="A250" s="928" t="s">
        <v>898</v>
      </c>
      <c r="B250" s="930">
        <v>0</v>
      </c>
    </row>
    <row r="251" spans="1:2">
      <c r="A251" s="928" t="s">
        <v>899</v>
      </c>
      <c r="B251" s="930">
        <v>0</v>
      </c>
    </row>
    <row r="252" spans="1:2">
      <c r="A252" s="928" t="s">
        <v>900</v>
      </c>
      <c r="B252" s="930">
        <v>0</v>
      </c>
    </row>
    <row r="253" spans="1:2">
      <c r="A253" s="928" t="s">
        <v>901</v>
      </c>
      <c r="B253" s="930">
        <v>0</v>
      </c>
    </row>
    <row r="254" spans="1:2">
      <c r="A254" s="928" t="s">
        <v>902</v>
      </c>
      <c r="B254" s="929">
        <v>0</v>
      </c>
    </row>
    <row r="255" spans="1:2">
      <c r="A255" s="965" t="s">
        <v>903</v>
      </c>
      <c r="B255" s="966">
        <v>2531067.35</v>
      </c>
    </row>
    <row r="256" spans="1:2">
      <c r="A256" s="928" t="s">
        <v>904</v>
      </c>
      <c r="B256" s="929">
        <v>2531067.35</v>
      </c>
    </row>
    <row r="257" spans="1:3">
      <c r="A257" s="928" t="s">
        <v>905</v>
      </c>
      <c r="B257" s="930">
        <v>0</v>
      </c>
    </row>
    <row r="258" spans="1:3">
      <c r="A258" s="928" t="s">
        <v>906</v>
      </c>
      <c r="B258" s="930">
        <v>0</v>
      </c>
    </row>
    <row r="259" spans="1:3">
      <c r="A259" s="928" t="s">
        <v>907</v>
      </c>
      <c r="B259" s="930">
        <v>0</v>
      </c>
    </row>
    <row r="260" spans="1:3">
      <c r="A260" s="928" t="s">
        <v>908</v>
      </c>
      <c r="B260" s="930">
        <v>0</v>
      </c>
    </row>
    <row r="261" spans="1:3">
      <c r="A261" s="928" t="s">
        <v>909</v>
      </c>
      <c r="B261" s="930">
        <v>0</v>
      </c>
    </row>
    <row r="262" spans="1:3">
      <c r="A262" s="928" t="s">
        <v>910</v>
      </c>
      <c r="B262" s="930">
        <v>0</v>
      </c>
    </row>
    <row r="263" spans="1:3">
      <c r="A263" s="936" t="s">
        <v>911</v>
      </c>
      <c r="B263" s="937">
        <v>86006767.219999999</v>
      </c>
      <c r="C263" s="988">
        <f>+B236-B237+B255-B263</f>
        <v>0</v>
      </c>
    </row>
  </sheetData>
  <autoFilter ref="A3:G263"/>
  <mergeCells count="1">
    <mergeCell ref="A2:G2"/>
  </mergeCells>
  <printOptions horizontalCentered="1"/>
  <pageMargins left="0.51181102362204722" right="0.51181102362204722" top="0.55118110236220474" bottom="0.55118110236220474" header="0.31496062992125984" footer="0.31496062992125984"/>
  <pageSetup paperSize="119" scale="53" fitToHeight="3"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4"/>
  <sheetViews>
    <sheetView showGridLines="0" zoomScaleNormal="100" workbookViewId="0">
      <pane ySplit="2" topLeftCell="A3" activePane="bottomLeft" state="frozen"/>
      <selection activeCell="B4" sqref="B4"/>
      <selection pane="bottomLeft" activeCell="A3" sqref="A3:G274"/>
    </sheetView>
  </sheetViews>
  <sheetFormatPr baseColWidth="10" defaultColWidth="16.5703125" defaultRowHeight="11.25"/>
  <cols>
    <col min="1" max="1" width="15.5703125" style="306" customWidth="1"/>
    <col min="2" max="2" width="26.28515625" style="306" customWidth="1"/>
    <col min="3" max="3" width="15.42578125" style="307" customWidth="1"/>
    <col min="4" max="4" width="15.5703125" style="307" customWidth="1"/>
    <col min="5" max="5" width="14.140625" style="307" bestFit="1" customWidth="1"/>
    <col min="6" max="6" width="14.140625" style="307" customWidth="1"/>
    <col min="7" max="7" width="15.42578125" style="307" customWidth="1"/>
    <col min="8" max="256" width="16.5703125" style="306"/>
    <col min="257" max="257" width="15.5703125" style="306" customWidth="1"/>
    <col min="258" max="258" width="26.28515625" style="306" customWidth="1"/>
    <col min="259" max="259" width="15.42578125" style="306" customWidth="1"/>
    <col min="260" max="260" width="15.5703125" style="306" customWidth="1"/>
    <col min="261" max="261" width="14.140625" style="306" bestFit="1" customWidth="1"/>
    <col min="262" max="262" width="14.140625" style="306" customWidth="1"/>
    <col min="263" max="263" width="15.42578125" style="306" customWidth="1"/>
    <col min="264" max="512" width="16.5703125" style="306"/>
    <col min="513" max="513" width="15.5703125" style="306" customWidth="1"/>
    <col min="514" max="514" width="26.28515625" style="306" customWidth="1"/>
    <col min="515" max="515" width="15.42578125" style="306" customWidth="1"/>
    <col min="516" max="516" width="15.5703125" style="306" customWidth="1"/>
    <col min="517" max="517" width="14.140625" style="306" bestFit="1" customWidth="1"/>
    <col min="518" max="518" width="14.140625" style="306" customWidth="1"/>
    <col min="519" max="519" width="15.42578125" style="306" customWidth="1"/>
    <col min="520" max="768" width="16.5703125" style="306"/>
    <col min="769" max="769" width="15.5703125" style="306" customWidth="1"/>
    <col min="770" max="770" width="26.28515625" style="306" customWidth="1"/>
    <col min="771" max="771" width="15.42578125" style="306" customWidth="1"/>
    <col min="772" max="772" width="15.5703125" style="306" customWidth="1"/>
    <col min="773" max="773" width="14.140625" style="306" bestFit="1" customWidth="1"/>
    <col min="774" max="774" width="14.140625" style="306" customWidth="1"/>
    <col min="775" max="775" width="15.42578125" style="306" customWidth="1"/>
    <col min="776" max="1024" width="16.5703125" style="306"/>
    <col min="1025" max="1025" width="15.5703125" style="306" customWidth="1"/>
    <col min="1026" max="1026" width="26.28515625" style="306" customWidth="1"/>
    <col min="1027" max="1027" width="15.42578125" style="306" customWidth="1"/>
    <col min="1028" max="1028" width="15.5703125" style="306" customWidth="1"/>
    <col min="1029" max="1029" width="14.140625" style="306" bestFit="1" customWidth="1"/>
    <col min="1030" max="1030" width="14.140625" style="306" customWidth="1"/>
    <col min="1031" max="1031" width="15.42578125" style="306" customWidth="1"/>
    <col min="1032" max="1280" width="16.5703125" style="306"/>
    <col min="1281" max="1281" width="15.5703125" style="306" customWidth="1"/>
    <col min="1282" max="1282" width="26.28515625" style="306" customWidth="1"/>
    <col min="1283" max="1283" width="15.42578125" style="306" customWidth="1"/>
    <col min="1284" max="1284" width="15.5703125" style="306" customWidth="1"/>
    <col min="1285" max="1285" width="14.140625" style="306" bestFit="1" customWidth="1"/>
    <col min="1286" max="1286" width="14.140625" style="306" customWidth="1"/>
    <col min="1287" max="1287" width="15.42578125" style="306" customWidth="1"/>
    <col min="1288" max="1536" width="16.5703125" style="306"/>
    <col min="1537" max="1537" width="15.5703125" style="306" customWidth="1"/>
    <col min="1538" max="1538" width="26.28515625" style="306" customWidth="1"/>
    <col min="1539" max="1539" width="15.42578125" style="306" customWidth="1"/>
    <col min="1540" max="1540" width="15.5703125" style="306" customWidth="1"/>
    <col min="1541" max="1541" width="14.140625" style="306" bestFit="1" customWidth="1"/>
    <col min="1542" max="1542" width="14.140625" style="306" customWidth="1"/>
    <col min="1543" max="1543" width="15.42578125" style="306" customWidth="1"/>
    <col min="1544" max="1792" width="16.5703125" style="306"/>
    <col min="1793" max="1793" width="15.5703125" style="306" customWidth="1"/>
    <col min="1794" max="1794" width="26.28515625" style="306" customWidth="1"/>
    <col min="1795" max="1795" width="15.42578125" style="306" customWidth="1"/>
    <col min="1796" max="1796" width="15.5703125" style="306" customWidth="1"/>
    <col min="1797" max="1797" width="14.140625" style="306" bestFit="1" customWidth="1"/>
    <col min="1798" max="1798" width="14.140625" style="306" customWidth="1"/>
    <col min="1799" max="1799" width="15.42578125" style="306" customWidth="1"/>
    <col min="1800" max="2048" width="16.5703125" style="306"/>
    <col min="2049" max="2049" width="15.5703125" style="306" customWidth="1"/>
    <col min="2050" max="2050" width="26.28515625" style="306" customWidth="1"/>
    <col min="2051" max="2051" width="15.42578125" style="306" customWidth="1"/>
    <col min="2052" max="2052" width="15.5703125" style="306" customWidth="1"/>
    <col min="2053" max="2053" width="14.140625" style="306" bestFit="1" customWidth="1"/>
    <col min="2054" max="2054" width="14.140625" style="306" customWidth="1"/>
    <col min="2055" max="2055" width="15.42578125" style="306" customWidth="1"/>
    <col min="2056" max="2304" width="16.5703125" style="306"/>
    <col min="2305" max="2305" width="15.5703125" style="306" customWidth="1"/>
    <col min="2306" max="2306" width="26.28515625" style="306" customWidth="1"/>
    <col min="2307" max="2307" width="15.42578125" style="306" customWidth="1"/>
    <col min="2308" max="2308" width="15.5703125" style="306" customWidth="1"/>
    <col min="2309" max="2309" width="14.140625" style="306" bestFit="1" customWidth="1"/>
    <col min="2310" max="2310" width="14.140625" style="306" customWidth="1"/>
    <col min="2311" max="2311" width="15.42578125" style="306" customWidth="1"/>
    <col min="2312" max="2560" width="16.5703125" style="306"/>
    <col min="2561" max="2561" width="15.5703125" style="306" customWidth="1"/>
    <col min="2562" max="2562" width="26.28515625" style="306" customWidth="1"/>
    <col min="2563" max="2563" width="15.42578125" style="306" customWidth="1"/>
    <col min="2564" max="2564" width="15.5703125" style="306" customWidth="1"/>
    <col min="2565" max="2565" width="14.140625" style="306" bestFit="1" customWidth="1"/>
    <col min="2566" max="2566" width="14.140625" style="306" customWidth="1"/>
    <col min="2567" max="2567" width="15.42578125" style="306" customWidth="1"/>
    <col min="2568" max="2816" width="16.5703125" style="306"/>
    <col min="2817" max="2817" width="15.5703125" style="306" customWidth="1"/>
    <col min="2818" max="2818" width="26.28515625" style="306" customWidth="1"/>
    <col min="2819" max="2819" width="15.42578125" style="306" customWidth="1"/>
    <col min="2820" max="2820" width="15.5703125" style="306" customWidth="1"/>
    <col min="2821" max="2821" width="14.140625" style="306" bestFit="1" customWidth="1"/>
    <col min="2822" max="2822" width="14.140625" style="306" customWidth="1"/>
    <col min="2823" max="2823" width="15.42578125" style="306" customWidth="1"/>
    <col min="2824" max="3072" width="16.5703125" style="306"/>
    <col min="3073" max="3073" width="15.5703125" style="306" customWidth="1"/>
    <col min="3074" max="3074" width="26.28515625" style="306" customWidth="1"/>
    <col min="3075" max="3075" width="15.42578125" style="306" customWidth="1"/>
    <col min="3076" max="3076" width="15.5703125" style="306" customWidth="1"/>
    <col min="3077" max="3077" width="14.140625" style="306" bestFit="1" customWidth="1"/>
    <col min="3078" max="3078" width="14.140625" style="306" customWidth="1"/>
    <col min="3079" max="3079" width="15.42578125" style="306" customWidth="1"/>
    <col min="3080" max="3328" width="16.5703125" style="306"/>
    <col min="3329" max="3329" width="15.5703125" style="306" customWidth="1"/>
    <col min="3330" max="3330" width="26.28515625" style="306" customWidth="1"/>
    <col min="3331" max="3331" width="15.42578125" style="306" customWidth="1"/>
    <col min="3332" max="3332" width="15.5703125" style="306" customWidth="1"/>
    <col min="3333" max="3333" width="14.140625" style="306" bestFit="1" customWidth="1"/>
    <col min="3334" max="3334" width="14.140625" style="306" customWidth="1"/>
    <col min="3335" max="3335" width="15.42578125" style="306" customWidth="1"/>
    <col min="3336" max="3584" width="16.5703125" style="306"/>
    <col min="3585" max="3585" width="15.5703125" style="306" customWidth="1"/>
    <col min="3586" max="3586" width="26.28515625" style="306" customWidth="1"/>
    <col min="3587" max="3587" width="15.42578125" style="306" customWidth="1"/>
    <col min="3588" max="3588" width="15.5703125" style="306" customWidth="1"/>
    <col min="3589" max="3589" width="14.140625" style="306" bestFit="1" customWidth="1"/>
    <col min="3590" max="3590" width="14.140625" style="306" customWidth="1"/>
    <col min="3591" max="3591" width="15.42578125" style="306" customWidth="1"/>
    <col min="3592" max="3840" width="16.5703125" style="306"/>
    <col min="3841" max="3841" width="15.5703125" style="306" customWidth="1"/>
    <col min="3842" max="3842" width="26.28515625" style="306" customWidth="1"/>
    <col min="3843" max="3843" width="15.42578125" style="306" customWidth="1"/>
    <col min="3844" max="3844" width="15.5703125" style="306" customWidth="1"/>
    <col min="3845" max="3845" width="14.140625" style="306" bestFit="1" customWidth="1"/>
    <col min="3846" max="3846" width="14.140625" style="306" customWidth="1"/>
    <col min="3847" max="3847" width="15.42578125" style="306" customWidth="1"/>
    <col min="3848" max="4096" width="16.5703125" style="306"/>
    <col min="4097" max="4097" width="15.5703125" style="306" customWidth="1"/>
    <col min="4098" max="4098" width="26.28515625" style="306" customWidth="1"/>
    <col min="4099" max="4099" width="15.42578125" style="306" customWidth="1"/>
    <col min="4100" max="4100" width="15.5703125" style="306" customWidth="1"/>
    <col min="4101" max="4101" width="14.140625" style="306" bestFit="1" customWidth="1"/>
    <col min="4102" max="4102" width="14.140625" style="306" customWidth="1"/>
    <col min="4103" max="4103" width="15.42578125" style="306" customWidth="1"/>
    <col min="4104" max="4352" width="16.5703125" style="306"/>
    <col min="4353" max="4353" width="15.5703125" style="306" customWidth="1"/>
    <col min="4354" max="4354" width="26.28515625" style="306" customWidth="1"/>
    <col min="4355" max="4355" width="15.42578125" style="306" customWidth="1"/>
    <col min="4356" max="4356" width="15.5703125" style="306" customWidth="1"/>
    <col min="4357" max="4357" width="14.140625" style="306" bestFit="1" customWidth="1"/>
    <col min="4358" max="4358" width="14.140625" style="306" customWidth="1"/>
    <col min="4359" max="4359" width="15.42578125" style="306" customWidth="1"/>
    <col min="4360" max="4608" width="16.5703125" style="306"/>
    <col min="4609" max="4609" width="15.5703125" style="306" customWidth="1"/>
    <col min="4610" max="4610" width="26.28515625" style="306" customWidth="1"/>
    <col min="4611" max="4611" width="15.42578125" style="306" customWidth="1"/>
    <col min="4612" max="4612" width="15.5703125" style="306" customWidth="1"/>
    <col min="4613" max="4613" width="14.140625" style="306" bestFit="1" customWidth="1"/>
    <col min="4614" max="4614" width="14.140625" style="306" customWidth="1"/>
    <col min="4615" max="4615" width="15.42578125" style="306" customWidth="1"/>
    <col min="4616" max="4864" width="16.5703125" style="306"/>
    <col min="4865" max="4865" width="15.5703125" style="306" customWidth="1"/>
    <col min="4866" max="4866" width="26.28515625" style="306" customWidth="1"/>
    <col min="4867" max="4867" width="15.42578125" style="306" customWidth="1"/>
    <col min="4868" max="4868" width="15.5703125" style="306" customWidth="1"/>
    <col min="4869" max="4869" width="14.140625" style="306" bestFit="1" customWidth="1"/>
    <col min="4870" max="4870" width="14.140625" style="306" customWidth="1"/>
    <col min="4871" max="4871" width="15.42578125" style="306" customWidth="1"/>
    <col min="4872" max="5120" width="16.5703125" style="306"/>
    <col min="5121" max="5121" width="15.5703125" style="306" customWidth="1"/>
    <col min="5122" max="5122" width="26.28515625" style="306" customWidth="1"/>
    <col min="5123" max="5123" width="15.42578125" style="306" customWidth="1"/>
    <col min="5124" max="5124" width="15.5703125" style="306" customWidth="1"/>
    <col min="5125" max="5125" width="14.140625" style="306" bestFit="1" customWidth="1"/>
    <col min="5126" max="5126" width="14.140625" style="306" customWidth="1"/>
    <col min="5127" max="5127" width="15.42578125" style="306" customWidth="1"/>
    <col min="5128" max="5376" width="16.5703125" style="306"/>
    <col min="5377" max="5377" width="15.5703125" style="306" customWidth="1"/>
    <col min="5378" max="5378" width="26.28515625" style="306" customWidth="1"/>
    <col min="5379" max="5379" width="15.42578125" style="306" customWidth="1"/>
    <col min="5380" max="5380" width="15.5703125" style="306" customWidth="1"/>
    <col min="5381" max="5381" width="14.140625" style="306" bestFit="1" customWidth="1"/>
    <col min="5382" max="5382" width="14.140625" style="306" customWidth="1"/>
    <col min="5383" max="5383" width="15.42578125" style="306" customWidth="1"/>
    <col min="5384" max="5632" width="16.5703125" style="306"/>
    <col min="5633" max="5633" width="15.5703125" style="306" customWidth="1"/>
    <col min="5634" max="5634" width="26.28515625" style="306" customWidth="1"/>
    <col min="5635" max="5635" width="15.42578125" style="306" customWidth="1"/>
    <col min="5636" max="5636" width="15.5703125" style="306" customWidth="1"/>
    <col min="5637" max="5637" width="14.140625" style="306" bestFit="1" customWidth="1"/>
    <col min="5638" max="5638" width="14.140625" style="306" customWidth="1"/>
    <col min="5639" max="5639" width="15.42578125" style="306" customWidth="1"/>
    <col min="5640" max="5888" width="16.5703125" style="306"/>
    <col min="5889" max="5889" width="15.5703125" style="306" customWidth="1"/>
    <col min="5890" max="5890" width="26.28515625" style="306" customWidth="1"/>
    <col min="5891" max="5891" width="15.42578125" style="306" customWidth="1"/>
    <col min="5892" max="5892" width="15.5703125" style="306" customWidth="1"/>
    <col min="5893" max="5893" width="14.140625" style="306" bestFit="1" customWidth="1"/>
    <col min="5894" max="5894" width="14.140625" style="306" customWidth="1"/>
    <col min="5895" max="5895" width="15.42578125" style="306" customWidth="1"/>
    <col min="5896" max="6144" width="16.5703125" style="306"/>
    <col min="6145" max="6145" width="15.5703125" style="306" customWidth="1"/>
    <col min="6146" max="6146" width="26.28515625" style="306" customWidth="1"/>
    <col min="6147" max="6147" width="15.42578125" style="306" customWidth="1"/>
    <col min="6148" max="6148" width="15.5703125" style="306" customWidth="1"/>
    <col min="6149" max="6149" width="14.140625" style="306" bestFit="1" customWidth="1"/>
    <col min="6150" max="6150" width="14.140625" style="306" customWidth="1"/>
    <col min="6151" max="6151" width="15.42578125" style="306" customWidth="1"/>
    <col min="6152" max="6400" width="16.5703125" style="306"/>
    <col min="6401" max="6401" width="15.5703125" style="306" customWidth="1"/>
    <col min="6402" max="6402" width="26.28515625" style="306" customWidth="1"/>
    <col min="6403" max="6403" width="15.42578125" style="306" customWidth="1"/>
    <col min="6404" max="6404" width="15.5703125" style="306" customWidth="1"/>
    <col min="6405" max="6405" width="14.140625" style="306" bestFit="1" customWidth="1"/>
    <col min="6406" max="6406" width="14.140625" style="306" customWidth="1"/>
    <col min="6407" max="6407" width="15.42578125" style="306" customWidth="1"/>
    <col min="6408" max="6656" width="16.5703125" style="306"/>
    <col min="6657" max="6657" width="15.5703125" style="306" customWidth="1"/>
    <col min="6658" max="6658" width="26.28515625" style="306" customWidth="1"/>
    <col min="6659" max="6659" width="15.42578125" style="306" customWidth="1"/>
    <col min="6660" max="6660" width="15.5703125" style="306" customWidth="1"/>
    <col min="6661" max="6661" width="14.140625" style="306" bestFit="1" customWidth="1"/>
    <col min="6662" max="6662" width="14.140625" style="306" customWidth="1"/>
    <col min="6663" max="6663" width="15.42578125" style="306" customWidth="1"/>
    <col min="6664" max="6912" width="16.5703125" style="306"/>
    <col min="6913" max="6913" width="15.5703125" style="306" customWidth="1"/>
    <col min="6914" max="6914" width="26.28515625" style="306" customWidth="1"/>
    <col min="6915" max="6915" width="15.42578125" style="306" customWidth="1"/>
    <col min="6916" max="6916" width="15.5703125" style="306" customWidth="1"/>
    <col min="6917" max="6917" width="14.140625" style="306" bestFit="1" customWidth="1"/>
    <col min="6918" max="6918" width="14.140625" style="306" customWidth="1"/>
    <col min="6919" max="6919" width="15.42578125" style="306" customWidth="1"/>
    <col min="6920" max="7168" width="16.5703125" style="306"/>
    <col min="7169" max="7169" width="15.5703125" style="306" customWidth="1"/>
    <col min="7170" max="7170" width="26.28515625" style="306" customWidth="1"/>
    <col min="7171" max="7171" width="15.42578125" style="306" customWidth="1"/>
    <col min="7172" max="7172" width="15.5703125" style="306" customWidth="1"/>
    <col min="7173" max="7173" width="14.140625" style="306" bestFit="1" customWidth="1"/>
    <col min="7174" max="7174" width="14.140625" style="306" customWidth="1"/>
    <col min="7175" max="7175" width="15.42578125" style="306" customWidth="1"/>
    <col min="7176" max="7424" width="16.5703125" style="306"/>
    <col min="7425" max="7425" width="15.5703125" style="306" customWidth="1"/>
    <col min="7426" max="7426" width="26.28515625" style="306" customWidth="1"/>
    <col min="7427" max="7427" width="15.42578125" style="306" customWidth="1"/>
    <col min="7428" max="7428" width="15.5703125" style="306" customWidth="1"/>
    <col min="7429" max="7429" width="14.140625" style="306" bestFit="1" customWidth="1"/>
    <col min="7430" max="7430" width="14.140625" style="306" customWidth="1"/>
    <col min="7431" max="7431" width="15.42578125" style="306" customWidth="1"/>
    <col min="7432" max="7680" width="16.5703125" style="306"/>
    <col min="7681" max="7681" width="15.5703125" style="306" customWidth="1"/>
    <col min="7682" max="7682" width="26.28515625" style="306" customWidth="1"/>
    <col min="7683" max="7683" width="15.42578125" style="306" customWidth="1"/>
    <col min="7684" max="7684" width="15.5703125" style="306" customWidth="1"/>
    <col min="7685" max="7685" width="14.140625" style="306" bestFit="1" customWidth="1"/>
    <col min="7686" max="7686" width="14.140625" style="306" customWidth="1"/>
    <col min="7687" max="7687" width="15.42578125" style="306" customWidth="1"/>
    <col min="7688" max="7936" width="16.5703125" style="306"/>
    <col min="7937" max="7937" width="15.5703125" style="306" customWidth="1"/>
    <col min="7938" max="7938" width="26.28515625" style="306" customWidth="1"/>
    <col min="7939" max="7939" width="15.42578125" style="306" customWidth="1"/>
    <col min="7940" max="7940" width="15.5703125" style="306" customWidth="1"/>
    <col min="7941" max="7941" width="14.140625" style="306" bestFit="1" customWidth="1"/>
    <col min="7942" max="7942" width="14.140625" style="306" customWidth="1"/>
    <col min="7943" max="7943" width="15.42578125" style="306" customWidth="1"/>
    <col min="7944" max="8192" width="16.5703125" style="306"/>
    <col min="8193" max="8193" width="15.5703125" style="306" customWidth="1"/>
    <col min="8194" max="8194" width="26.28515625" style="306" customWidth="1"/>
    <col min="8195" max="8195" width="15.42578125" style="306" customWidth="1"/>
    <col min="8196" max="8196" width="15.5703125" style="306" customWidth="1"/>
    <col min="8197" max="8197" width="14.140625" style="306" bestFit="1" customWidth="1"/>
    <col min="8198" max="8198" width="14.140625" style="306" customWidth="1"/>
    <col min="8199" max="8199" width="15.42578125" style="306" customWidth="1"/>
    <col min="8200" max="8448" width="16.5703125" style="306"/>
    <col min="8449" max="8449" width="15.5703125" style="306" customWidth="1"/>
    <col min="8450" max="8450" width="26.28515625" style="306" customWidth="1"/>
    <col min="8451" max="8451" width="15.42578125" style="306" customWidth="1"/>
    <col min="8452" max="8452" width="15.5703125" style="306" customWidth="1"/>
    <col min="8453" max="8453" width="14.140625" style="306" bestFit="1" customWidth="1"/>
    <col min="8454" max="8454" width="14.140625" style="306" customWidth="1"/>
    <col min="8455" max="8455" width="15.42578125" style="306" customWidth="1"/>
    <col min="8456" max="8704" width="16.5703125" style="306"/>
    <col min="8705" max="8705" width="15.5703125" style="306" customWidth="1"/>
    <col min="8706" max="8706" width="26.28515625" style="306" customWidth="1"/>
    <col min="8707" max="8707" width="15.42578125" style="306" customWidth="1"/>
    <col min="8708" max="8708" width="15.5703125" style="306" customWidth="1"/>
    <col min="8709" max="8709" width="14.140625" style="306" bestFit="1" customWidth="1"/>
    <col min="8710" max="8710" width="14.140625" style="306" customWidth="1"/>
    <col min="8711" max="8711" width="15.42578125" style="306" customWidth="1"/>
    <col min="8712" max="8960" width="16.5703125" style="306"/>
    <col min="8961" max="8961" width="15.5703125" style="306" customWidth="1"/>
    <col min="8962" max="8962" width="26.28515625" style="306" customWidth="1"/>
    <col min="8963" max="8963" width="15.42578125" style="306" customWidth="1"/>
    <col min="8964" max="8964" width="15.5703125" style="306" customWidth="1"/>
    <col min="8965" max="8965" width="14.140625" style="306" bestFit="1" customWidth="1"/>
    <col min="8966" max="8966" width="14.140625" style="306" customWidth="1"/>
    <col min="8967" max="8967" width="15.42578125" style="306" customWidth="1"/>
    <col min="8968" max="9216" width="16.5703125" style="306"/>
    <col min="9217" max="9217" width="15.5703125" style="306" customWidth="1"/>
    <col min="9218" max="9218" width="26.28515625" style="306" customWidth="1"/>
    <col min="9219" max="9219" width="15.42578125" style="306" customWidth="1"/>
    <col min="9220" max="9220" width="15.5703125" style="306" customWidth="1"/>
    <col min="9221" max="9221" width="14.140625" style="306" bestFit="1" customWidth="1"/>
    <col min="9222" max="9222" width="14.140625" style="306" customWidth="1"/>
    <col min="9223" max="9223" width="15.42578125" style="306" customWidth="1"/>
    <col min="9224" max="9472" width="16.5703125" style="306"/>
    <col min="9473" max="9473" width="15.5703125" style="306" customWidth="1"/>
    <col min="9474" max="9474" width="26.28515625" style="306" customWidth="1"/>
    <col min="9475" max="9475" width="15.42578125" style="306" customWidth="1"/>
    <col min="9476" max="9476" width="15.5703125" style="306" customWidth="1"/>
    <col min="9477" max="9477" width="14.140625" style="306" bestFit="1" customWidth="1"/>
    <col min="9478" max="9478" width="14.140625" style="306" customWidth="1"/>
    <col min="9479" max="9479" width="15.42578125" style="306" customWidth="1"/>
    <col min="9480" max="9728" width="16.5703125" style="306"/>
    <col min="9729" max="9729" width="15.5703125" style="306" customWidth="1"/>
    <col min="9730" max="9730" width="26.28515625" style="306" customWidth="1"/>
    <col min="9731" max="9731" width="15.42578125" style="306" customWidth="1"/>
    <col min="9732" max="9732" width="15.5703125" style="306" customWidth="1"/>
    <col min="9733" max="9733" width="14.140625" style="306" bestFit="1" customWidth="1"/>
    <col min="9734" max="9734" width="14.140625" style="306" customWidth="1"/>
    <col min="9735" max="9735" width="15.42578125" style="306" customWidth="1"/>
    <col min="9736" max="9984" width="16.5703125" style="306"/>
    <col min="9985" max="9985" width="15.5703125" style="306" customWidth="1"/>
    <col min="9986" max="9986" width="26.28515625" style="306" customWidth="1"/>
    <col min="9987" max="9987" width="15.42578125" style="306" customWidth="1"/>
    <col min="9988" max="9988" width="15.5703125" style="306" customWidth="1"/>
    <col min="9989" max="9989" width="14.140625" style="306" bestFit="1" customWidth="1"/>
    <col min="9990" max="9990" width="14.140625" style="306" customWidth="1"/>
    <col min="9991" max="9991" width="15.42578125" style="306" customWidth="1"/>
    <col min="9992" max="10240" width="16.5703125" style="306"/>
    <col min="10241" max="10241" width="15.5703125" style="306" customWidth="1"/>
    <col min="10242" max="10242" width="26.28515625" style="306" customWidth="1"/>
    <col min="10243" max="10243" width="15.42578125" style="306" customWidth="1"/>
    <col min="10244" max="10244" width="15.5703125" style="306" customWidth="1"/>
    <col min="10245" max="10245" width="14.140625" style="306" bestFit="1" customWidth="1"/>
    <col min="10246" max="10246" width="14.140625" style="306" customWidth="1"/>
    <col min="10247" max="10247" width="15.42578125" style="306" customWidth="1"/>
    <col min="10248" max="10496" width="16.5703125" style="306"/>
    <col min="10497" max="10497" width="15.5703125" style="306" customWidth="1"/>
    <col min="10498" max="10498" width="26.28515625" style="306" customWidth="1"/>
    <col min="10499" max="10499" width="15.42578125" style="306" customWidth="1"/>
    <col min="10500" max="10500" width="15.5703125" style="306" customWidth="1"/>
    <col min="10501" max="10501" width="14.140625" style="306" bestFit="1" customWidth="1"/>
    <col min="10502" max="10502" width="14.140625" style="306" customWidth="1"/>
    <col min="10503" max="10503" width="15.42578125" style="306" customWidth="1"/>
    <col min="10504" max="10752" width="16.5703125" style="306"/>
    <col min="10753" max="10753" width="15.5703125" style="306" customWidth="1"/>
    <col min="10754" max="10754" width="26.28515625" style="306" customWidth="1"/>
    <col min="10755" max="10755" width="15.42578125" style="306" customWidth="1"/>
    <col min="10756" max="10756" width="15.5703125" style="306" customWidth="1"/>
    <col min="10757" max="10757" width="14.140625" style="306" bestFit="1" customWidth="1"/>
    <col min="10758" max="10758" width="14.140625" style="306" customWidth="1"/>
    <col min="10759" max="10759" width="15.42578125" style="306" customWidth="1"/>
    <col min="10760" max="11008" width="16.5703125" style="306"/>
    <col min="11009" max="11009" width="15.5703125" style="306" customWidth="1"/>
    <col min="11010" max="11010" width="26.28515625" style="306" customWidth="1"/>
    <col min="11011" max="11011" width="15.42578125" style="306" customWidth="1"/>
    <col min="11012" max="11012" width="15.5703125" style="306" customWidth="1"/>
    <col min="11013" max="11013" width="14.140625" style="306" bestFit="1" customWidth="1"/>
    <col min="11014" max="11014" width="14.140625" style="306" customWidth="1"/>
    <col min="11015" max="11015" width="15.42578125" style="306" customWidth="1"/>
    <col min="11016" max="11264" width="16.5703125" style="306"/>
    <col min="11265" max="11265" width="15.5703125" style="306" customWidth="1"/>
    <col min="11266" max="11266" width="26.28515625" style="306" customWidth="1"/>
    <col min="11267" max="11267" width="15.42578125" style="306" customWidth="1"/>
    <col min="11268" max="11268" width="15.5703125" style="306" customWidth="1"/>
    <col min="11269" max="11269" width="14.140625" style="306" bestFit="1" customWidth="1"/>
    <col min="11270" max="11270" width="14.140625" style="306" customWidth="1"/>
    <col min="11271" max="11271" width="15.42578125" style="306" customWidth="1"/>
    <col min="11272" max="11520" width="16.5703125" style="306"/>
    <col min="11521" max="11521" width="15.5703125" style="306" customWidth="1"/>
    <col min="11522" max="11522" width="26.28515625" style="306" customWidth="1"/>
    <col min="11523" max="11523" width="15.42578125" style="306" customWidth="1"/>
    <col min="11524" max="11524" width="15.5703125" style="306" customWidth="1"/>
    <col min="11525" max="11525" width="14.140625" style="306" bestFit="1" customWidth="1"/>
    <col min="11526" max="11526" width="14.140625" style="306" customWidth="1"/>
    <col min="11527" max="11527" width="15.42578125" style="306" customWidth="1"/>
    <col min="11528" max="11776" width="16.5703125" style="306"/>
    <col min="11777" max="11777" width="15.5703125" style="306" customWidth="1"/>
    <col min="11778" max="11778" width="26.28515625" style="306" customWidth="1"/>
    <col min="11779" max="11779" width="15.42578125" style="306" customWidth="1"/>
    <col min="11780" max="11780" width="15.5703125" style="306" customWidth="1"/>
    <col min="11781" max="11781" width="14.140625" style="306" bestFit="1" customWidth="1"/>
    <col min="11782" max="11782" width="14.140625" style="306" customWidth="1"/>
    <col min="11783" max="11783" width="15.42578125" style="306" customWidth="1"/>
    <col min="11784" max="12032" width="16.5703125" style="306"/>
    <col min="12033" max="12033" width="15.5703125" style="306" customWidth="1"/>
    <col min="12034" max="12034" width="26.28515625" style="306" customWidth="1"/>
    <col min="12035" max="12035" width="15.42578125" style="306" customWidth="1"/>
    <col min="12036" max="12036" width="15.5703125" style="306" customWidth="1"/>
    <col min="12037" max="12037" width="14.140625" style="306" bestFit="1" customWidth="1"/>
    <col min="12038" max="12038" width="14.140625" style="306" customWidth="1"/>
    <col min="12039" max="12039" width="15.42578125" style="306" customWidth="1"/>
    <col min="12040" max="12288" width="16.5703125" style="306"/>
    <col min="12289" max="12289" width="15.5703125" style="306" customWidth="1"/>
    <col min="12290" max="12290" width="26.28515625" style="306" customWidth="1"/>
    <col min="12291" max="12291" width="15.42578125" style="306" customWidth="1"/>
    <col min="12292" max="12292" width="15.5703125" style="306" customWidth="1"/>
    <col min="12293" max="12293" width="14.140625" style="306" bestFit="1" customWidth="1"/>
    <col min="12294" max="12294" width="14.140625" style="306" customWidth="1"/>
    <col min="12295" max="12295" width="15.42578125" style="306" customWidth="1"/>
    <col min="12296" max="12544" width="16.5703125" style="306"/>
    <col min="12545" max="12545" width="15.5703125" style="306" customWidth="1"/>
    <col min="12546" max="12546" width="26.28515625" style="306" customWidth="1"/>
    <col min="12547" max="12547" width="15.42578125" style="306" customWidth="1"/>
    <col min="12548" max="12548" width="15.5703125" style="306" customWidth="1"/>
    <col min="12549" max="12549" width="14.140625" style="306" bestFit="1" customWidth="1"/>
    <col min="12550" max="12550" width="14.140625" style="306" customWidth="1"/>
    <col min="12551" max="12551" width="15.42578125" style="306" customWidth="1"/>
    <col min="12552" max="12800" width="16.5703125" style="306"/>
    <col min="12801" max="12801" width="15.5703125" style="306" customWidth="1"/>
    <col min="12802" max="12802" width="26.28515625" style="306" customWidth="1"/>
    <col min="12803" max="12803" width="15.42578125" style="306" customWidth="1"/>
    <col min="12804" max="12804" width="15.5703125" style="306" customWidth="1"/>
    <col min="12805" max="12805" width="14.140625" style="306" bestFit="1" customWidth="1"/>
    <col min="12806" max="12806" width="14.140625" style="306" customWidth="1"/>
    <col min="12807" max="12807" width="15.42578125" style="306" customWidth="1"/>
    <col min="12808" max="13056" width="16.5703125" style="306"/>
    <col min="13057" max="13057" width="15.5703125" style="306" customWidth="1"/>
    <col min="13058" max="13058" width="26.28515625" style="306" customWidth="1"/>
    <col min="13059" max="13059" width="15.42578125" style="306" customWidth="1"/>
    <col min="13060" max="13060" width="15.5703125" style="306" customWidth="1"/>
    <col min="13061" max="13061" width="14.140625" style="306" bestFit="1" customWidth="1"/>
    <col min="13062" max="13062" width="14.140625" style="306" customWidth="1"/>
    <col min="13063" max="13063" width="15.42578125" style="306" customWidth="1"/>
    <col min="13064" max="13312" width="16.5703125" style="306"/>
    <col min="13313" max="13313" width="15.5703125" style="306" customWidth="1"/>
    <col min="13314" max="13314" width="26.28515625" style="306" customWidth="1"/>
    <col min="13315" max="13315" width="15.42578125" style="306" customWidth="1"/>
    <col min="13316" max="13316" width="15.5703125" style="306" customWidth="1"/>
    <col min="13317" max="13317" width="14.140625" style="306" bestFit="1" customWidth="1"/>
    <col min="13318" max="13318" width="14.140625" style="306" customWidth="1"/>
    <col min="13319" max="13319" width="15.42578125" style="306" customWidth="1"/>
    <col min="13320" max="13568" width="16.5703125" style="306"/>
    <col min="13569" max="13569" width="15.5703125" style="306" customWidth="1"/>
    <col min="13570" max="13570" width="26.28515625" style="306" customWidth="1"/>
    <col min="13571" max="13571" width="15.42578125" style="306" customWidth="1"/>
    <col min="13572" max="13572" width="15.5703125" style="306" customWidth="1"/>
    <col min="13573" max="13573" width="14.140625" style="306" bestFit="1" customWidth="1"/>
    <col min="13574" max="13574" width="14.140625" style="306" customWidth="1"/>
    <col min="13575" max="13575" width="15.42578125" style="306" customWidth="1"/>
    <col min="13576" max="13824" width="16.5703125" style="306"/>
    <col min="13825" max="13825" width="15.5703125" style="306" customWidth="1"/>
    <col min="13826" max="13826" width="26.28515625" style="306" customWidth="1"/>
    <col min="13827" max="13827" width="15.42578125" style="306" customWidth="1"/>
    <col min="13828" max="13828" width="15.5703125" style="306" customWidth="1"/>
    <col min="13829" max="13829" width="14.140625" style="306" bestFit="1" customWidth="1"/>
    <col min="13830" max="13830" width="14.140625" style="306" customWidth="1"/>
    <col min="13831" max="13831" width="15.42578125" style="306" customWidth="1"/>
    <col min="13832" max="14080" width="16.5703125" style="306"/>
    <col min="14081" max="14081" width="15.5703125" style="306" customWidth="1"/>
    <col min="14082" max="14082" width="26.28515625" style="306" customWidth="1"/>
    <col min="14083" max="14083" width="15.42578125" style="306" customWidth="1"/>
    <col min="14084" max="14084" width="15.5703125" style="306" customWidth="1"/>
    <col min="14085" max="14085" width="14.140625" style="306" bestFit="1" customWidth="1"/>
    <col min="14086" max="14086" width="14.140625" style="306" customWidth="1"/>
    <col min="14087" max="14087" width="15.42578125" style="306" customWidth="1"/>
    <col min="14088" max="14336" width="16.5703125" style="306"/>
    <col min="14337" max="14337" width="15.5703125" style="306" customWidth="1"/>
    <col min="14338" max="14338" width="26.28515625" style="306" customWidth="1"/>
    <col min="14339" max="14339" width="15.42578125" style="306" customWidth="1"/>
    <col min="14340" max="14340" width="15.5703125" style="306" customWidth="1"/>
    <col min="14341" max="14341" width="14.140625" style="306" bestFit="1" customWidth="1"/>
    <col min="14342" max="14342" width="14.140625" style="306" customWidth="1"/>
    <col min="14343" max="14343" width="15.42578125" style="306" customWidth="1"/>
    <col min="14344" max="14592" width="16.5703125" style="306"/>
    <col min="14593" max="14593" width="15.5703125" style="306" customWidth="1"/>
    <col min="14594" max="14594" width="26.28515625" style="306" customWidth="1"/>
    <col min="14595" max="14595" width="15.42578125" style="306" customWidth="1"/>
    <col min="14596" max="14596" width="15.5703125" style="306" customWidth="1"/>
    <col min="14597" max="14597" width="14.140625" style="306" bestFit="1" customWidth="1"/>
    <col min="14598" max="14598" width="14.140625" style="306" customWidth="1"/>
    <col min="14599" max="14599" width="15.42578125" style="306" customWidth="1"/>
    <col min="14600" max="14848" width="16.5703125" style="306"/>
    <col min="14849" max="14849" width="15.5703125" style="306" customWidth="1"/>
    <col min="14850" max="14850" width="26.28515625" style="306" customWidth="1"/>
    <col min="14851" max="14851" width="15.42578125" style="306" customWidth="1"/>
    <col min="14852" max="14852" width="15.5703125" style="306" customWidth="1"/>
    <col min="14853" max="14853" width="14.140625" style="306" bestFit="1" customWidth="1"/>
    <col min="14854" max="14854" width="14.140625" style="306" customWidth="1"/>
    <col min="14855" max="14855" width="15.42578125" style="306" customWidth="1"/>
    <col min="14856" max="15104" width="16.5703125" style="306"/>
    <col min="15105" max="15105" width="15.5703125" style="306" customWidth="1"/>
    <col min="15106" max="15106" width="26.28515625" style="306" customWidth="1"/>
    <col min="15107" max="15107" width="15.42578125" style="306" customWidth="1"/>
    <col min="15108" max="15108" width="15.5703125" style="306" customWidth="1"/>
    <col min="15109" max="15109" width="14.140625" style="306" bestFit="1" customWidth="1"/>
    <col min="15110" max="15110" width="14.140625" style="306" customWidth="1"/>
    <col min="15111" max="15111" width="15.42578125" style="306" customWidth="1"/>
    <col min="15112" max="15360" width="16.5703125" style="306"/>
    <col min="15361" max="15361" width="15.5703125" style="306" customWidth="1"/>
    <col min="15362" max="15362" width="26.28515625" style="306" customWidth="1"/>
    <col min="15363" max="15363" width="15.42578125" style="306" customWidth="1"/>
    <col min="15364" max="15364" width="15.5703125" style="306" customWidth="1"/>
    <col min="15365" max="15365" width="14.140625" style="306" bestFit="1" customWidth="1"/>
    <col min="15366" max="15366" width="14.140625" style="306" customWidth="1"/>
    <col min="15367" max="15367" width="15.42578125" style="306" customWidth="1"/>
    <col min="15368" max="15616" width="16.5703125" style="306"/>
    <col min="15617" max="15617" width="15.5703125" style="306" customWidth="1"/>
    <col min="15618" max="15618" width="26.28515625" style="306" customWidth="1"/>
    <col min="15619" max="15619" width="15.42578125" style="306" customWidth="1"/>
    <col min="15620" max="15620" width="15.5703125" style="306" customWidth="1"/>
    <col min="15621" max="15621" width="14.140625" style="306" bestFit="1" customWidth="1"/>
    <col min="15622" max="15622" width="14.140625" style="306" customWidth="1"/>
    <col min="15623" max="15623" width="15.42578125" style="306" customWidth="1"/>
    <col min="15624" max="15872" width="16.5703125" style="306"/>
    <col min="15873" max="15873" width="15.5703125" style="306" customWidth="1"/>
    <col min="15874" max="15874" width="26.28515625" style="306" customWidth="1"/>
    <col min="15875" max="15875" width="15.42578125" style="306" customWidth="1"/>
    <col min="15876" max="15876" width="15.5703125" style="306" customWidth="1"/>
    <col min="15877" max="15877" width="14.140625" style="306" bestFit="1" customWidth="1"/>
    <col min="15878" max="15878" width="14.140625" style="306" customWidth="1"/>
    <col min="15879" max="15879" width="15.42578125" style="306" customWidth="1"/>
    <col min="15880" max="16128" width="16.5703125" style="306"/>
    <col min="16129" max="16129" width="15.5703125" style="306" customWidth="1"/>
    <col min="16130" max="16130" width="26.28515625" style="306" customWidth="1"/>
    <col min="16131" max="16131" width="15.42578125" style="306" customWidth="1"/>
    <col min="16132" max="16132" width="15.5703125" style="306" customWidth="1"/>
    <col min="16133" max="16133" width="14.140625" style="306" bestFit="1" customWidth="1"/>
    <col min="16134" max="16134" width="14.140625" style="306" customWidth="1"/>
    <col min="16135" max="16135" width="15.42578125" style="306" customWidth="1"/>
    <col min="16136" max="16384" width="16.5703125" style="306"/>
  </cols>
  <sheetData>
    <row r="1" spans="1:7" ht="35.1" customHeight="1">
      <c r="A1" s="1063" t="s">
        <v>1576</v>
      </c>
      <c r="B1" s="1064"/>
      <c r="C1" s="1064"/>
      <c r="D1" s="1064"/>
      <c r="E1" s="1064"/>
      <c r="F1" s="1064"/>
      <c r="G1" s="1064"/>
    </row>
    <row r="2" spans="1:7" ht="24.95" customHeight="1">
      <c r="A2" s="704" t="s">
        <v>360</v>
      </c>
      <c r="B2" s="704" t="s">
        <v>719</v>
      </c>
      <c r="C2" s="705" t="s">
        <v>720</v>
      </c>
      <c r="D2" s="705" t="s">
        <v>721</v>
      </c>
      <c r="E2" s="705" t="s">
        <v>722</v>
      </c>
      <c r="F2" s="705" t="s">
        <v>723</v>
      </c>
      <c r="G2" s="705" t="s">
        <v>724</v>
      </c>
    </row>
    <row r="3" spans="1:7">
      <c r="A3" s="432" t="str">
        <f>+'0005'!A3</f>
        <v>Bala</v>
      </c>
      <c r="B3" s="432" t="str">
        <f>+'0005'!B3</f>
        <v>***** Balance</v>
      </c>
      <c r="C3" s="465">
        <f>+'0005'!C3</f>
        <v>0</v>
      </c>
      <c r="D3" s="465">
        <f>+'0005'!D3</f>
        <v>470290812.37</v>
      </c>
      <c r="E3" s="465">
        <f>-'0005'!E3</f>
        <v>470290812.37</v>
      </c>
      <c r="F3" s="465">
        <f>+'0005'!F3</f>
        <v>0</v>
      </c>
      <c r="G3" s="465">
        <f>+'0005'!G3</f>
        <v>0</v>
      </c>
    </row>
    <row r="4" spans="1:7">
      <c r="A4" s="432" t="str">
        <f>+'0005'!A4</f>
        <v>1000</v>
      </c>
      <c r="B4" s="432" t="str">
        <f>+'0005'!B4</f>
        <v>****  1000     Activo</v>
      </c>
      <c r="C4" s="465">
        <f>+'0005'!C4</f>
        <v>31227829.199999999</v>
      </c>
      <c r="D4" s="465">
        <f>+'0005'!D4</f>
        <v>243269663.41</v>
      </c>
      <c r="E4" s="465">
        <f>-'0005'!E4</f>
        <v>238598606.25999999</v>
      </c>
      <c r="F4" s="465">
        <f>+'0005'!F4</f>
        <v>35898886.350000001</v>
      </c>
      <c r="G4" s="465">
        <f>+'0005'!G4</f>
        <v>4671057.1500000004</v>
      </c>
    </row>
    <row r="5" spans="1:7">
      <c r="A5" s="432" t="str">
        <f>+'0005'!A5</f>
        <v>1100</v>
      </c>
      <c r="B5" s="432" t="str">
        <f>+'0005'!B5</f>
        <v>***   1100     Activo Circulante</v>
      </c>
      <c r="C5" s="465">
        <f>+'0005'!C5</f>
        <v>11361825.720000001</v>
      </c>
      <c r="D5" s="465">
        <f>+'0005'!D5</f>
        <v>239611389.44</v>
      </c>
      <c r="E5" s="465">
        <f>-'0005'!E5</f>
        <v>235242484.46000001</v>
      </c>
      <c r="F5" s="465">
        <f>+'0005'!F5</f>
        <v>15730730.699999999</v>
      </c>
      <c r="G5" s="465">
        <f>+'0005'!G5</f>
        <v>4368904.9800000004</v>
      </c>
    </row>
    <row r="6" spans="1:7">
      <c r="A6" s="432" t="str">
        <f>+'0005'!A6</f>
        <v>1110</v>
      </c>
      <c r="B6" s="432" t="str">
        <f>+'0005'!B6</f>
        <v>**    1110     Efectivo y Equivalen</v>
      </c>
      <c r="C6" s="465">
        <f>+'0005'!C6</f>
        <v>11324165.710000001</v>
      </c>
      <c r="D6" s="465">
        <f>+'0005'!D6</f>
        <v>145882408.34</v>
      </c>
      <c r="E6" s="465">
        <f>-'0005'!E6</f>
        <v>141513725.34999999</v>
      </c>
      <c r="F6" s="465">
        <f>+'0005'!F6</f>
        <v>15692848.699999999</v>
      </c>
      <c r="G6" s="465">
        <f>+'0005'!G6</f>
        <v>4368682.99</v>
      </c>
    </row>
    <row r="7" spans="1:7">
      <c r="A7" s="432" t="str">
        <f>+'0005'!A7</f>
        <v>1112</v>
      </c>
      <c r="B7" s="432" t="str">
        <f>+'0005'!B7</f>
        <v>*     1112     Bancos/Tesorería</v>
      </c>
      <c r="C7" s="465">
        <f>+'0005'!C7</f>
        <v>11324165.710000001</v>
      </c>
      <c r="D7" s="465">
        <f>+'0005'!D7</f>
        <v>143640092.47</v>
      </c>
      <c r="E7" s="465">
        <f>-'0005'!E7</f>
        <v>141513725.34999999</v>
      </c>
      <c r="F7" s="465">
        <f>+'0005'!F7</f>
        <v>13450532.83</v>
      </c>
      <c r="G7" s="465">
        <f>+'0005'!G7</f>
        <v>2126367.12</v>
      </c>
    </row>
    <row r="8" spans="1:7">
      <c r="A8" s="432" t="str">
        <f>+'0005'!A8</f>
        <v xml:space="preserve">111200101 </v>
      </c>
      <c r="B8" s="432" t="str">
        <f>+'0005'!B8</f>
        <v xml:space="preserve">      111200101  BANCO BAJIO 133453</v>
      </c>
      <c r="C8" s="465">
        <f>+'0005'!C8</f>
        <v>0</v>
      </c>
      <c r="D8" s="465">
        <f>+'0005'!D8</f>
        <v>0</v>
      </c>
      <c r="E8" s="465">
        <f>-'0005'!E8</f>
        <v>0</v>
      </c>
      <c r="F8" s="465">
        <f>+'0005'!F8</f>
        <v>0</v>
      </c>
      <c r="G8" s="465">
        <f>+'0005'!G8</f>
        <v>0</v>
      </c>
    </row>
    <row r="9" spans="1:7">
      <c r="A9" s="432" t="str">
        <f>+'0005'!A9</f>
        <v xml:space="preserve">111200102 </v>
      </c>
      <c r="B9" s="432" t="str">
        <f>+'0005'!B9</f>
        <v xml:space="preserve">      111200102  BANCO BAJIO IJA133</v>
      </c>
      <c r="C9" s="465">
        <f>+'0005'!C9</f>
        <v>0</v>
      </c>
      <c r="D9" s="465">
        <f>+'0005'!D9</f>
        <v>0</v>
      </c>
      <c r="E9" s="465">
        <f>-'0005'!E9</f>
        <v>0</v>
      </c>
      <c r="F9" s="465">
        <f>+'0005'!F9</f>
        <v>0</v>
      </c>
      <c r="G9" s="465">
        <f>+'0005'!G9</f>
        <v>0</v>
      </c>
    </row>
    <row r="10" spans="1:7">
      <c r="A10" s="432" t="str">
        <f>+'0005'!A10</f>
        <v xml:space="preserve">111200301 </v>
      </c>
      <c r="B10" s="432" t="str">
        <f>+'0005'!B10</f>
        <v xml:space="preserve">      111200301  BANORTE 0802466073</v>
      </c>
      <c r="C10" s="465">
        <f>+'0005'!C10</f>
        <v>1000</v>
      </c>
      <c r="D10" s="465">
        <f>+'0005'!D10</f>
        <v>48181686.960000001</v>
      </c>
      <c r="E10" s="465">
        <f>-'0005'!E10</f>
        <v>48172588.759999998</v>
      </c>
      <c r="F10" s="465">
        <f>+'0005'!F10</f>
        <v>10098.200000000001</v>
      </c>
      <c r="G10" s="465">
        <f>+'0005'!G10</f>
        <v>9098.2000000000007</v>
      </c>
    </row>
    <row r="11" spans="1:7">
      <c r="A11" s="432" t="str">
        <f>+'0005'!A11</f>
        <v xml:space="preserve">111200302 </v>
      </c>
      <c r="B11" s="432" t="str">
        <f>+'0005'!B11</f>
        <v xml:space="preserve">      111200302  BANORTE 0807795059</v>
      </c>
      <c r="C11" s="465">
        <f>+'0005'!C11</f>
        <v>0</v>
      </c>
      <c r="D11" s="465">
        <f>+'0005'!D11</f>
        <v>0</v>
      </c>
      <c r="E11" s="465">
        <f>-'0005'!E11</f>
        <v>0</v>
      </c>
      <c r="F11" s="465">
        <f>+'0005'!F11</f>
        <v>0</v>
      </c>
      <c r="G11" s="465">
        <f>+'0005'!G11</f>
        <v>0</v>
      </c>
    </row>
    <row r="12" spans="1:7">
      <c r="A12" s="432" t="str">
        <f>+'0005'!A12</f>
        <v xml:space="preserve">111200303 </v>
      </c>
      <c r="B12" s="432" t="str">
        <f>+'0005'!B12</f>
        <v xml:space="preserve">      111200303  BANORTE 0833 9869</v>
      </c>
      <c r="C12" s="465">
        <f>+'0005'!C12</f>
        <v>4361505.6399999997</v>
      </c>
      <c r="D12" s="465">
        <f>+'0005'!D12</f>
        <v>92677297.819999993</v>
      </c>
      <c r="E12" s="465">
        <f>-'0005'!E12</f>
        <v>90997825.680000007</v>
      </c>
      <c r="F12" s="465">
        <f>+'0005'!F12</f>
        <v>6040977.7800000003</v>
      </c>
      <c r="G12" s="465">
        <f>+'0005'!G12</f>
        <v>1679472.14</v>
      </c>
    </row>
    <row r="13" spans="1:7">
      <c r="A13" s="432" t="str">
        <f>+'0005'!A13</f>
        <v xml:space="preserve">111200401 </v>
      </c>
      <c r="B13" s="432" t="str">
        <f>+'0005'!B13</f>
        <v xml:space="preserve">      111200401  Banregio1779957600</v>
      </c>
      <c r="C13" s="465">
        <f>+'0005'!C13</f>
        <v>0</v>
      </c>
      <c r="D13" s="465">
        <f>+'0005'!D13</f>
        <v>0</v>
      </c>
      <c r="E13" s="465">
        <f>-'0005'!E13</f>
        <v>0</v>
      </c>
      <c r="F13" s="465">
        <f>+'0005'!F13</f>
        <v>0</v>
      </c>
      <c r="G13" s="465">
        <f>+'0005'!G13</f>
        <v>0</v>
      </c>
    </row>
    <row r="14" spans="1:7">
      <c r="A14" s="432" t="str">
        <f>+'0005'!A14</f>
        <v xml:space="preserve">111200402 </v>
      </c>
      <c r="B14" s="432" t="str">
        <f>+'0005'!B14</f>
        <v xml:space="preserve">      111200402  Banregio1779872300</v>
      </c>
      <c r="C14" s="465">
        <f>+'0005'!C14</f>
        <v>2058172.59</v>
      </c>
      <c r="D14" s="465">
        <f>+'0005'!D14</f>
        <v>176265.92</v>
      </c>
      <c r="E14" s="465">
        <f>-'0005'!E14</f>
        <v>707.21</v>
      </c>
      <c r="F14" s="465">
        <f>+'0005'!F14</f>
        <v>2233731.2999999998</v>
      </c>
      <c r="G14" s="465">
        <f>+'0005'!G14</f>
        <v>175558.71</v>
      </c>
    </row>
    <row r="15" spans="1:7">
      <c r="A15" s="432" t="str">
        <f>+'0005'!A15</f>
        <v xml:space="preserve">111200403 </v>
      </c>
      <c r="B15" s="432" t="str">
        <f>+'0005'!B15</f>
        <v xml:space="preserve">      111200403  Banregio1779798800</v>
      </c>
      <c r="C15" s="465">
        <f>+'0005'!C15</f>
        <v>0</v>
      </c>
      <c r="D15" s="465">
        <f>+'0005'!D15</f>
        <v>488002.96</v>
      </c>
      <c r="E15" s="465">
        <f>-'0005'!E15</f>
        <v>0</v>
      </c>
      <c r="F15" s="465">
        <f>+'0005'!F15</f>
        <v>488002.96</v>
      </c>
      <c r="G15" s="465">
        <f>+'0005'!G15</f>
        <v>488002.96</v>
      </c>
    </row>
    <row r="16" spans="1:7">
      <c r="A16" s="432" t="str">
        <f>+'0005'!A16</f>
        <v xml:space="preserve">111200501 </v>
      </c>
      <c r="B16" s="432" t="str">
        <f>+'0005'!B16</f>
        <v xml:space="preserve">      111200501  Bancomer 019912188</v>
      </c>
      <c r="C16" s="465">
        <f>+'0005'!C16</f>
        <v>4903487.4800000004</v>
      </c>
      <c r="D16" s="465">
        <f>+'0005'!D16</f>
        <v>2116838.81</v>
      </c>
      <c r="E16" s="465">
        <f>-'0005'!E16</f>
        <v>2342603.7000000002</v>
      </c>
      <c r="F16" s="465">
        <f>+'0005'!F16</f>
        <v>4677722.59</v>
      </c>
      <c r="G16" s="465">
        <f>+'0005'!G16</f>
        <v>-225764.89</v>
      </c>
    </row>
    <row r="17" spans="1:7">
      <c r="A17" s="432" t="str">
        <f>+'0005'!A17</f>
        <v>1114</v>
      </c>
      <c r="B17" s="432" t="str">
        <f>+'0005'!B17</f>
        <v>*     1114     Inversiones Temporal</v>
      </c>
      <c r="C17" s="465">
        <f>+'0005'!C17</f>
        <v>0</v>
      </c>
      <c r="D17" s="465">
        <f>+'0005'!D17</f>
        <v>2242315.87</v>
      </c>
      <c r="E17" s="465">
        <f>-'0005'!E17</f>
        <v>0</v>
      </c>
      <c r="F17" s="465">
        <f>+'0005'!F17</f>
        <v>2242315.87</v>
      </c>
      <c r="G17" s="465">
        <f>+'0005'!G17</f>
        <v>2242315.87</v>
      </c>
    </row>
    <row r="18" spans="1:7">
      <c r="A18" s="432" t="str">
        <f>+'0005'!A18</f>
        <v xml:space="preserve">111400001 </v>
      </c>
      <c r="B18" s="432" t="str">
        <f>+'0005'!B18</f>
        <v xml:space="preserve">      111400001  BBVA Bancomer 2045</v>
      </c>
      <c r="C18" s="465">
        <f>+'0005'!C18</f>
        <v>0</v>
      </c>
      <c r="D18" s="465">
        <f>+'0005'!D18</f>
        <v>2242315.87</v>
      </c>
      <c r="E18" s="465">
        <f>-'0005'!E18</f>
        <v>0</v>
      </c>
      <c r="F18" s="465">
        <f>+'0005'!F18</f>
        <v>2242315.87</v>
      </c>
      <c r="G18" s="465">
        <f>+'0005'!G18</f>
        <v>2242315.87</v>
      </c>
    </row>
    <row r="19" spans="1:7">
      <c r="A19" s="432" t="str">
        <f>+'0005'!A19</f>
        <v>1120</v>
      </c>
      <c r="B19" s="432" t="str">
        <f>+'0005'!B19</f>
        <v>**    1120     Der. a recibir efvo.</v>
      </c>
      <c r="C19" s="465">
        <f>+'0005'!C19</f>
        <v>18150.45</v>
      </c>
      <c r="D19" s="465">
        <f>+'0005'!D19</f>
        <v>88170690.549999997</v>
      </c>
      <c r="E19" s="465">
        <f>-'0005'!E19</f>
        <v>88170591.430000007</v>
      </c>
      <c r="F19" s="465">
        <f>+'0005'!F19</f>
        <v>18249.57</v>
      </c>
      <c r="G19" s="465">
        <f>+'0005'!G19</f>
        <v>99.12</v>
      </c>
    </row>
    <row r="20" spans="1:7">
      <c r="A20" s="432" t="str">
        <f>+'0005'!A20</f>
        <v>1122</v>
      </c>
      <c r="B20" s="432" t="str">
        <f>+'0005'!B20</f>
        <v>*     1122     Cuentas por Cobrar a</v>
      </c>
      <c r="C20" s="465">
        <f>+'0005'!C20</f>
        <v>18147.43</v>
      </c>
      <c r="D20" s="465">
        <f>+'0005'!D20</f>
        <v>87161417.379999995</v>
      </c>
      <c r="E20" s="465">
        <f>-'0005'!E20</f>
        <v>87161417.379999995</v>
      </c>
      <c r="F20" s="465">
        <f>+'0005'!F20</f>
        <v>18147.43</v>
      </c>
      <c r="G20" s="465">
        <f>+'0005'!G20</f>
        <v>0</v>
      </c>
    </row>
    <row r="21" spans="1:7">
      <c r="A21" s="432" t="str">
        <f>+'0005'!A21</f>
        <v xml:space="preserve">112200001 </v>
      </c>
      <c r="B21" s="432" t="str">
        <f>+'0005'!B21</f>
        <v xml:space="preserve">      112200001  Ministraciones</v>
      </c>
      <c r="C21" s="465">
        <f>+'0005'!C21</f>
        <v>0</v>
      </c>
      <c r="D21" s="465">
        <f>+'0005'!D21</f>
        <v>87161417.379999995</v>
      </c>
      <c r="E21" s="465">
        <f>-'0005'!E21</f>
        <v>87161417.379999995</v>
      </c>
      <c r="F21" s="465">
        <f>+'0005'!F21</f>
        <v>0</v>
      </c>
      <c r="G21" s="465">
        <f>+'0005'!G21</f>
        <v>0</v>
      </c>
    </row>
    <row r="22" spans="1:7">
      <c r="A22" s="432" t="str">
        <f>+'0005'!A22</f>
        <v xml:space="preserve">112200002 </v>
      </c>
      <c r="B22" s="432" t="str">
        <f>+'0005'!B22</f>
        <v xml:space="preserve">      112200002  Subsidio al Empleo</v>
      </c>
      <c r="C22" s="465">
        <f>+'0005'!C22</f>
        <v>-352.57</v>
      </c>
      <c r="D22" s="465">
        <f>+'0005'!D22</f>
        <v>0</v>
      </c>
      <c r="E22" s="465">
        <f>-'0005'!E22</f>
        <v>0</v>
      </c>
      <c r="F22" s="465">
        <f>+'0005'!F22</f>
        <v>-352.57</v>
      </c>
      <c r="G22" s="465">
        <f>+'0005'!G22</f>
        <v>0</v>
      </c>
    </row>
    <row r="23" spans="1:7">
      <c r="A23" s="432" t="str">
        <f>+'0005'!A23</f>
        <v xml:space="preserve">112200003 </v>
      </c>
      <c r="B23" s="432" t="str">
        <f>+'0005'!B23</f>
        <v xml:space="preserve">      112200003  Cuentas x Cobrar I</v>
      </c>
      <c r="C23" s="465">
        <f>+'0005'!C23</f>
        <v>18500</v>
      </c>
      <c r="D23" s="465">
        <f>+'0005'!D23</f>
        <v>0</v>
      </c>
      <c r="E23" s="465">
        <f>-'0005'!E23</f>
        <v>0</v>
      </c>
      <c r="F23" s="465">
        <f>+'0005'!F23</f>
        <v>18500</v>
      </c>
      <c r="G23" s="465">
        <f>+'0005'!G23</f>
        <v>0</v>
      </c>
    </row>
    <row r="24" spans="1:7">
      <c r="A24" s="432" t="str">
        <f>+'0005'!A24</f>
        <v>1123</v>
      </c>
      <c r="B24" s="432" t="str">
        <f>+'0005'!B24</f>
        <v>*     1123     Deudores Diversos x</v>
      </c>
      <c r="C24" s="465">
        <f>+'0005'!C24</f>
        <v>0</v>
      </c>
      <c r="D24" s="465">
        <f>+'0005'!D24</f>
        <v>180056.43</v>
      </c>
      <c r="E24" s="465">
        <f>-'0005'!E24</f>
        <v>180056.41</v>
      </c>
      <c r="F24" s="465">
        <f>+'0005'!F24</f>
        <v>0.02</v>
      </c>
      <c r="G24" s="465">
        <f>+'0005'!G24</f>
        <v>0.02</v>
      </c>
    </row>
    <row r="25" spans="1:7">
      <c r="A25" s="432" t="str">
        <f>+'0005'!A25</f>
        <v xml:space="preserve">112300001 </v>
      </c>
      <c r="B25" s="432" t="str">
        <f>+'0005'!B25</f>
        <v xml:space="preserve">      112300001  Funcionarios y emp</v>
      </c>
      <c r="C25" s="465">
        <f>+'0005'!C25</f>
        <v>0</v>
      </c>
      <c r="D25" s="465">
        <f>+'0005'!D25</f>
        <v>62.27</v>
      </c>
      <c r="E25" s="465">
        <f>-'0005'!E25</f>
        <v>62.27</v>
      </c>
      <c r="F25" s="465">
        <f>+'0005'!F25</f>
        <v>0</v>
      </c>
      <c r="G25" s="465">
        <f>+'0005'!G25</f>
        <v>0</v>
      </c>
    </row>
    <row r="26" spans="1:7">
      <c r="A26" s="432" t="str">
        <f>+'0005'!A26</f>
        <v xml:space="preserve">112300003 </v>
      </c>
      <c r="B26" s="432" t="str">
        <f>+'0005'!B26</f>
        <v xml:space="preserve">      112300003  Gastos por Comprob</v>
      </c>
      <c r="C26" s="465">
        <f>+'0005'!C26</f>
        <v>0</v>
      </c>
      <c r="D26" s="465">
        <f>+'0005'!D26</f>
        <v>179994.16</v>
      </c>
      <c r="E26" s="465">
        <f>-'0005'!E26</f>
        <v>179994.14</v>
      </c>
      <c r="F26" s="465">
        <f>+'0005'!F26</f>
        <v>0.02</v>
      </c>
      <c r="G26" s="465">
        <f>+'0005'!G26</f>
        <v>0.02</v>
      </c>
    </row>
    <row r="27" spans="1:7">
      <c r="A27" s="432" t="str">
        <f>+'0005'!A27</f>
        <v>1125</v>
      </c>
      <c r="B27" s="432" t="str">
        <f>+'0005'!B27</f>
        <v>*     1125     Deudores por ant. de</v>
      </c>
      <c r="C27" s="465">
        <f>+'0005'!C27</f>
        <v>0</v>
      </c>
      <c r="D27" s="465">
        <f>+'0005'!D27</f>
        <v>29000</v>
      </c>
      <c r="E27" s="465">
        <f>-'0005'!E27</f>
        <v>29000</v>
      </c>
      <c r="F27" s="465">
        <f>+'0005'!F27</f>
        <v>0</v>
      </c>
      <c r="G27" s="465">
        <f>+'0005'!G27</f>
        <v>0</v>
      </c>
    </row>
    <row r="28" spans="1:7">
      <c r="A28" s="432" t="str">
        <f>+'0005'!A28</f>
        <v xml:space="preserve">112500001 </v>
      </c>
      <c r="B28" s="432" t="str">
        <f>+'0005'!B28</f>
        <v xml:space="preserve">      112500001  Fondo Fijo</v>
      </c>
      <c r="C28" s="465">
        <f>+'0005'!C28</f>
        <v>0</v>
      </c>
      <c r="D28" s="465">
        <f>+'0005'!D28</f>
        <v>29000</v>
      </c>
      <c r="E28" s="465">
        <f>-'0005'!E28</f>
        <v>29000</v>
      </c>
      <c r="F28" s="465">
        <f>+'0005'!F28</f>
        <v>0</v>
      </c>
      <c r="G28" s="465">
        <f>+'0005'!G28</f>
        <v>0</v>
      </c>
    </row>
    <row r="29" spans="1:7">
      <c r="A29" s="432" t="str">
        <f>+'0005'!A29</f>
        <v>1129</v>
      </c>
      <c r="B29" s="432" t="str">
        <f>+'0005'!B29</f>
        <v>*     1129     Otros Der. a recibir</v>
      </c>
      <c r="C29" s="465">
        <f>+'0005'!C29</f>
        <v>3.02</v>
      </c>
      <c r="D29" s="465">
        <f>+'0005'!D29</f>
        <v>800216.74</v>
      </c>
      <c r="E29" s="465">
        <f>-'0005'!E29</f>
        <v>800117.64</v>
      </c>
      <c r="F29" s="465">
        <f>+'0005'!F29</f>
        <v>102.12</v>
      </c>
      <c r="G29" s="465">
        <f>+'0005'!G29</f>
        <v>99.1</v>
      </c>
    </row>
    <row r="30" spans="1:7">
      <c r="A30" s="432" t="str">
        <f>+'0005'!A30</f>
        <v xml:space="preserve">112900001 </v>
      </c>
      <c r="B30" s="432" t="str">
        <f>+'0005'!B30</f>
        <v xml:space="preserve">      112900001  Otros deudores</v>
      </c>
      <c r="C30" s="465">
        <f>+'0005'!C30</f>
        <v>3.02</v>
      </c>
      <c r="D30" s="465">
        <f>+'0005'!D30</f>
        <v>800216.74</v>
      </c>
      <c r="E30" s="465">
        <f>-'0005'!E30</f>
        <v>800117.64</v>
      </c>
      <c r="F30" s="465">
        <f>+'0005'!F30</f>
        <v>102.12</v>
      </c>
      <c r="G30" s="465">
        <f>+'0005'!G30</f>
        <v>99.1</v>
      </c>
    </row>
    <row r="31" spans="1:7">
      <c r="A31" s="432" t="str">
        <f>+'0005'!A31</f>
        <v>1130</v>
      </c>
      <c r="B31" s="432" t="str">
        <f>+'0005'!B31</f>
        <v>**    1130     Der. a recibir biene</v>
      </c>
      <c r="C31" s="465">
        <f>+'0005'!C31</f>
        <v>19509.560000000001</v>
      </c>
      <c r="D31" s="465">
        <f>+'0005'!D31</f>
        <v>5558290.5499999998</v>
      </c>
      <c r="E31" s="465">
        <f>-'0005'!E31</f>
        <v>5558167.6799999997</v>
      </c>
      <c r="F31" s="465">
        <f>+'0005'!F31</f>
        <v>19632.43</v>
      </c>
      <c r="G31" s="465">
        <f>+'0005'!G31</f>
        <v>122.87</v>
      </c>
    </row>
    <row r="32" spans="1:7">
      <c r="A32" s="432" t="str">
        <f>+'0005'!A32</f>
        <v>1131</v>
      </c>
      <c r="B32" s="432" t="str">
        <f>+'0005'!B32</f>
        <v>*     1131     Ant. a prov. por adq</v>
      </c>
      <c r="C32" s="465">
        <f>+'0005'!C32</f>
        <v>19509.560000000001</v>
      </c>
      <c r="D32" s="465">
        <f>+'0005'!D32</f>
        <v>5558290.5499999998</v>
      </c>
      <c r="E32" s="465">
        <f>-'0005'!E32</f>
        <v>5558167.6799999997</v>
      </c>
      <c r="F32" s="465">
        <f>+'0005'!F32</f>
        <v>19632.43</v>
      </c>
      <c r="G32" s="465">
        <f>+'0005'!G32</f>
        <v>122.87</v>
      </c>
    </row>
    <row r="33" spans="1:7">
      <c r="A33" s="432" t="str">
        <f>+'0005'!A33</f>
        <v xml:space="preserve">113100001 </v>
      </c>
      <c r="B33" s="432" t="str">
        <f>+'0005'!B33</f>
        <v xml:space="preserve">      113100001  Ant Prov Serv C P</v>
      </c>
      <c r="C33" s="465">
        <f>+'0005'!C33</f>
        <v>19509.560000000001</v>
      </c>
      <c r="D33" s="465">
        <f>+'0005'!D33</f>
        <v>5558290.5499999998</v>
      </c>
      <c r="E33" s="465">
        <f>-'0005'!E33</f>
        <v>5558167.6799999997</v>
      </c>
      <c r="F33" s="465">
        <f>+'0005'!F33</f>
        <v>19632.43</v>
      </c>
      <c r="G33" s="465">
        <f>+'0005'!G33</f>
        <v>122.87</v>
      </c>
    </row>
    <row r="34" spans="1:7">
      <c r="A34" s="432" t="str">
        <f>+'0005'!A34</f>
        <v>1200</v>
      </c>
      <c r="B34" s="432" t="str">
        <f>+'0005'!B34</f>
        <v>***   1200     Activo No Circulante</v>
      </c>
      <c r="C34" s="465">
        <f>+'0005'!C34</f>
        <v>19866003.48</v>
      </c>
      <c r="D34" s="465">
        <f>+'0005'!D34</f>
        <v>3658273.97</v>
      </c>
      <c r="E34" s="465">
        <f>-'0005'!E34</f>
        <v>3356121.8</v>
      </c>
      <c r="F34" s="465">
        <f>+'0005'!F34</f>
        <v>20168155.649999999</v>
      </c>
      <c r="G34" s="465">
        <f>+'0005'!G34</f>
        <v>302152.17</v>
      </c>
    </row>
    <row r="35" spans="1:7">
      <c r="A35" s="432" t="str">
        <f>+'0005'!A35</f>
        <v>1240</v>
      </c>
      <c r="B35" s="432" t="str">
        <f>+'0005'!B35</f>
        <v>**    1240     Bienes Muebles</v>
      </c>
      <c r="C35" s="465">
        <f>+'0005'!C35</f>
        <v>15855010.119999999</v>
      </c>
      <c r="D35" s="465">
        <f>+'0005'!D35</f>
        <v>3014839.91</v>
      </c>
      <c r="E35" s="465">
        <f>-'0005'!E35</f>
        <v>986649.98</v>
      </c>
      <c r="F35" s="465">
        <f>+'0005'!F35</f>
        <v>17883200.050000001</v>
      </c>
      <c r="G35" s="465">
        <f>+'0005'!G35</f>
        <v>2028189.93</v>
      </c>
    </row>
    <row r="36" spans="1:7">
      <c r="A36" s="432" t="str">
        <f>+'0005'!A36</f>
        <v>1241</v>
      </c>
      <c r="B36" s="432" t="str">
        <f>+'0005'!B36</f>
        <v>*     1241     Mobiliario y Eq. de</v>
      </c>
      <c r="C36" s="465">
        <f>+'0005'!C36</f>
        <v>10780784.810000001</v>
      </c>
      <c r="D36" s="465">
        <f>+'0005'!D36</f>
        <v>1377828.2</v>
      </c>
      <c r="E36" s="465">
        <f>-'0005'!E36</f>
        <v>2900</v>
      </c>
      <c r="F36" s="465">
        <f>+'0005'!F36</f>
        <v>12155713.01</v>
      </c>
      <c r="G36" s="465">
        <f>+'0005'!G36</f>
        <v>1374928.2</v>
      </c>
    </row>
    <row r="37" spans="1:7">
      <c r="A37" s="432" t="str">
        <f>+'0005'!A37</f>
        <v xml:space="preserve">124115111 </v>
      </c>
      <c r="B37" s="432" t="str">
        <f>+'0005'!B37</f>
        <v xml:space="preserve">      124115111  Muebles de oficina</v>
      </c>
      <c r="C37" s="465">
        <f>+'0005'!C37</f>
        <v>4548970.16</v>
      </c>
      <c r="D37" s="465">
        <f>+'0005'!D37</f>
        <v>437183.92</v>
      </c>
      <c r="E37" s="465">
        <f>-'0005'!E37</f>
        <v>2900</v>
      </c>
      <c r="F37" s="465">
        <f>+'0005'!F37</f>
        <v>4983254.08</v>
      </c>
      <c r="G37" s="465">
        <f>+'0005'!G37</f>
        <v>434283.92</v>
      </c>
    </row>
    <row r="38" spans="1:7">
      <c r="A38" s="432" t="str">
        <f>+'0005'!A38</f>
        <v xml:space="preserve">124135151 </v>
      </c>
      <c r="B38" s="432" t="str">
        <f>+'0005'!B38</f>
        <v xml:space="preserve">      124135151  Computadoras</v>
      </c>
      <c r="C38" s="465">
        <f>+'0005'!C38</f>
        <v>6036180.2800000003</v>
      </c>
      <c r="D38" s="465">
        <f>+'0005'!D38</f>
        <v>848299.67</v>
      </c>
      <c r="E38" s="465">
        <f>-'0005'!E38</f>
        <v>0</v>
      </c>
      <c r="F38" s="465">
        <f>+'0005'!F38</f>
        <v>6884479.9500000002</v>
      </c>
      <c r="G38" s="465">
        <f>+'0005'!G38</f>
        <v>848299.67</v>
      </c>
    </row>
    <row r="39" spans="1:7">
      <c r="A39" s="432" t="str">
        <f>+'0005'!A39</f>
        <v xml:space="preserve">124195191 </v>
      </c>
      <c r="B39" s="432" t="str">
        <f>+'0005'!B39</f>
        <v xml:space="preserve">      124195191  Otros mob y equipo</v>
      </c>
      <c r="C39" s="465">
        <f>+'0005'!C39</f>
        <v>195634.37</v>
      </c>
      <c r="D39" s="465">
        <f>+'0005'!D39</f>
        <v>92344.61</v>
      </c>
      <c r="E39" s="465">
        <f>-'0005'!E39</f>
        <v>0</v>
      </c>
      <c r="F39" s="465">
        <f>+'0005'!F39</f>
        <v>287978.98</v>
      </c>
      <c r="G39" s="465">
        <f>+'0005'!G39</f>
        <v>92344.61</v>
      </c>
    </row>
    <row r="40" spans="1:7">
      <c r="A40" s="432" t="str">
        <f>+'0005'!A40</f>
        <v>1244</v>
      </c>
      <c r="B40" s="432" t="str">
        <f>+'0005'!B40</f>
        <v>*     1244     Equipo de Transporte</v>
      </c>
      <c r="C40" s="465">
        <f>+'0005'!C40</f>
        <v>4248189.0199999996</v>
      </c>
      <c r="D40" s="465">
        <f>+'0005'!D40</f>
        <v>1504498</v>
      </c>
      <c r="E40" s="465">
        <f>-'0005'!E40</f>
        <v>944900.01</v>
      </c>
      <c r="F40" s="465">
        <f>+'0005'!F40</f>
        <v>4807787.01</v>
      </c>
      <c r="G40" s="465">
        <f>+'0005'!G40</f>
        <v>559597.99</v>
      </c>
    </row>
    <row r="41" spans="1:7">
      <c r="A41" s="432" t="str">
        <f>+'0005'!A41</f>
        <v xml:space="preserve">124415411 </v>
      </c>
      <c r="B41" s="432" t="str">
        <f>+'0005'!B41</f>
        <v xml:space="preserve">      124415411  Automóviles y cami</v>
      </c>
      <c r="C41" s="465">
        <f>+'0005'!C41</f>
        <v>4248189.0199999996</v>
      </c>
      <c r="D41" s="465">
        <f>+'0005'!D41</f>
        <v>1504498</v>
      </c>
      <c r="E41" s="465">
        <f>-'0005'!E41</f>
        <v>944900.01</v>
      </c>
      <c r="F41" s="465">
        <f>+'0005'!F41</f>
        <v>4807787.01</v>
      </c>
      <c r="G41" s="465">
        <f>+'0005'!G41</f>
        <v>559597.99</v>
      </c>
    </row>
    <row r="42" spans="1:7">
      <c r="A42" s="432" t="str">
        <f>+'0005'!A42</f>
        <v>1246</v>
      </c>
      <c r="B42" s="432" t="str">
        <f>+'0005'!B42</f>
        <v>*     1246     Maquinaria, otros Eq</v>
      </c>
      <c r="C42" s="465">
        <f>+'0005'!C42</f>
        <v>625773.30000000005</v>
      </c>
      <c r="D42" s="465">
        <f>+'0005'!D42</f>
        <v>132513.71</v>
      </c>
      <c r="E42" s="465">
        <f>-'0005'!E42</f>
        <v>38849.97</v>
      </c>
      <c r="F42" s="465">
        <f>+'0005'!F42</f>
        <v>719437.04</v>
      </c>
      <c r="G42" s="465">
        <f>+'0005'!G42</f>
        <v>93663.74</v>
      </c>
    </row>
    <row r="43" spans="1:7">
      <c r="A43" s="432" t="str">
        <f>+'0005'!A43</f>
        <v xml:space="preserve">124615611 </v>
      </c>
      <c r="B43" s="432" t="str">
        <f>+'0005'!B43</f>
        <v xml:space="preserve">      124615611  Maquinaria y equip</v>
      </c>
      <c r="C43" s="465">
        <f>+'0005'!C43</f>
        <v>63848.480000000003</v>
      </c>
      <c r="D43" s="465">
        <f>+'0005'!D43</f>
        <v>0</v>
      </c>
      <c r="E43" s="465">
        <f>-'0005'!E43</f>
        <v>0</v>
      </c>
      <c r="F43" s="465">
        <f>+'0005'!F43</f>
        <v>63848.480000000003</v>
      </c>
      <c r="G43" s="465">
        <f>+'0005'!G43</f>
        <v>0</v>
      </c>
    </row>
    <row r="44" spans="1:7">
      <c r="A44" s="432" t="str">
        <f>+'0005'!A44</f>
        <v xml:space="preserve">124655651 </v>
      </c>
      <c r="B44" s="432" t="str">
        <f>+'0005'!B44</f>
        <v xml:space="preserve">      124655651  Eq Comunicación</v>
      </c>
      <c r="C44" s="465">
        <f>+'0005'!C44</f>
        <v>222259.42</v>
      </c>
      <c r="D44" s="465">
        <f>+'0005'!D44</f>
        <v>132513.71</v>
      </c>
      <c r="E44" s="465">
        <f>-'0005'!E44</f>
        <v>38849.97</v>
      </c>
      <c r="F44" s="465">
        <f>+'0005'!F44</f>
        <v>315923.15999999997</v>
      </c>
      <c r="G44" s="465">
        <f>+'0005'!G44</f>
        <v>93663.74</v>
      </c>
    </row>
    <row r="45" spans="1:7">
      <c r="A45" s="432" t="str">
        <f>+'0005'!A45</f>
        <v xml:space="preserve">124655661 </v>
      </c>
      <c r="B45" s="432" t="str">
        <f>+'0005'!B45</f>
        <v xml:space="preserve">      124655661  Eq d Gener Eléctri</v>
      </c>
      <c r="C45" s="465">
        <f>+'0005'!C45</f>
        <v>339665.4</v>
      </c>
      <c r="D45" s="465">
        <f>+'0005'!D45</f>
        <v>0</v>
      </c>
      <c r="E45" s="465">
        <f>-'0005'!E45</f>
        <v>0</v>
      </c>
      <c r="F45" s="465">
        <f>+'0005'!F45</f>
        <v>339665.4</v>
      </c>
      <c r="G45" s="465">
        <f>+'0005'!G45</f>
        <v>0</v>
      </c>
    </row>
    <row r="46" spans="1:7">
      <c r="A46" s="432" t="str">
        <f>+'0005'!A46</f>
        <v>1247</v>
      </c>
      <c r="B46" s="432" t="str">
        <f>+'0005'!B46</f>
        <v>*     1247     Col., Obras de Arte</v>
      </c>
      <c r="C46" s="465">
        <f>+'0005'!C46</f>
        <v>200262.99</v>
      </c>
      <c r="D46" s="465">
        <f>+'0005'!D46</f>
        <v>0</v>
      </c>
      <c r="E46" s="465">
        <f>-'0005'!E46</f>
        <v>0</v>
      </c>
      <c r="F46" s="465">
        <f>+'0005'!F46</f>
        <v>200262.99</v>
      </c>
      <c r="G46" s="465">
        <f>+'0005'!G46</f>
        <v>0</v>
      </c>
    </row>
    <row r="47" spans="1:7">
      <c r="A47" s="432" t="str">
        <f>+'0005'!A47</f>
        <v xml:space="preserve">124715133 </v>
      </c>
      <c r="B47" s="432" t="str">
        <f>+'0005'!B47</f>
        <v xml:space="preserve">      124715133  Otros bienes artís</v>
      </c>
      <c r="C47" s="465">
        <f>+'0005'!C47</f>
        <v>200262.99</v>
      </c>
      <c r="D47" s="465">
        <f>+'0005'!D47</f>
        <v>0</v>
      </c>
      <c r="E47" s="465">
        <f>-'0005'!E47</f>
        <v>0</v>
      </c>
      <c r="F47" s="465">
        <f>+'0005'!F47</f>
        <v>200262.99</v>
      </c>
      <c r="G47" s="465">
        <f>+'0005'!G47</f>
        <v>0</v>
      </c>
    </row>
    <row r="48" spans="1:7">
      <c r="A48" s="432" t="str">
        <f>+'0005'!A48</f>
        <v>1250</v>
      </c>
      <c r="B48" s="432" t="str">
        <f>+'0005'!B48</f>
        <v>**    1250     Activos Intangibles</v>
      </c>
      <c r="C48" s="465">
        <f>+'0005'!C48</f>
        <v>12823516.859999999</v>
      </c>
      <c r="D48" s="465">
        <f>+'0005'!D48</f>
        <v>125415.3</v>
      </c>
      <c r="E48" s="465">
        <f>-'0005'!E48</f>
        <v>0</v>
      </c>
      <c r="F48" s="465">
        <f>+'0005'!F48</f>
        <v>12948932.16</v>
      </c>
      <c r="G48" s="465">
        <f>+'0005'!G48</f>
        <v>125415.3</v>
      </c>
    </row>
    <row r="49" spans="1:7">
      <c r="A49" s="432" t="str">
        <f>+'0005'!A49</f>
        <v>1251</v>
      </c>
      <c r="B49" s="432" t="str">
        <f>+'0005'!B49</f>
        <v>*     1251     Software</v>
      </c>
      <c r="C49" s="465">
        <f>+'0005'!C49</f>
        <v>12295170.92</v>
      </c>
      <c r="D49" s="465">
        <f>+'0005'!D49</f>
        <v>0</v>
      </c>
      <c r="E49" s="465">
        <f>-'0005'!E49</f>
        <v>0</v>
      </c>
      <c r="F49" s="465">
        <f>+'0005'!F49</f>
        <v>12295170.92</v>
      </c>
      <c r="G49" s="465">
        <f>+'0005'!G49</f>
        <v>0</v>
      </c>
    </row>
    <row r="50" spans="1:7">
      <c r="A50" s="432" t="str">
        <f>+'0005'!A50</f>
        <v xml:space="preserve">125105911 </v>
      </c>
      <c r="B50" s="432" t="str">
        <f>+'0005'!B50</f>
        <v xml:space="preserve">      125105911  Software</v>
      </c>
      <c r="C50" s="465">
        <f>+'0005'!C50</f>
        <v>12295170.92</v>
      </c>
      <c r="D50" s="465">
        <f>+'0005'!D50</f>
        <v>0</v>
      </c>
      <c r="E50" s="465">
        <f>-'0005'!E50</f>
        <v>0</v>
      </c>
      <c r="F50" s="465">
        <f>+'0005'!F50</f>
        <v>12295170.92</v>
      </c>
      <c r="G50" s="465">
        <f>+'0005'!G50</f>
        <v>0</v>
      </c>
    </row>
    <row r="51" spans="1:7">
      <c r="A51" s="432" t="str">
        <f>+'0005'!A51</f>
        <v>1252</v>
      </c>
      <c r="B51" s="432" t="str">
        <f>+'0005'!B51</f>
        <v>*     1252     Patentes, Marcas y D</v>
      </c>
      <c r="C51" s="465">
        <f>+'0005'!C51</f>
        <v>528345.93999999994</v>
      </c>
      <c r="D51" s="465">
        <f>+'0005'!D51</f>
        <v>125415.3</v>
      </c>
      <c r="E51" s="465">
        <f>-'0005'!E51</f>
        <v>0</v>
      </c>
      <c r="F51" s="465">
        <f>+'0005'!F51</f>
        <v>653761.24</v>
      </c>
      <c r="G51" s="465">
        <f>+'0005'!G51</f>
        <v>125415.3</v>
      </c>
    </row>
    <row r="52" spans="1:7">
      <c r="A52" s="432" t="str">
        <f>+'0005'!A52</f>
        <v xml:space="preserve">125215971 </v>
      </c>
      <c r="B52" s="432" t="str">
        <f>+'0005'!B52</f>
        <v xml:space="preserve">      125215971  Licencias informat</v>
      </c>
      <c r="C52" s="465">
        <f>+'0005'!C52</f>
        <v>67335.789999999994</v>
      </c>
      <c r="D52" s="465">
        <f>+'0005'!D52</f>
        <v>0</v>
      </c>
      <c r="E52" s="465">
        <f>-'0005'!E52</f>
        <v>0</v>
      </c>
      <c r="F52" s="465">
        <f>+'0005'!F52</f>
        <v>67335.789999999994</v>
      </c>
      <c r="G52" s="465">
        <f>+'0005'!G52</f>
        <v>0</v>
      </c>
    </row>
    <row r="53" spans="1:7">
      <c r="A53" s="432" t="str">
        <f>+'0005'!A53</f>
        <v xml:space="preserve">125215972 </v>
      </c>
      <c r="B53" s="432" t="str">
        <f>+'0005'!B53</f>
        <v xml:space="preserve">      125215972  Licencias informat</v>
      </c>
      <c r="C53" s="465">
        <f>+'0005'!C53</f>
        <v>461010.15</v>
      </c>
      <c r="D53" s="465">
        <f>+'0005'!D53</f>
        <v>125415.3</v>
      </c>
      <c r="E53" s="465">
        <f>-'0005'!E53</f>
        <v>0</v>
      </c>
      <c r="F53" s="465">
        <f>+'0005'!F53</f>
        <v>586425.44999999995</v>
      </c>
      <c r="G53" s="465">
        <f>+'0005'!G53</f>
        <v>125415.3</v>
      </c>
    </row>
    <row r="54" spans="1:7">
      <c r="A54" s="432" t="str">
        <f>+'0005'!A54</f>
        <v>1260</v>
      </c>
      <c r="B54" s="432" t="str">
        <f>+'0005'!B54</f>
        <v>**    1260     Dep., Det. y Amort.</v>
      </c>
      <c r="C54" s="465">
        <f>+'0005'!C54</f>
        <v>-8858009.2200000007</v>
      </c>
      <c r="D54" s="465">
        <f>+'0005'!D54</f>
        <v>518018.76</v>
      </c>
      <c r="E54" s="465">
        <f>-'0005'!E54</f>
        <v>2359186.1</v>
      </c>
      <c r="F54" s="465">
        <f>+'0005'!F54</f>
        <v>-10699176.560000001</v>
      </c>
      <c r="G54" s="465">
        <f>+'0005'!G54</f>
        <v>-1841167.34</v>
      </c>
    </row>
    <row r="55" spans="1:7">
      <c r="A55" s="432" t="str">
        <f>+'0005'!A55</f>
        <v>1263</v>
      </c>
      <c r="B55" s="432" t="str">
        <f>+'0005'!B55</f>
        <v>*     1263     Dep. Ac. de Bienes M</v>
      </c>
      <c r="C55" s="465">
        <f>+'0005'!C55</f>
        <v>-8858009.2200000007</v>
      </c>
      <c r="D55" s="465">
        <f>+'0005'!D55</f>
        <v>518018.76</v>
      </c>
      <c r="E55" s="465">
        <f>-'0005'!E55</f>
        <v>2359186.1</v>
      </c>
      <c r="F55" s="465">
        <f>+'0005'!F55</f>
        <v>-10699176.560000001</v>
      </c>
      <c r="G55" s="465">
        <f>+'0005'!G55</f>
        <v>-1841167.34</v>
      </c>
    </row>
    <row r="56" spans="1:7">
      <c r="A56" s="432" t="str">
        <f>+'0005'!A56</f>
        <v xml:space="preserve">126305111 </v>
      </c>
      <c r="B56" s="432" t="str">
        <f>+'0005'!B56</f>
        <v xml:space="preserve">      126305111  Muebles de oficina</v>
      </c>
      <c r="C56" s="465">
        <f>+'0005'!C56</f>
        <v>-2603512.62</v>
      </c>
      <c r="D56" s="465">
        <f>+'0005'!D56</f>
        <v>0</v>
      </c>
      <c r="E56" s="465">
        <f>-'0005'!E56</f>
        <v>379989.09</v>
      </c>
      <c r="F56" s="465">
        <f>+'0005'!F56</f>
        <v>-2983501.71</v>
      </c>
      <c r="G56" s="465">
        <f>+'0005'!G56</f>
        <v>-379989.09</v>
      </c>
    </row>
    <row r="57" spans="1:7">
      <c r="A57" s="432" t="str">
        <f>+'0005'!A57</f>
        <v xml:space="preserve">126305133 </v>
      </c>
      <c r="B57" s="432" t="str">
        <f>+'0005'!B57</f>
        <v xml:space="preserve">      126305133  Otros bienes artís</v>
      </c>
      <c r="C57" s="465">
        <f>+'0005'!C57</f>
        <v>-199555.6</v>
      </c>
      <c r="D57" s="465">
        <f>+'0005'!D57</f>
        <v>0</v>
      </c>
      <c r="E57" s="465">
        <f>-'0005'!E57</f>
        <v>314.39999999999998</v>
      </c>
      <c r="F57" s="465">
        <f>+'0005'!F57</f>
        <v>-199870</v>
      </c>
      <c r="G57" s="465">
        <f>+'0005'!G57</f>
        <v>-314.39999999999998</v>
      </c>
    </row>
    <row r="58" spans="1:7">
      <c r="A58" s="432" t="str">
        <f>+'0005'!A58</f>
        <v xml:space="preserve">126305151 </v>
      </c>
      <c r="B58" s="432" t="str">
        <f>+'0005'!B58</f>
        <v xml:space="preserve">      126305151  Computadoras</v>
      </c>
      <c r="C58" s="465">
        <f>+'0005'!C58</f>
        <v>-4362527.07</v>
      </c>
      <c r="D58" s="465">
        <f>+'0005'!D58</f>
        <v>0</v>
      </c>
      <c r="E58" s="465">
        <f>-'0005'!E58</f>
        <v>858041.51</v>
      </c>
      <c r="F58" s="465">
        <f>+'0005'!F58</f>
        <v>-5220568.58</v>
      </c>
      <c r="G58" s="465">
        <f>+'0005'!G58</f>
        <v>-858041.51</v>
      </c>
    </row>
    <row r="59" spans="1:7">
      <c r="A59" s="432" t="str">
        <f>+'0005'!A59</f>
        <v xml:space="preserve">126305191 </v>
      </c>
      <c r="B59" s="432" t="str">
        <f>+'0005'!B59</f>
        <v xml:space="preserve">      126305191  Otros mob y equipo</v>
      </c>
      <c r="C59" s="465">
        <f>+'0005'!C59</f>
        <v>-47340.12</v>
      </c>
      <c r="D59" s="465">
        <f>+'0005'!D59</f>
        <v>0</v>
      </c>
      <c r="E59" s="465">
        <f>-'0005'!E59</f>
        <v>19916.03</v>
      </c>
      <c r="F59" s="465">
        <f>+'0005'!F59</f>
        <v>-67256.149999999994</v>
      </c>
      <c r="G59" s="465">
        <f>+'0005'!G59</f>
        <v>-19916.03</v>
      </c>
    </row>
    <row r="60" spans="1:7">
      <c r="A60" s="432" t="str">
        <f>+'0005'!A60</f>
        <v xml:space="preserve">126305411 </v>
      </c>
      <c r="B60" s="432" t="str">
        <f>+'0005'!B60</f>
        <v xml:space="preserve">      126305411  Automóviles y cami</v>
      </c>
      <c r="C60" s="465">
        <f>+'0005'!C60</f>
        <v>-1316309.06</v>
      </c>
      <c r="D60" s="465">
        <f>+'0005'!D60</f>
        <v>518018.76</v>
      </c>
      <c r="E60" s="465">
        <f>-'0005'!E60</f>
        <v>1079051.1200000001</v>
      </c>
      <c r="F60" s="465">
        <f>+'0005'!F60</f>
        <v>-1877341.42</v>
      </c>
      <c r="G60" s="465">
        <f>+'0005'!G60</f>
        <v>-561032.36</v>
      </c>
    </row>
    <row r="61" spans="1:7">
      <c r="A61" s="432" t="str">
        <f>+'0005'!A61</f>
        <v xml:space="preserve">126305611 </v>
      </c>
      <c r="B61" s="432" t="str">
        <f>+'0005'!B61</f>
        <v xml:space="preserve">      126305611  maq y eq</v>
      </c>
      <c r="C61" s="465">
        <f>+'0005'!C61</f>
        <v>-62979.519999999997</v>
      </c>
      <c r="D61" s="465">
        <f>+'0005'!D61</f>
        <v>0</v>
      </c>
      <c r="E61" s="465">
        <f>-'0005'!E61</f>
        <v>352.36</v>
      </c>
      <c r="F61" s="465">
        <f>+'0005'!F61</f>
        <v>-63331.88</v>
      </c>
      <c r="G61" s="465">
        <f>+'0005'!G61</f>
        <v>-352.36</v>
      </c>
    </row>
    <row r="62" spans="1:7">
      <c r="A62" s="432" t="str">
        <f>+'0005'!A62</f>
        <v xml:space="preserve">126305651 </v>
      </c>
      <c r="B62" s="432" t="str">
        <f>+'0005'!B62</f>
        <v xml:space="preserve">      126305651  Eq Comunicación</v>
      </c>
      <c r="C62" s="465">
        <f>+'0005'!C62</f>
        <v>-214835.42</v>
      </c>
      <c r="D62" s="465">
        <f>+'0005'!D62</f>
        <v>0</v>
      </c>
      <c r="E62" s="465">
        <f>-'0005'!E62</f>
        <v>4538.32</v>
      </c>
      <c r="F62" s="465">
        <f>+'0005'!F62</f>
        <v>-219373.74</v>
      </c>
      <c r="G62" s="465">
        <f>+'0005'!G62</f>
        <v>-4538.32</v>
      </c>
    </row>
    <row r="63" spans="1:7">
      <c r="A63" s="432" t="str">
        <f>+'0005'!A63</f>
        <v xml:space="preserve">126305661 </v>
      </c>
      <c r="B63" s="432" t="str">
        <f>+'0005'!B63</f>
        <v xml:space="preserve">      126305661  DA Eq Gen. Eléctri</v>
      </c>
      <c r="C63" s="465">
        <f>+'0005'!C63</f>
        <v>-16983.27</v>
      </c>
      <c r="D63" s="465">
        <f>+'0005'!D63</f>
        <v>0</v>
      </c>
      <c r="E63" s="465">
        <f>-'0005'!E63</f>
        <v>0</v>
      </c>
      <c r="F63" s="465">
        <f>+'0005'!F63</f>
        <v>-16983.27</v>
      </c>
      <c r="G63" s="465">
        <f>+'0005'!G63</f>
        <v>0</v>
      </c>
    </row>
    <row r="64" spans="1:7">
      <c r="A64" s="432" t="str">
        <f>+'0005'!A64</f>
        <v xml:space="preserve">126305662 </v>
      </c>
      <c r="B64" s="432" t="str">
        <f>+'0005'!B64</f>
        <v xml:space="preserve">      126305662  DA Equipo de Gener</v>
      </c>
      <c r="C64" s="465">
        <f>+'0005'!C64</f>
        <v>-33966.54</v>
      </c>
      <c r="D64" s="465">
        <f>+'0005'!D64</f>
        <v>0</v>
      </c>
      <c r="E64" s="465">
        <f>-'0005'!E64</f>
        <v>16983.27</v>
      </c>
      <c r="F64" s="465">
        <f>+'0005'!F64</f>
        <v>-50949.81</v>
      </c>
      <c r="G64" s="465">
        <f>+'0005'!G64</f>
        <v>-16983.27</v>
      </c>
    </row>
    <row r="65" spans="1:7">
      <c r="A65" s="432" t="str">
        <f>+'0005'!A65</f>
        <v>1270</v>
      </c>
      <c r="B65" s="432" t="str">
        <f>+'0005'!B65</f>
        <v>**    1270     Activos Diferidos</v>
      </c>
      <c r="C65" s="465">
        <f>+'0005'!C65</f>
        <v>45485.72</v>
      </c>
      <c r="D65" s="465">
        <f>+'0005'!D65</f>
        <v>0</v>
      </c>
      <c r="E65" s="465">
        <f>-'0005'!E65</f>
        <v>10285.719999999999</v>
      </c>
      <c r="F65" s="465">
        <f>+'0005'!F65</f>
        <v>35200</v>
      </c>
      <c r="G65" s="465">
        <f>+'0005'!G65</f>
        <v>-10285.719999999999</v>
      </c>
    </row>
    <row r="66" spans="1:7">
      <c r="A66" s="432" t="str">
        <f>+'0005'!A66</f>
        <v>1273</v>
      </c>
      <c r="B66" s="432" t="str">
        <f>+'0005'!B66</f>
        <v>*     1273     Gastos Pagados por A</v>
      </c>
      <c r="C66" s="465">
        <f>+'0005'!C66</f>
        <v>45485.72</v>
      </c>
      <c r="D66" s="465">
        <f>+'0005'!D66</f>
        <v>0</v>
      </c>
      <c r="E66" s="465">
        <f>-'0005'!E66</f>
        <v>10285.719999999999</v>
      </c>
      <c r="F66" s="465">
        <f>+'0005'!F66</f>
        <v>35200</v>
      </c>
      <c r="G66" s="465">
        <f>+'0005'!G66</f>
        <v>-10285.719999999999</v>
      </c>
    </row>
    <row r="67" spans="1:7">
      <c r="A67" s="432" t="str">
        <f>+'0005'!A67</f>
        <v xml:space="preserve">127300001 </v>
      </c>
      <c r="B67" s="432" t="str">
        <f>+'0005'!B67</f>
        <v xml:space="preserve">      127300001  GTO. POR ADELANTAD</v>
      </c>
      <c r="C67" s="465">
        <f>+'0005'!C67</f>
        <v>45485.72</v>
      </c>
      <c r="D67" s="465">
        <f>+'0005'!D67</f>
        <v>0</v>
      </c>
      <c r="E67" s="465">
        <f>-'0005'!E67</f>
        <v>10285.719999999999</v>
      </c>
      <c r="F67" s="465">
        <f>+'0005'!F67</f>
        <v>35200</v>
      </c>
      <c r="G67" s="465">
        <f>+'0005'!G67</f>
        <v>-10285.719999999999</v>
      </c>
    </row>
    <row r="68" spans="1:7">
      <c r="A68" s="432" t="str">
        <f>+'0005'!A68</f>
        <v>2000</v>
      </c>
      <c r="B68" s="432" t="str">
        <f>+'0005'!B68</f>
        <v>****  2000     Pasivo</v>
      </c>
      <c r="C68" s="465">
        <f>+'0005'!C68</f>
        <v>-5457146.0099999998</v>
      </c>
      <c r="D68" s="465">
        <f>+'0005'!D68</f>
        <v>130646018.84</v>
      </c>
      <c r="E68" s="465">
        <f>-'0005'!E68</f>
        <v>132460103.79000001</v>
      </c>
      <c r="F68" s="465">
        <f>+'0005'!F68</f>
        <v>-7271230.96</v>
      </c>
      <c r="G68" s="465">
        <f>+'0005'!G68</f>
        <v>-1814084.95</v>
      </c>
    </row>
    <row r="69" spans="1:7">
      <c r="A69" s="432" t="str">
        <f>+'0005'!A69</f>
        <v>2100</v>
      </c>
      <c r="B69" s="432" t="str">
        <f>+'0005'!B69</f>
        <v>***   2100     Pasivo Circulante</v>
      </c>
      <c r="C69" s="465">
        <f>+'0005'!C69</f>
        <v>-3398732.33</v>
      </c>
      <c r="D69" s="465">
        <f>+'0005'!D69</f>
        <v>130645311.63</v>
      </c>
      <c r="E69" s="465">
        <f>-'0005'!E69</f>
        <v>132283837.87</v>
      </c>
      <c r="F69" s="465">
        <f>+'0005'!F69</f>
        <v>-5037258.57</v>
      </c>
      <c r="G69" s="465">
        <f>+'0005'!G69</f>
        <v>-1638526.24</v>
      </c>
    </row>
    <row r="70" spans="1:7">
      <c r="A70" s="432" t="str">
        <f>+'0005'!A70</f>
        <v>2110</v>
      </c>
      <c r="B70" s="432" t="str">
        <f>+'0005'!B70</f>
        <v>**    2110     Cuentas por pagar a</v>
      </c>
      <c r="C70" s="465">
        <f>+'0005'!C70</f>
        <v>-3380232.33</v>
      </c>
      <c r="D70" s="465">
        <f>+'0005'!D70</f>
        <v>130645311.63</v>
      </c>
      <c r="E70" s="465">
        <f>-'0005'!E70</f>
        <v>132283837.87</v>
      </c>
      <c r="F70" s="465">
        <f>+'0005'!F70</f>
        <v>-5018758.57</v>
      </c>
      <c r="G70" s="465">
        <f>+'0005'!G70</f>
        <v>-1638526.24</v>
      </c>
    </row>
    <row r="71" spans="1:7">
      <c r="A71" s="432" t="str">
        <f>+'0005'!A71</f>
        <v>2111</v>
      </c>
      <c r="B71" s="432" t="str">
        <f>+'0005'!B71</f>
        <v>*     2111     Serv. Personales x p</v>
      </c>
      <c r="C71" s="465">
        <f>+'0005'!C71</f>
        <v>-44312.2</v>
      </c>
      <c r="D71" s="465">
        <f>+'0005'!D71</f>
        <v>51803583.189999998</v>
      </c>
      <c r="E71" s="465">
        <f>-'0005'!E71</f>
        <v>52945370.840000004</v>
      </c>
      <c r="F71" s="465">
        <f>+'0005'!F71</f>
        <v>-1186099.8500000001</v>
      </c>
      <c r="G71" s="465">
        <f>+'0005'!G71</f>
        <v>-1141787.6499999999</v>
      </c>
    </row>
    <row r="72" spans="1:7">
      <c r="A72" s="432" t="str">
        <f>+'0005'!A72</f>
        <v xml:space="preserve">211100001 </v>
      </c>
      <c r="B72" s="432" t="str">
        <f>+'0005'!B72</f>
        <v xml:space="preserve">      211100001  SUELDOS POR PAGAR</v>
      </c>
      <c r="C72" s="465">
        <f>+'0005'!C72</f>
        <v>0</v>
      </c>
      <c r="D72" s="465">
        <f>+'0005'!D72</f>
        <v>47293657.640000001</v>
      </c>
      <c r="E72" s="465">
        <f>-'0005'!E72</f>
        <v>47293657.640000001</v>
      </c>
      <c r="F72" s="465">
        <f>+'0005'!F72</f>
        <v>0</v>
      </c>
      <c r="G72" s="465">
        <f>+'0005'!G72</f>
        <v>0</v>
      </c>
    </row>
    <row r="73" spans="1:7">
      <c r="A73" s="432" t="str">
        <f>+'0005'!A73</f>
        <v xml:space="preserve">211100002 </v>
      </c>
      <c r="B73" s="432" t="str">
        <f>+'0005'!B73</f>
        <v xml:space="preserve">      211100002  Sueldos Dev. CH</v>
      </c>
      <c r="C73" s="465">
        <f>+'0005'!C73</f>
        <v>0</v>
      </c>
      <c r="D73" s="465">
        <f>+'0005'!D73</f>
        <v>4330604.3499999996</v>
      </c>
      <c r="E73" s="465">
        <f>-'0005'!E73</f>
        <v>4330604.3499999996</v>
      </c>
      <c r="F73" s="465">
        <f>+'0005'!F73</f>
        <v>0</v>
      </c>
      <c r="G73" s="465">
        <f>+'0005'!G73</f>
        <v>0</v>
      </c>
    </row>
    <row r="74" spans="1:7">
      <c r="A74" s="432" t="str">
        <f>+'0005'!A74</f>
        <v xml:space="preserve">211100151 </v>
      </c>
      <c r="B74" s="432" t="str">
        <f>+'0005'!B74</f>
        <v xml:space="preserve">      211100151  PASIVOS CAP. 1000</v>
      </c>
      <c r="C74" s="465">
        <f>+'0005'!C74</f>
        <v>-44312.2</v>
      </c>
      <c r="D74" s="465">
        <f>+'0005'!D74</f>
        <v>44312.2</v>
      </c>
      <c r="E74" s="465">
        <f>-'0005'!E74</f>
        <v>0</v>
      </c>
      <c r="F74" s="465">
        <f>+'0005'!F74</f>
        <v>0</v>
      </c>
      <c r="G74" s="465">
        <f>+'0005'!G74</f>
        <v>44312.2</v>
      </c>
    </row>
    <row r="75" spans="1:7">
      <c r="A75" s="432" t="str">
        <f>+'0005'!A75</f>
        <v xml:space="preserve">211100171 </v>
      </c>
      <c r="B75" s="432" t="str">
        <f>+'0005'!B75</f>
        <v xml:space="preserve">      211100171  PASIVOS CAP. 1000</v>
      </c>
      <c r="C75" s="465">
        <f>+'0005'!C75</f>
        <v>0</v>
      </c>
      <c r="D75" s="465">
        <f>+'0005'!D75</f>
        <v>0</v>
      </c>
      <c r="E75" s="465">
        <f>-'0005'!E75</f>
        <v>1186099.8500000001</v>
      </c>
      <c r="F75" s="465">
        <f>+'0005'!F75</f>
        <v>-1186099.8500000001</v>
      </c>
      <c r="G75" s="465">
        <f>+'0005'!G75</f>
        <v>-1186099.8500000001</v>
      </c>
    </row>
    <row r="76" spans="1:7">
      <c r="A76" s="432" t="str">
        <f>+'0005'!A76</f>
        <v xml:space="preserve">211100173 </v>
      </c>
      <c r="B76" s="432" t="str">
        <f>+'0005'!B76</f>
        <v xml:space="preserve">      211100173  PASIVOS CAP. 3000</v>
      </c>
      <c r="C76" s="465">
        <f>+'0005'!C76</f>
        <v>0</v>
      </c>
      <c r="D76" s="465">
        <f>+'0005'!D76</f>
        <v>135009</v>
      </c>
      <c r="E76" s="465">
        <f>-'0005'!E76</f>
        <v>135009</v>
      </c>
      <c r="F76" s="465">
        <f>+'0005'!F76</f>
        <v>0</v>
      </c>
      <c r="G76" s="465">
        <f>+'0005'!G76</f>
        <v>0</v>
      </c>
    </row>
    <row r="77" spans="1:7">
      <c r="A77" s="432" t="str">
        <f>+'0005'!A77</f>
        <v>2112</v>
      </c>
      <c r="B77" s="432" t="str">
        <f>+'0005'!B77</f>
        <v>*     2112     Proveedores x pagar</v>
      </c>
      <c r="C77" s="465">
        <f>+'0005'!C77</f>
        <v>-168006.6</v>
      </c>
      <c r="D77" s="465">
        <f>+'0005'!D77</f>
        <v>10651654.43</v>
      </c>
      <c r="E77" s="465">
        <f>-'0005'!E77</f>
        <v>10618656.83</v>
      </c>
      <c r="F77" s="465">
        <f>+'0005'!F77</f>
        <v>-135009</v>
      </c>
      <c r="G77" s="465">
        <f>+'0005'!G77</f>
        <v>32997.599999999999</v>
      </c>
    </row>
    <row r="78" spans="1:7">
      <c r="A78" s="432" t="str">
        <f>+'0005'!A78</f>
        <v xml:space="preserve">211200001 </v>
      </c>
      <c r="B78" s="432" t="str">
        <f>+'0005'!B78</f>
        <v xml:space="preserve">      211200001  Prov por pagar CP</v>
      </c>
      <c r="C78" s="465">
        <f>+'0005'!C78</f>
        <v>0</v>
      </c>
      <c r="D78" s="465">
        <f>+'0005'!D78</f>
        <v>10483647.83</v>
      </c>
      <c r="E78" s="465">
        <f>-'0005'!E78</f>
        <v>10483647.83</v>
      </c>
      <c r="F78" s="465">
        <f>+'0005'!F78</f>
        <v>0</v>
      </c>
      <c r="G78" s="465">
        <f>+'0005'!G78</f>
        <v>0</v>
      </c>
    </row>
    <row r="79" spans="1:7">
      <c r="A79" s="432" t="str">
        <f>+'0005'!A79</f>
        <v xml:space="preserve">211200162 </v>
      </c>
      <c r="B79" s="432" t="str">
        <f>+'0005'!B79</f>
        <v xml:space="preserve">      211200162  PASIVOS CAP. 2000</v>
      </c>
      <c r="C79" s="465">
        <f>+'0005'!C79</f>
        <v>-94852.04</v>
      </c>
      <c r="D79" s="465">
        <f>+'0005'!D79</f>
        <v>94852.04</v>
      </c>
      <c r="E79" s="465">
        <f>-'0005'!E79</f>
        <v>0</v>
      </c>
      <c r="F79" s="465">
        <f>+'0005'!F79</f>
        <v>0</v>
      </c>
      <c r="G79" s="465">
        <f>+'0005'!G79</f>
        <v>94852.04</v>
      </c>
    </row>
    <row r="80" spans="1:7">
      <c r="A80" s="432" t="str">
        <f>+'0005'!A80</f>
        <v xml:space="preserve">211200163 </v>
      </c>
      <c r="B80" s="432" t="str">
        <f>+'0005'!B80</f>
        <v xml:space="preserve">      211200163  Pasi C 3000 Cie 20</v>
      </c>
      <c r="C80" s="465">
        <f>+'0005'!C80</f>
        <v>-73154.559999999998</v>
      </c>
      <c r="D80" s="465">
        <f>+'0005'!D80</f>
        <v>73154.559999999998</v>
      </c>
      <c r="E80" s="465">
        <f>-'0005'!E80</f>
        <v>0</v>
      </c>
      <c r="F80" s="465">
        <f>+'0005'!F80</f>
        <v>0</v>
      </c>
      <c r="G80" s="465">
        <f>+'0005'!G80</f>
        <v>73154.559999999998</v>
      </c>
    </row>
    <row r="81" spans="1:7">
      <c r="A81" s="432" t="str">
        <f>+'0005'!A81</f>
        <v xml:space="preserve">211200173 </v>
      </c>
      <c r="B81" s="432" t="str">
        <f>+'0005'!B81</f>
        <v xml:space="preserve">      211200173  PASIVOS CAP. 3000</v>
      </c>
      <c r="C81" s="465">
        <f>+'0005'!C81</f>
        <v>0</v>
      </c>
      <c r="D81" s="465">
        <f>+'0005'!D81</f>
        <v>0</v>
      </c>
      <c r="E81" s="465">
        <f>-'0005'!E81</f>
        <v>135009</v>
      </c>
      <c r="F81" s="465">
        <f>+'0005'!F81</f>
        <v>-135009</v>
      </c>
      <c r="G81" s="465">
        <f>+'0005'!G81</f>
        <v>-135009</v>
      </c>
    </row>
    <row r="82" spans="1:7">
      <c r="A82" s="432" t="str">
        <f>+'0005'!A82</f>
        <v>2117</v>
      </c>
      <c r="B82" s="432" t="str">
        <f>+'0005'!B82</f>
        <v>*     2117     Retenciones y Contri</v>
      </c>
      <c r="C82" s="465">
        <f>+'0005'!C82</f>
        <v>-3137332.29</v>
      </c>
      <c r="D82" s="465">
        <f>+'0005'!D82</f>
        <v>27442518.399999999</v>
      </c>
      <c r="E82" s="465">
        <f>-'0005'!E82</f>
        <v>28002835.829999998</v>
      </c>
      <c r="F82" s="465">
        <f>+'0005'!F82</f>
        <v>-3697649.72</v>
      </c>
      <c r="G82" s="465">
        <f>+'0005'!G82</f>
        <v>-560317.43000000005</v>
      </c>
    </row>
    <row r="83" spans="1:7">
      <c r="A83" s="432" t="str">
        <f>+'0005'!A83</f>
        <v xml:space="preserve">211700001 </v>
      </c>
      <c r="B83" s="432" t="str">
        <f>+'0005'!B83</f>
        <v xml:space="preserve">      211700001  Isseg Trab.</v>
      </c>
      <c r="C83" s="465">
        <f>+'0005'!C83</f>
        <v>0</v>
      </c>
      <c r="D83" s="465">
        <f>+'0005'!D83</f>
        <v>2385419.0499999998</v>
      </c>
      <c r="E83" s="465">
        <f>-'0005'!E83</f>
        <v>2385419.0499999998</v>
      </c>
      <c r="F83" s="465">
        <f>+'0005'!F83</f>
        <v>0</v>
      </c>
      <c r="G83" s="465">
        <f>+'0005'!G83</f>
        <v>0</v>
      </c>
    </row>
    <row r="84" spans="1:7">
      <c r="A84" s="432" t="str">
        <f>+'0005'!A84</f>
        <v xml:space="preserve">211700002 </v>
      </c>
      <c r="B84" s="432" t="str">
        <f>+'0005'!B84</f>
        <v xml:space="preserve">      211700002  Isste Trab.</v>
      </c>
      <c r="C84" s="465">
        <f>+'0005'!C84</f>
        <v>0</v>
      </c>
      <c r="D84" s="465">
        <f>+'0005'!D84</f>
        <v>438056.84</v>
      </c>
      <c r="E84" s="465">
        <f>-'0005'!E84</f>
        <v>438056.84</v>
      </c>
      <c r="F84" s="465">
        <f>+'0005'!F84</f>
        <v>0</v>
      </c>
      <c r="G84" s="465">
        <f>+'0005'!G84</f>
        <v>0</v>
      </c>
    </row>
    <row r="85" spans="1:7">
      <c r="A85" s="432" t="str">
        <f>+'0005'!A85</f>
        <v xml:space="preserve">211700004 </v>
      </c>
      <c r="B85" s="432" t="str">
        <f>+'0005'!B85</f>
        <v xml:space="preserve">      211700004  GUARDERIAS</v>
      </c>
      <c r="C85" s="465">
        <f>+'0005'!C85</f>
        <v>0</v>
      </c>
      <c r="D85" s="465">
        <f>+'0005'!D85</f>
        <v>53350.5</v>
      </c>
      <c r="E85" s="465">
        <f>-'0005'!E85</f>
        <v>53350.5</v>
      </c>
      <c r="F85" s="465">
        <f>+'0005'!F85</f>
        <v>0</v>
      </c>
      <c r="G85" s="465">
        <f>+'0005'!G85</f>
        <v>0</v>
      </c>
    </row>
    <row r="86" spans="1:7">
      <c r="A86" s="432" t="str">
        <f>+'0005'!A86</f>
        <v xml:space="preserve">211700009 </v>
      </c>
      <c r="B86" s="432" t="str">
        <f>+'0005'!B86</f>
        <v xml:space="preserve">      211700009  CxP GEG Issste</v>
      </c>
      <c r="C86" s="465">
        <f>+'0005'!C86</f>
        <v>0</v>
      </c>
      <c r="D86" s="465">
        <f>+'0005'!D86</f>
        <v>1058617.6000000001</v>
      </c>
      <c r="E86" s="465">
        <f>-'0005'!E86</f>
        <v>1058617.6000000001</v>
      </c>
      <c r="F86" s="465">
        <f>+'0005'!F86</f>
        <v>0</v>
      </c>
      <c r="G86" s="465">
        <f>+'0005'!G86</f>
        <v>0</v>
      </c>
    </row>
    <row r="87" spans="1:7">
      <c r="A87" s="432" t="str">
        <f>+'0005'!A87</f>
        <v xml:space="preserve">211700011 </v>
      </c>
      <c r="B87" s="432" t="str">
        <f>+'0005'!B87</f>
        <v xml:space="preserve">      211700011  Isseg Patr.</v>
      </c>
      <c r="C87" s="465">
        <f>+'0005'!C87</f>
        <v>-5998.91</v>
      </c>
      <c r="D87" s="465">
        <f>+'0005'!D87</f>
        <v>3386714.64</v>
      </c>
      <c r="E87" s="465">
        <f>-'0005'!E87</f>
        <v>3386714.64</v>
      </c>
      <c r="F87" s="465">
        <f>+'0005'!F87</f>
        <v>-5998.91</v>
      </c>
      <c r="G87" s="465">
        <f>+'0005'!G87</f>
        <v>0</v>
      </c>
    </row>
    <row r="88" spans="1:7">
      <c r="A88" s="432" t="str">
        <f>+'0005'!A88</f>
        <v xml:space="preserve">211700101 </v>
      </c>
      <c r="B88" s="432" t="str">
        <f>+'0005'!B88</f>
        <v xml:space="preserve">      211700101  RETENCIÓN ISPT</v>
      </c>
      <c r="C88" s="465">
        <f>+'0005'!C88</f>
        <v>-2881110.89</v>
      </c>
      <c r="D88" s="465">
        <f>+'0005'!D88</f>
        <v>12020435.27</v>
      </c>
      <c r="E88" s="465">
        <f>-'0005'!E88</f>
        <v>12547549.74</v>
      </c>
      <c r="F88" s="465">
        <f>+'0005'!F88</f>
        <v>-3408225.36</v>
      </c>
      <c r="G88" s="465">
        <f>+'0005'!G88</f>
        <v>-527114.47</v>
      </c>
    </row>
    <row r="89" spans="1:7">
      <c r="A89" s="432" t="str">
        <f>+'0005'!A89</f>
        <v xml:space="preserve">211700102 </v>
      </c>
      <c r="B89" s="432" t="str">
        <f>+'0005'!B89</f>
        <v xml:space="preserve">      211700102  Ret. Hon.</v>
      </c>
      <c r="C89" s="465">
        <f>+'0005'!C89</f>
        <v>-23868.959999999999</v>
      </c>
      <c r="D89" s="465">
        <f>+'0005'!D89</f>
        <v>452454.6</v>
      </c>
      <c r="E89" s="465">
        <f>-'0005'!E89</f>
        <v>444413.19</v>
      </c>
      <c r="F89" s="465">
        <f>+'0005'!F89</f>
        <v>-15827.55</v>
      </c>
      <c r="G89" s="465">
        <f>+'0005'!G89</f>
        <v>8041.41</v>
      </c>
    </row>
    <row r="90" spans="1:7">
      <c r="A90" s="432" t="str">
        <f>+'0005'!A90</f>
        <v xml:space="preserve">211700103 </v>
      </c>
      <c r="B90" s="432" t="str">
        <f>+'0005'!B90</f>
        <v xml:space="preserve">      211700103  Ret. Hon. Puro</v>
      </c>
      <c r="C90" s="465">
        <f>+'0005'!C90</f>
        <v>-8049.77</v>
      </c>
      <c r="D90" s="465">
        <f>+'0005'!D90</f>
        <v>12653</v>
      </c>
      <c r="E90" s="465">
        <f>-'0005'!E90</f>
        <v>11252.5</v>
      </c>
      <c r="F90" s="465">
        <f>+'0005'!F90</f>
        <v>-6649.27</v>
      </c>
      <c r="G90" s="465">
        <f>+'0005'!G90</f>
        <v>1400.5</v>
      </c>
    </row>
    <row r="91" spans="1:7">
      <c r="A91" s="432" t="str">
        <f>+'0005'!A91</f>
        <v xml:space="preserve">211700104 </v>
      </c>
      <c r="B91" s="432" t="str">
        <f>+'0005'!B91</f>
        <v xml:space="preserve">      211700104  Ret. ISR Arrend.</v>
      </c>
      <c r="C91" s="465">
        <f>+'0005'!C91</f>
        <v>-4473.74</v>
      </c>
      <c r="D91" s="465">
        <f>+'0005'!D91</f>
        <v>56610</v>
      </c>
      <c r="E91" s="465">
        <f>-'0005'!E91</f>
        <v>55553.94</v>
      </c>
      <c r="F91" s="465">
        <f>+'0005'!F91</f>
        <v>-3417.68</v>
      </c>
      <c r="G91" s="465">
        <f>+'0005'!G91</f>
        <v>1056.06</v>
      </c>
    </row>
    <row r="92" spans="1:7">
      <c r="A92" s="432" t="str">
        <f>+'0005'!A92</f>
        <v xml:space="preserve">211700109 </v>
      </c>
      <c r="B92" s="432" t="str">
        <f>+'0005'!B92</f>
        <v xml:space="preserve">      211700109  Ret. Imp. Cedular</v>
      </c>
      <c r="C92" s="465">
        <f>+'0005'!C92</f>
        <v>-844.86</v>
      </c>
      <c r="D92" s="465">
        <f>+'0005'!D92</f>
        <v>8386</v>
      </c>
      <c r="E92" s="465">
        <f>-'0005'!E92</f>
        <v>8171.88</v>
      </c>
      <c r="F92" s="465">
        <f>+'0005'!F92</f>
        <v>-630.74</v>
      </c>
      <c r="G92" s="465">
        <f>+'0005'!G92</f>
        <v>214.12</v>
      </c>
    </row>
    <row r="93" spans="1:7">
      <c r="A93" s="432" t="str">
        <f>+'0005'!A93</f>
        <v xml:space="preserve">211700110 </v>
      </c>
      <c r="B93" s="432" t="str">
        <f>+'0005'!B93</f>
        <v xml:space="preserve">      211700110  IMPUESTO DE NOMINA</v>
      </c>
      <c r="C93" s="465">
        <f>+'0005'!C93</f>
        <v>-205054.36</v>
      </c>
      <c r="D93" s="465">
        <f>+'0005'!D93</f>
        <v>1135025.21</v>
      </c>
      <c r="E93" s="465">
        <f>-'0005'!E93</f>
        <v>1178940.26</v>
      </c>
      <c r="F93" s="465">
        <f>+'0005'!F93</f>
        <v>-248969.41</v>
      </c>
      <c r="G93" s="465">
        <f>+'0005'!G93</f>
        <v>-43915.05</v>
      </c>
    </row>
    <row r="94" spans="1:7">
      <c r="A94" s="432" t="str">
        <f>+'0005'!A94</f>
        <v xml:space="preserve">211700201 </v>
      </c>
      <c r="B94" s="432" t="str">
        <f>+'0005'!B94</f>
        <v xml:space="preserve">      211700201  ASEGURADORAS</v>
      </c>
      <c r="C94" s="465">
        <f>+'0005'!C94</f>
        <v>-2339.9499999999998</v>
      </c>
      <c r="D94" s="465">
        <f>+'0005'!D94</f>
        <v>191375.35999999999</v>
      </c>
      <c r="E94" s="465">
        <f>-'0005'!E94</f>
        <v>191375.35999999999</v>
      </c>
      <c r="F94" s="465">
        <f>+'0005'!F94</f>
        <v>-2339.9499999999998</v>
      </c>
      <c r="G94" s="465">
        <f>+'0005'!G94</f>
        <v>0</v>
      </c>
    </row>
    <row r="95" spans="1:7">
      <c r="A95" s="432" t="str">
        <f>+'0005'!A95</f>
        <v xml:space="preserve">211700203 </v>
      </c>
      <c r="B95" s="432" t="str">
        <f>+'0005'!B95</f>
        <v xml:space="preserve">      211700203  Deducción Voluntar</v>
      </c>
      <c r="C95" s="465">
        <f>+'0005'!C95</f>
        <v>0</v>
      </c>
      <c r="D95" s="465">
        <f>+'0005'!D95</f>
        <v>502804.1</v>
      </c>
      <c r="E95" s="465">
        <f>-'0005'!E95</f>
        <v>502804.1</v>
      </c>
      <c r="F95" s="465">
        <f>+'0005'!F95</f>
        <v>0</v>
      </c>
      <c r="G95" s="465">
        <f>+'0005'!G95</f>
        <v>0</v>
      </c>
    </row>
    <row r="96" spans="1:7">
      <c r="A96" s="432" t="str">
        <f>+'0005'!A96</f>
        <v xml:space="preserve">211700303 </v>
      </c>
      <c r="B96" s="432" t="str">
        <f>+'0005'!B96</f>
        <v xml:space="preserve">      211700303  ISSEG</v>
      </c>
      <c r="C96" s="465">
        <f>+'0005'!C96</f>
        <v>-5590.8</v>
      </c>
      <c r="D96" s="465">
        <f>+'0005'!D96</f>
        <v>5599320.46</v>
      </c>
      <c r="E96" s="465">
        <f>-'0005'!E96</f>
        <v>5599320.46</v>
      </c>
      <c r="F96" s="465">
        <f>+'0005'!F96</f>
        <v>-5590.8</v>
      </c>
      <c r="G96" s="465">
        <f>+'0005'!G96</f>
        <v>0</v>
      </c>
    </row>
    <row r="97" spans="1:7">
      <c r="A97" s="432" t="str">
        <f>+'0005'!A97</f>
        <v xml:space="preserve">211700309 </v>
      </c>
      <c r="B97" s="432" t="str">
        <f>+'0005'!B97</f>
        <v xml:space="preserve">      211700309  MUEBLERIAS</v>
      </c>
      <c r="C97" s="465">
        <f>+'0005'!C97</f>
        <v>0.02</v>
      </c>
      <c r="D97" s="465">
        <f>+'0005'!D97</f>
        <v>115594.16</v>
      </c>
      <c r="E97" s="465">
        <f>-'0005'!E97</f>
        <v>115594.16</v>
      </c>
      <c r="F97" s="465">
        <f>+'0005'!F97</f>
        <v>0.02</v>
      </c>
      <c r="G97" s="465">
        <f>+'0005'!G97</f>
        <v>0</v>
      </c>
    </row>
    <row r="98" spans="1:7">
      <c r="A98" s="432" t="str">
        <f>+'0005'!A98</f>
        <v xml:space="preserve">211700314 </v>
      </c>
      <c r="B98" s="432" t="str">
        <f>+'0005'!B98</f>
        <v xml:space="preserve">      211700314  GTO. DE ADMON. 2.5</v>
      </c>
      <c r="C98" s="465">
        <f>+'0005'!C98</f>
        <v>-7.0000000000000007E-2</v>
      </c>
      <c r="D98" s="465">
        <f>+'0005'!D98</f>
        <v>7675.03</v>
      </c>
      <c r="E98" s="465">
        <f>-'0005'!E98</f>
        <v>7675.03</v>
      </c>
      <c r="F98" s="465">
        <f>+'0005'!F98</f>
        <v>-7.0000000000000007E-2</v>
      </c>
      <c r="G98" s="465">
        <f>+'0005'!G98</f>
        <v>0</v>
      </c>
    </row>
    <row r="99" spans="1:7">
      <c r="A99" s="432" t="str">
        <f>+'0005'!A99</f>
        <v xml:space="preserve">211700317 </v>
      </c>
      <c r="B99" s="432" t="str">
        <f>+'0005'!B99</f>
        <v xml:space="preserve">      211700317  Financiera</v>
      </c>
      <c r="C99" s="465">
        <f>+'0005'!C99</f>
        <v>0</v>
      </c>
      <c r="D99" s="465">
        <f>+'0005'!D99</f>
        <v>6848.38</v>
      </c>
      <c r="E99" s="465">
        <f>-'0005'!E99</f>
        <v>6848.38</v>
      </c>
      <c r="F99" s="465">
        <f>+'0005'!F99</f>
        <v>0</v>
      </c>
      <c r="G99" s="465">
        <f>+'0005'!G99</f>
        <v>0</v>
      </c>
    </row>
    <row r="100" spans="1:7">
      <c r="A100" s="432" t="str">
        <f>+'0005'!A100</f>
        <v xml:space="preserve">211700902 </v>
      </c>
      <c r="B100" s="432" t="str">
        <f>+'0005'!B100</f>
        <v xml:space="preserve">      211700902  Embargo de Sueldo</v>
      </c>
      <c r="C100" s="465">
        <f>+'0005'!C100</f>
        <v>0</v>
      </c>
      <c r="D100" s="465">
        <f>+'0005'!D100</f>
        <v>11178.2</v>
      </c>
      <c r="E100" s="465">
        <f>-'0005'!E100</f>
        <v>11178.2</v>
      </c>
      <c r="F100" s="465">
        <f>+'0005'!F100</f>
        <v>0</v>
      </c>
      <c r="G100" s="465">
        <f>+'0005'!G100</f>
        <v>0</v>
      </c>
    </row>
    <row r="101" spans="1:7">
      <c r="A101" s="432" t="str">
        <f>+'0005'!A101</f>
        <v>2119</v>
      </c>
      <c r="B101" s="432" t="str">
        <f>+'0005'!B101</f>
        <v>*     2119     Otras Cuentas x paga</v>
      </c>
      <c r="C101" s="465">
        <f>+'0005'!C101</f>
        <v>-30581.24</v>
      </c>
      <c r="D101" s="465">
        <f>+'0005'!D101</f>
        <v>40747555.609999999</v>
      </c>
      <c r="E101" s="465">
        <f>-'0005'!E101</f>
        <v>40716974.369999997</v>
      </c>
      <c r="F101" s="465">
        <f>+'0005'!F101</f>
        <v>0</v>
      </c>
      <c r="G101" s="465">
        <f>+'0005'!G101</f>
        <v>30581.24</v>
      </c>
    </row>
    <row r="102" spans="1:7">
      <c r="A102" s="432" t="str">
        <f>+'0005'!A102</f>
        <v xml:space="preserve">211900001 </v>
      </c>
      <c r="B102" s="432" t="str">
        <f>+'0005'!B102</f>
        <v xml:space="preserve">      211900001  Otras ctas pagar C</v>
      </c>
      <c r="C102" s="465">
        <f>+'0005'!C102</f>
        <v>0</v>
      </c>
      <c r="D102" s="465">
        <f>+'0005'!D102</f>
        <v>40705440.030000001</v>
      </c>
      <c r="E102" s="465">
        <f>-'0005'!E102</f>
        <v>40705440.030000001</v>
      </c>
      <c r="F102" s="465">
        <f>+'0005'!F102</f>
        <v>0</v>
      </c>
      <c r="G102" s="465">
        <f>+'0005'!G102</f>
        <v>0</v>
      </c>
    </row>
    <row r="103" spans="1:7">
      <c r="A103" s="432" t="str">
        <f>+'0005'!A103</f>
        <v xml:space="preserve">211900053 </v>
      </c>
      <c r="B103" s="432" t="str">
        <f>+'0005'!B103</f>
        <v xml:space="preserve">      211900053  CXP GEG POR RECTIF</v>
      </c>
      <c r="C103" s="465">
        <f>+'0005'!C103</f>
        <v>-19369.86</v>
      </c>
      <c r="D103" s="465">
        <f>+'0005'!D103</f>
        <v>23148.86</v>
      </c>
      <c r="E103" s="465">
        <f>-'0005'!E103</f>
        <v>3779</v>
      </c>
      <c r="F103" s="465">
        <f>+'0005'!F103</f>
        <v>0</v>
      </c>
      <c r="G103" s="465">
        <f>+'0005'!G103</f>
        <v>19369.86</v>
      </c>
    </row>
    <row r="104" spans="1:7">
      <c r="A104" s="432" t="str">
        <f>+'0005'!A104</f>
        <v xml:space="preserve">211900056 </v>
      </c>
      <c r="B104" s="432" t="str">
        <f>+'0005'!B104</f>
        <v xml:space="preserve">      211900056  CXP GEG SIN SUELDO</v>
      </c>
      <c r="C104" s="465">
        <f>+'0005'!C104</f>
        <v>-11211.38</v>
      </c>
      <c r="D104" s="465">
        <f>+'0005'!D104</f>
        <v>18966.72</v>
      </c>
      <c r="E104" s="465">
        <f>-'0005'!E104</f>
        <v>7755.34</v>
      </c>
      <c r="F104" s="465">
        <f>+'0005'!F104</f>
        <v>0</v>
      </c>
      <c r="G104" s="465">
        <f>+'0005'!G104</f>
        <v>11211.38</v>
      </c>
    </row>
    <row r="105" spans="1:7">
      <c r="A105" s="432" t="str">
        <f>+'0005'!A105</f>
        <v>2150</v>
      </c>
      <c r="B105" s="432" t="str">
        <f>+'0005'!B105</f>
        <v>**    2150     Pasivos Diferidos a</v>
      </c>
      <c r="C105" s="465">
        <f>+'0005'!C105</f>
        <v>-18500</v>
      </c>
      <c r="D105" s="465">
        <f>+'0005'!D105</f>
        <v>0</v>
      </c>
      <c r="E105" s="465">
        <f>-'0005'!E105</f>
        <v>0</v>
      </c>
      <c r="F105" s="465">
        <f>+'0005'!F105</f>
        <v>-18500</v>
      </c>
      <c r="G105" s="465">
        <f>+'0005'!G105</f>
        <v>0</v>
      </c>
    </row>
    <row r="106" spans="1:7">
      <c r="A106" s="432" t="str">
        <f>+'0005'!A106</f>
        <v>2159</v>
      </c>
      <c r="B106" s="432" t="str">
        <f>+'0005'!B106</f>
        <v>*     2159     Otros Pasivos Diferi</v>
      </c>
      <c r="C106" s="465">
        <f>+'0005'!C106</f>
        <v>-18500</v>
      </c>
      <c r="D106" s="465">
        <f>+'0005'!D106</f>
        <v>0</v>
      </c>
      <c r="E106" s="465">
        <f>-'0005'!E106</f>
        <v>0</v>
      </c>
      <c r="F106" s="465">
        <f>+'0005'!F106</f>
        <v>-18500</v>
      </c>
      <c r="G106" s="465">
        <f>+'0005'!G106</f>
        <v>0</v>
      </c>
    </row>
    <row r="107" spans="1:7">
      <c r="A107" s="432" t="str">
        <f>+'0005'!A107</f>
        <v xml:space="preserve">215900001 </v>
      </c>
      <c r="B107" s="432" t="str">
        <f>+'0005'!B107</f>
        <v xml:space="preserve">      215900001  Ingreso Diferido</v>
      </c>
      <c r="C107" s="465">
        <f>+'0005'!C107</f>
        <v>-18500</v>
      </c>
      <c r="D107" s="465">
        <f>+'0005'!D107</f>
        <v>0</v>
      </c>
      <c r="E107" s="465">
        <f>-'0005'!E107</f>
        <v>0</v>
      </c>
      <c r="F107" s="465">
        <f>+'0005'!F107</f>
        <v>-18500</v>
      </c>
      <c r="G107" s="465">
        <f>+'0005'!G107</f>
        <v>0</v>
      </c>
    </row>
    <row r="108" spans="1:7">
      <c r="A108" s="432" t="str">
        <f>+'0005'!A108</f>
        <v>2200</v>
      </c>
      <c r="B108" s="432" t="str">
        <f>+'0005'!B108</f>
        <v>***   2200     Pasivo No Circulante</v>
      </c>
      <c r="C108" s="465">
        <f>+'0005'!C108</f>
        <v>-2058413.68</v>
      </c>
      <c r="D108" s="465">
        <f>+'0005'!D108</f>
        <v>707.21</v>
      </c>
      <c r="E108" s="465">
        <f>-'0005'!E108</f>
        <v>176265.92</v>
      </c>
      <c r="F108" s="465">
        <f>+'0005'!F108</f>
        <v>-2233972.39</v>
      </c>
      <c r="G108" s="465">
        <f>+'0005'!G108</f>
        <v>-175558.71</v>
      </c>
    </row>
    <row r="109" spans="1:7">
      <c r="A109" s="432" t="str">
        <f>+'0005'!A109</f>
        <v>2260</v>
      </c>
      <c r="B109" s="432" t="str">
        <f>+'0005'!B109</f>
        <v>**    2260     Provisiones a Largo</v>
      </c>
      <c r="C109" s="465">
        <f>+'0005'!C109</f>
        <v>-2058413.68</v>
      </c>
      <c r="D109" s="465">
        <f>+'0005'!D109</f>
        <v>707.21</v>
      </c>
      <c r="E109" s="465">
        <f>-'0005'!E109</f>
        <v>176265.92</v>
      </c>
      <c r="F109" s="465">
        <f>+'0005'!F109</f>
        <v>-2233972.39</v>
      </c>
      <c r="G109" s="465">
        <f>+'0005'!G109</f>
        <v>-175558.71</v>
      </c>
    </row>
    <row r="110" spans="1:7">
      <c r="A110" s="432" t="str">
        <f>+'0005'!A110</f>
        <v>2269</v>
      </c>
      <c r="B110" s="432" t="str">
        <f>+'0005'!B110</f>
        <v>*     2269     Otras Provisiones a</v>
      </c>
      <c r="C110" s="465">
        <f>+'0005'!C110</f>
        <v>-2058413.68</v>
      </c>
      <c r="D110" s="465">
        <f>+'0005'!D110</f>
        <v>707.21</v>
      </c>
      <c r="E110" s="465">
        <f>-'0005'!E110</f>
        <v>176265.92</v>
      </c>
      <c r="F110" s="465">
        <f>+'0005'!F110</f>
        <v>-2233972.39</v>
      </c>
      <c r="G110" s="465">
        <f>+'0005'!G110</f>
        <v>-175558.71</v>
      </c>
    </row>
    <row r="111" spans="1:7">
      <c r="A111" s="432" t="str">
        <f>+'0005'!A111</f>
        <v xml:space="preserve">226900001 </v>
      </c>
      <c r="B111" s="432" t="str">
        <f>+'0005'!B111</f>
        <v xml:space="preserve">      226900001  Prov para Pasi Lab</v>
      </c>
      <c r="C111" s="465">
        <f>+'0005'!C111</f>
        <v>-2058413.68</v>
      </c>
      <c r="D111" s="465">
        <f>+'0005'!D111</f>
        <v>707.21</v>
      </c>
      <c r="E111" s="465">
        <f>-'0005'!E111</f>
        <v>176265.92</v>
      </c>
      <c r="F111" s="465">
        <f>+'0005'!F111</f>
        <v>-2233972.39</v>
      </c>
      <c r="G111" s="465">
        <f>+'0005'!G111</f>
        <v>-175558.71</v>
      </c>
    </row>
    <row r="112" spans="1:7">
      <c r="A112" s="432" t="str">
        <f>+'0005'!A112</f>
        <v>3000</v>
      </c>
      <c r="B112" s="432" t="str">
        <f>+'0005'!B112</f>
        <v>****  3000     Hacienda Pública</v>
      </c>
      <c r="C112" s="465">
        <f>+'0005'!C112</f>
        <v>-25770683.190000001</v>
      </c>
      <c r="D112" s="465">
        <f>+'0005'!D112</f>
        <v>96375130.120000005</v>
      </c>
      <c r="E112" s="465">
        <f>-'0005'!E112</f>
        <v>99232102.319999993</v>
      </c>
      <c r="F112" s="465">
        <f>+'0005'!F112</f>
        <v>-28627655.390000001</v>
      </c>
      <c r="G112" s="465">
        <f>+'0005'!G112</f>
        <v>-2856972.2</v>
      </c>
    </row>
    <row r="113" spans="1:7">
      <c r="A113" s="432" t="str">
        <f>+'0005'!A113</f>
        <v>3100</v>
      </c>
      <c r="B113" s="432" t="str">
        <f>+'0005'!B113</f>
        <v>***   3100     Patrimonio Contribui</v>
      </c>
      <c r="C113" s="465">
        <f>+'0005'!C113</f>
        <v>-26724265.559999999</v>
      </c>
      <c r="D113" s="465">
        <f>+'0005'!D113</f>
        <v>4726302.8899999997</v>
      </c>
      <c r="E113" s="465">
        <f>-'0005'!E113</f>
        <v>5579764.0300000003</v>
      </c>
      <c r="F113" s="465">
        <f>+'0005'!F113</f>
        <v>-27577726.699999999</v>
      </c>
      <c r="G113" s="465">
        <f>+'0005'!G113</f>
        <v>-853461.14</v>
      </c>
    </row>
    <row r="114" spans="1:7">
      <c r="A114" s="432" t="str">
        <f>+'0005'!A114</f>
        <v>3110</v>
      </c>
      <c r="B114" s="432" t="str">
        <f>+'0005'!B114</f>
        <v>**    3110     Aportaciones</v>
      </c>
      <c r="C114" s="465">
        <f>+'0005'!C114</f>
        <v>-26724265.559999999</v>
      </c>
      <c r="D114" s="465">
        <f>+'0005'!D114</f>
        <v>4726302.8899999997</v>
      </c>
      <c r="E114" s="465">
        <f>-'0005'!E114</f>
        <v>5579764.0300000003</v>
      </c>
      <c r="F114" s="465">
        <f>+'0005'!F114</f>
        <v>-27577726.699999999</v>
      </c>
      <c r="G114" s="465">
        <f>+'0005'!G114</f>
        <v>-853461.14</v>
      </c>
    </row>
    <row r="115" spans="1:7">
      <c r="A115" s="432" t="str">
        <f>+'0005'!A115</f>
        <v>3110</v>
      </c>
      <c r="B115" s="432" t="str">
        <f>+'0005'!B115</f>
        <v>*     3110     Aportaciones</v>
      </c>
      <c r="C115" s="465">
        <f>+'0005'!C115</f>
        <v>-26724265.559999999</v>
      </c>
      <c r="D115" s="465">
        <f>+'0005'!D115</f>
        <v>4726302.8899999997</v>
      </c>
      <c r="E115" s="465">
        <f>-'0005'!E115</f>
        <v>5579764.0300000003</v>
      </c>
      <c r="F115" s="465">
        <f>+'0005'!F115</f>
        <v>-27577726.699999999</v>
      </c>
      <c r="G115" s="465">
        <f>+'0005'!G115</f>
        <v>-853461.14</v>
      </c>
    </row>
    <row r="116" spans="1:7">
      <c r="A116" s="432" t="str">
        <f>+'0005'!A116</f>
        <v xml:space="preserve">311009105 </v>
      </c>
      <c r="B116" s="432" t="str">
        <f>+'0005'!B116</f>
        <v xml:space="preserve">      311009105  Bienes Muebles Inm</v>
      </c>
      <c r="C116" s="465">
        <f>+'0005'!C116</f>
        <v>-3008906.9</v>
      </c>
      <c r="D116" s="465">
        <f>+'0005'!D116</f>
        <v>3117258.79</v>
      </c>
      <c r="E116" s="465">
        <f>-'0005'!E116</f>
        <v>2570857.13</v>
      </c>
      <c r="F116" s="465">
        <f>+'0005'!F116</f>
        <v>-2462505.2400000002</v>
      </c>
      <c r="G116" s="465">
        <f>+'0005'!G116</f>
        <v>546401.66</v>
      </c>
    </row>
    <row r="117" spans="1:7">
      <c r="A117" s="432" t="str">
        <f>+'0005'!A117</f>
        <v xml:space="preserve">311009115 </v>
      </c>
      <c r="B117" s="432" t="str">
        <f>+'0005'!B117</f>
        <v xml:space="preserve">      311009115  BIENES MUEBLES AA</v>
      </c>
      <c r="C117" s="465">
        <f>+'0005'!C117</f>
        <v>-22106314.559999999</v>
      </c>
      <c r="D117" s="465">
        <f>+'0005'!D117</f>
        <v>0</v>
      </c>
      <c r="E117" s="465">
        <f>-'0005'!E117</f>
        <v>3008906.9</v>
      </c>
      <c r="F117" s="465">
        <f>+'0005'!F117</f>
        <v>-25115221.460000001</v>
      </c>
      <c r="G117" s="465">
        <f>+'0005'!G117</f>
        <v>-3008906.9</v>
      </c>
    </row>
    <row r="118" spans="1:7">
      <c r="A118" s="432" t="str">
        <f>+'0005'!A118</f>
        <v xml:space="preserve">311009999 </v>
      </c>
      <c r="B118" s="432" t="str">
        <f>+'0005'!B118</f>
        <v xml:space="preserve">      311009999  Baja AF</v>
      </c>
      <c r="C118" s="465">
        <f>+'0005'!C118</f>
        <v>-1609044.1</v>
      </c>
      <c r="D118" s="465">
        <f>+'0005'!D118</f>
        <v>1609044.1</v>
      </c>
      <c r="E118" s="465">
        <f>-'0005'!E118</f>
        <v>0</v>
      </c>
      <c r="F118" s="465">
        <f>+'0005'!F118</f>
        <v>0</v>
      </c>
      <c r="G118" s="465">
        <f>+'0005'!G118</f>
        <v>1609044.1</v>
      </c>
    </row>
    <row r="119" spans="1:7">
      <c r="A119" s="432" t="str">
        <f>+'0005'!A119</f>
        <v>3200</v>
      </c>
      <c r="B119" s="432" t="str">
        <f>+'0005'!B119</f>
        <v>***   3200     Patrimonio Generado</v>
      </c>
      <c r="C119" s="465">
        <f>+'0005'!C119</f>
        <v>953582.37</v>
      </c>
      <c r="D119" s="465">
        <f>+'0005'!D119</f>
        <v>91648827.230000004</v>
      </c>
      <c r="E119" s="465">
        <f>-'0005'!E119</f>
        <v>93652338.290000007</v>
      </c>
      <c r="F119" s="465">
        <f>+'0005'!F119</f>
        <v>-1049928.69</v>
      </c>
      <c r="G119" s="465">
        <f>+'0005'!G119</f>
        <v>-2003511.06</v>
      </c>
    </row>
    <row r="120" spans="1:7">
      <c r="A120" s="432" t="str">
        <f>+'0005'!A120</f>
        <v>3210</v>
      </c>
      <c r="B120" s="432" t="str">
        <f>+'0005'!B120</f>
        <v>**    3210     Ahorro/ Desahorro</v>
      </c>
      <c r="C120" s="465">
        <f>+'0005'!C120</f>
        <v>0</v>
      </c>
      <c r="D120" s="465">
        <f>+'0005'!D120</f>
        <v>91645048.230000004</v>
      </c>
      <c r="E120" s="465">
        <f>-'0005'!E120</f>
        <v>92039515.189999998</v>
      </c>
      <c r="F120" s="465">
        <f>+'0005'!F120</f>
        <v>-394466.96</v>
      </c>
      <c r="G120" s="465">
        <f>+'0005'!G120</f>
        <v>-394466.96</v>
      </c>
    </row>
    <row r="121" spans="1:7">
      <c r="A121" s="432" t="str">
        <f>+'0005'!A121</f>
        <v>3210</v>
      </c>
      <c r="B121" s="432" t="str">
        <f>+'0005'!B121</f>
        <v>*     3210     Ahorro/ Desahorro</v>
      </c>
      <c r="C121" s="465">
        <f>+'0005'!C121</f>
        <v>0</v>
      </c>
      <c r="D121" s="465">
        <f>+'0005'!D121</f>
        <v>91645048.230000004</v>
      </c>
      <c r="E121" s="465">
        <f>-'0005'!E121</f>
        <v>92039515.189999998</v>
      </c>
      <c r="F121" s="465">
        <f>+'0005'!F121</f>
        <v>-394466.96</v>
      </c>
      <c r="G121" s="465">
        <f>+'0005'!G121</f>
        <v>-394466.96</v>
      </c>
    </row>
    <row r="122" spans="1:7">
      <c r="A122" s="432" t="str">
        <f>+'0005'!A122</f>
        <v>3220</v>
      </c>
      <c r="B122" s="432" t="str">
        <f>+'0005'!B122</f>
        <v>**    3220     Res. de Ejercicios A</v>
      </c>
      <c r="C122" s="465">
        <f>+'0005'!C122</f>
        <v>953582.37</v>
      </c>
      <c r="D122" s="465">
        <f>+'0005'!D122</f>
        <v>3779</v>
      </c>
      <c r="E122" s="465">
        <f>-'0005'!E122</f>
        <v>1612823.1</v>
      </c>
      <c r="F122" s="465">
        <f>+'0005'!F122</f>
        <v>-655461.73</v>
      </c>
      <c r="G122" s="465">
        <f>+'0005'!G122</f>
        <v>-1609044.1</v>
      </c>
    </row>
    <row r="123" spans="1:7">
      <c r="A123" s="432" t="str">
        <f>+'0005'!A123</f>
        <v>3220</v>
      </c>
      <c r="B123" s="432" t="str">
        <f>+'0005'!B123</f>
        <v>*     3220     Res. de Ejercicios A</v>
      </c>
      <c r="C123" s="465">
        <f>+'0005'!C123</f>
        <v>953582.37</v>
      </c>
      <c r="D123" s="465">
        <f>+'0005'!D123</f>
        <v>3779</v>
      </c>
      <c r="E123" s="465">
        <f>-'0005'!E123</f>
        <v>1612823.1</v>
      </c>
      <c r="F123" s="465">
        <f>+'0005'!F123</f>
        <v>-655461.73</v>
      </c>
      <c r="G123" s="465">
        <f>+'0005'!G123</f>
        <v>-1609044.1</v>
      </c>
    </row>
    <row r="124" spans="1:7">
      <c r="A124" s="432" t="str">
        <f>+'0005'!A124</f>
        <v xml:space="preserve">322000005 </v>
      </c>
      <c r="B124" s="432" t="str">
        <f>+'0005'!B124</f>
        <v xml:space="preserve">      322000005  RES. DEL EJERC. 20</v>
      </c>
      <c r="C124" s="465">
        <f>+'0005'!C124</f>
        <v>22077.06</v>
      </c>
      <c r="D124" s="465">
        <f>+'0005'!D124</f>
        <v>0</v>
      </c>
      <c r="E124" s="465">
        <f>-'0005'!E124</f>
        <v>0</v>
      </c>
      <c r="F124" s="465">
        <f>+'0005'!F124</f>
        <v>22077.06</v>
      </c>
      <c r="G124" s="465">
        <f>+'0005'!G124</f>
        <v>0</v>
      </c>
    </row>
    <row r="125" spans="1:7">
      <c r="A125" s="432" t="str">
        <f>+'0005'!A125</f>
        <v xml:space="preserve">322000006 </v>
      </c>
      <c r="B125" s="432" t="str">
        <f>+'0005'!B125</f>
        <v xml:space="preserve">      322000006  RES. DEL EJERC. 20</v>
      </c>
      <c r="C125" s="465">
        <f>+'0005'!C125</f>
        <v>118830.46</v>
      </c>
      <c r="D125" s="465">
        <f>+'0005'!D125</f>
        <v>0</v>
      </c>
      <c r="E125" s="465">
        <f>-'0005'!E125</f>
        <v>0</v>
      </c>
      <c r="F125" s="465">
        <f>+'0005'!F125</f>
        <v>118830.46</v>
      </c>
      <c r="G125" s="465">
        <f>+'0005'!G125</f>
        <v>0</v>
      </c>
    </row>
    <row r="126" spans="1:7">
      <c r="A126" s="432" t="str">
        <f>+'0005'!A126</f>
        <v xml:space="preserve">322000007 </v>
      </c>
      <c r="B126" s="432" t="str">
        <f>+'0005'!B126</f>
        <v xml:space="preserve">      322000007  RES. DEL EJERC. 20</v>
      </c>
      <c r="C126" s="465">
        <f>+'0005'!C126</f>
        <v>920176.59</v>
      </c>
      <c r="D126" s="465">
        <f>+'0005'!D126</f>
        <v>0</v>
      </c>
      <c r="E126" s="465">
        <f>-'0005'!E126</f>
        <v>0</v>
      </c>
      <c r="F126" s="465">
        <f>+'0005'!F126</f>
        <v>920176.59</v>
      </c>
      <c r="G126" s="465">
        <f>+'0005'!G126</f>
        <v>0</v>
      </c>
    </row>
    <row r="127" spans="1:7">
      <c r="A127" s="432" t="str">
        <f>+'0005'!A127</f>
        <v xml:space="preserve">322000008 </v>
      </c>
      <c r="B127" s="432" t="str">
        <f>+'0005'!B127</f>
        <v xml:space="preserve">      322000008  RES. DEL EJERC. 20</v>
      </c>
      <c r="C127" s="465">
        <f>+'0005'!C127</f>
        <v>965800.64</v>
      </c>
      <c r="D127" s="465">
        <f>+'0005'!D127</f>
        <v>0</v>
      </c>
      <c r="E127" s="465">
        <f>-'0005'!E127</f>
        <v>0</v>
      </c>
      <c r="F127" s="465">
        <f>+'0005'!F127</f>
        <v>965800.64</v>
      </c>
      <c r="G127" s="465">
        <f>+'0005'!G127</f>
        <v>0</v>
      </c>
    </row>
    <row r="128" spans="1:7">
      <c r="A128" s="432" t="str">
        <f>+'0005'!A128</f>
        <v xml:space="preserve">322000009 </v>
      </c>
      <c r="B128" s="432" t="str">
        <f>+'0005'!B128</f>
        <v xml:space="preserve">      322000009  RES. DEL EJERC. 20</v>
      </c>
      <c r="C128" s="465">
        <f>+'0005'!C128</f>
        <v>785416.01</v>
      </c>
      <c r="D128" s="465">
        <f>+'0005'!D128</f>
        <v>0</v>
      </c>
      <c r="E128" s="465">
        <f>-'0005'!E128</f>
        <v>0</v>
      </c>
      <c r="F128" s="465">
        <f>+'0005'!F128</f>
        <v>785416.01</v>
      </c>
      <c r="G128" s="465">
        <f>+'0005'!G128</f>
        <v>0</v>
      </c>
    </row>
    <row r="129" spans="1:7">
      <c r="A129" s="432" t="str">
        <f>+'0005'!A129</f>
        <v xml:space="preserve">322000010 </v>
      </c>
      <c r="B129" s="432" t="str">
        <f>+'0005'!B129</f>
        <v xml:space="preserve">      322000010  RES. DEL EJERC. 20</v>
      </c>
      <c r="C129" s="465">
        <f>+'0005'!C129</f>
        <v>1304745.5900000001</v>
      </c>
      <c r="D129" s="465">
        <f>+'0005'!D129</f>
        <v>0</v>
      </c>
      <c r="E129" s="465">
        <f>-'0005'!E129</f>
        <v>0</v>
      </c>
      <c r="F129" s="465">
        <f>+'0005'!F129</f>
        <v>1304745.5900000001</v>
      </c>
      <c r="G129" s="465">
        <f>+'0005'!G129</f>
        <v>0</v>
      </c>
    </row>
    <row r="130" spans="1:7">
      <c r="A130" s="432" t="str">
        <f>+'0005'!A130</f>
        <v xml:space="preserve">322000011 </v>
      </c>
      <c r="B130" s="432" t="str">
        <f>+'0005'!B130</f>
        <v xml:space="preserve">      322000011  RES. DEL EJERC. 20</v>
      </c>
      <c r="C130" s="465">
        <f>+'0005'!C130</f>
        <v>271904.45</v>
      </c>
      <c r="D130" s="465">
        <f>+'0005'!D130</f>
        <v>0</v>
      </c>
      <c r="E130" s="465">
        <f>-'0005'!E130</f>
        <v>684258.34</v>
      </c>
      <c r="F130" s="465">
        <f>+'0005'!F130</f>
        <v>-412353.89</v>
      </c>
      <c r="G130" s="465">
        <f>+'0005'!G130</f>
        <v>-684258.34</v>
      </c>
    </row>
    <row r="131" spans="1:7">
      <c r="A131" s="432" t="str">
        <f>+'0005'!A131</f>
        <v xml:space="preserve">322000012 </v>
      </c>
      <c r="B131" s="432" t="str">
        <f>+'0005'!B131</f>
        <v xml:space="preserve">      322000012  RES. DEL EJERC. 20</v>
      </c>
      <c r="C131" s="465">
        <f>+'0005'!C131</f>
        <v>556049.84</v>
      </c>
      <c r="D131" s="465">
        <f>+'0005'!D131</f>
        <v>0</v>
      </c>
      <c r="E131" s="465">
        <f>-'0005'!E131</f>
        <v>64264.17</v>
      </c>
      <c r="F131" s="465">
        <f>+'0005'!F131</f>
        <v>491785.67</v>
      </c>
      <c r="G131" s="465">
        <f>+'0005'!G131</f>
        <v>-64264.17</v>
      </c>
    </row>
    <row r="132" spans="1:7">
      <c r="A132" s="432" t="str">
        <f>+'0005'!A132</f>
        <v xml:space="preserve">322000013 </v>
      </c>
      <c r="B132" s="432" t="str">
        <f>+'0005'!B132</f>
        <v xml:space="preserve">      322000013  RES. DEL EJERC. 20</v>
      </c>
      <c r="C132" s="465">
        <f>+'0005'!C132</f>
        <v>-4048007.42</v>
      </c>
      <c r="D132" s="465">
        <f>+'0005'!D132</f>
        <v>0</v>
      </c>
      <c r="E132" s="465">
        <f>-'0005'!E132</f>
        <v>110000</v>
      </c>
      <c r="F132" s="465">
        <f>+'0005'!F132</f>
        <v>-4158007.42</v>
      </c>
      <c r="G132" s="465">
        <f>+'0005'!G132</f>
        <v>-110000</v>
      </c>
    </row>
    <row r="133" spans="1:7">
      <c r="A133" s="432" t="str">
        <f>+'0005'!A133</f>
        <v xml:space="preserve">322000014 </v>
      </c>
      <c r="B133" s="432" t="str">
        <f>+'0005'!B133</f>
        <v xml:space="preserve">      322000014  RES. DEL EJERC. 20</v>
      </c>
      <c r="C133" s="465">
        <f>+'0005'!C133</f>
        <v>631199.18999999994</v>
      </c>
      <c r="D133" s="465">
        <f>+'0005'!D133</f>
        <v>0</v>
      </c>
      <c r="E133" s="465">
        <f>-'0005'!E133</f>
        <v>160929.93</v>
      </c>
      <c r="F133" s="465">
        <f>+'0005'!F133</f>
        <v>470269.26</v>
      </c>
      <c r="G133" s="465">
        <f>+'0005'!G133</f>
        <v>-160929.93</v>
      </c>
    </row>
    <row r="134" spans="1:7">
      <c r="A134" s="432" t="str">
        <f>+'0005'!A134</f>
        <v xml:space="preserve">322000015 </v>
      </c>
      <c r="B134" s="432" t="str">
        <f>+'0005'!B134</f>
        <v xml:space="preserve">      322000015  RES. DEL EJERC. 20</v>
      </c>
      <c r="C134" s="465">
        <f>+'0005'!C134</f>
        <v>1332152.8400000001</v>
      </c>
      <c r="D134" s="465">
        <f>+'0005'!D134</f>
        <v>0</v>
      </c>
      <c r="E134" s="465">
        <f>-'0005'!E134</f>
        <v>144675</v>
      </c>
      <c r="F134" s="465">
        <f>+'0005'!F134</f>
        <v>1187477.8400000001</v>
      </c>
      <c r="G134" s="465">
        <f>+'0005'!G134</f>
        <v>-144675</v>
      </c>
    </row>
    <row r="135" spans="1:7">
      <c r="A135" s="432" t="str">
        <f>+'0005'!A135</f>
        <v xml:space="preserve">322000016 </v>
      </c>
      <c r="B135" s="432" t="str">
        <f>+'0005'!B135</f>
        <v xml:space="preserve">      322000016  RES. DEL EJERC. 20</v>
      </c>
      <c r="C135" s="465">
        <f>+'0005'!C135</f>
        <v>1484625.68</v>
      </c>
      <c r="D135" s="465">
        <f>+'0005'!D135</f>
        <v>3779</v>
      </c>
      <c r="E135" s="465">
        <f>-'0005'!E135</f>
        <v>448695.66</v>
      </c>
      <c r="F135" s="465">
        <f>+'0005'!F135</f>
        <v>1039709.02</v>
      </c>
      <c r="G135" s="465">
        <f>+'0005'!G135</f>
        <v>-444916.66</v>
      </c>
    </row>
    <row r="136" spans="1:7">
      <c r="A136" s="432" t="str">
        <f>+'0005'!A136</f>
        <v xml:space="preserve">322000100 </v>
      </c>
      <c r="B136" s="432" t="str">
        <f>+'0005'!B136</f>
        <v xml:space="preserve">      322000100  APLICACION DE REMA</v>
      </c>
      <c r="C136" s="465">
        <f>+'0005'!C136</f>
        <v>-3391388.56</v>
      </c>
      <c r="D136" s="465">
        <f>+'0005'!D136</f>
        <v>0</v>
      </c>
      <c r="E136" s="465">
        <f>-'0005'!E136</f>
        <v>0</v>
      </c>
      <c r="F136" s="465">
        <f>+'0005'!F136</f>
        <v>-3391388.56</v>
      </c>
      <c r="G136" s="465">
        <f>+'0005'!G136</f>
        <v>0</v>
      </c>
    </row>
    <row r="137" spans="1:7">
      <c r="A137" s="432" t="str">
        <f>+'0005'!A137</f>
        <v xml:space="preserve">322000101 </v>
      </c>
      <c r="B137" s="432" t="str">
        <f>+'0005'!B137</f>
        <v xml:space="preserve">      322000101  REMANENTE CAPITALI</v>
      </c>
      <c r="C137" s="465">
        <f>+'0005'!C137</f>
        <v>1143346.4099999999</v>
      </c>
      <c r="D137" s="465">
        <f>+'0005'!D137</f>
        <v>0</v>
      </c>
      <c r="E137" s="465">
        <f>-'0005'!E137</f>
        <v>0</v>
      </c>
      <c r="F137" s="465">
        <f>+'0005'!F137</f>
        <v>1143346.4099999999</v>
      </c>
      <c r="G137" s="465">
        <f>+'0005'!G137</f>
        <v>0</v>
      </c>
    </row>
    <row r="138" spans="1:7">
      <c r="A138" s="432" t="str">
        <f>+'0005'!A138</f>
        <v xml:space="preserve">322001000 </v>
      </c>
      <c r="B138" s="432" t="str">
        <f>+'0005'!B138</f>
        <v xml:space="preserve">      322001000  CAPITALIZACIÓN</v>
      </c>
      <c r="C138" s="465">
        <f>+'0005'!C138</f>
        <v>-1143346.4099999999</v>
      </c>
      <c r="D138" s="465">
        <f>+'0005'!D138</f>
        <v>0</v>
      </c>
      <c r="E138" s="465">
        <f>-'0005'!E138</f>
        <v>0</v>
      </c>
      <c r="F138" s="465">
        <f>+'0005'!F138</f>
        <v>-1143346.4099999999</v>
      </c>
      <c r="G138" s="465">
        <f>+'0005'!G138</f>
        <v>0</v>
      </c>
    </row>
    <row r="139" spans="1:7">
      <c r="A139" s="432" t="str">
        <f>+'0005'!A139</f>
        <v>Acti</v>
      </c>
      <c r="B139" s="432" t="str">
        <f>+'0005'!B139</f>
        <v>***** Actividades</v>
      </c>
      <c r="C139" s="465">
        <f>+'0005'!C139</f>
        <v>0</v>
      </c>
      <c r="D139" s="465">
        <f>+'0005'!D139</f>
        <v>91645048.230000004</v>
      </c>
      <c r="E139" s="465">
        <f>-'0005'!E139</f>
        <v>92039515.189999998</v>
      </c>
      <c r="F139" s="465">
        <f>+'0005'!F139</f>
        <v>-394466.96</v>
      </c>
      <c r="G139" s="465">
        <f>+'0005'!G139</f>
        <v>-394466.96</v>
      </c>
    </row>
    <row r="140" spans="1:7">
      <c r="A140" s="432" t="str">
        <f>+'0005'!A140</f>
        <v>4000</v>
      </c>
      <c r="B140" s="432" t="str">
        <f>+'0005'!B140</f>
        <v>****  4000     Ingresos y otros ben</v>
      </c>
      <c r="C140" s="465">
        <f>+'0005'!C140</f>
        <v>0</v>
      </c>
      <c r="D140" s="465">
        <f>+'0005'!D140</f>
        <v>2819289.42</v>
      </c>
      <c r="E140" s="465">
        <f>-'0005'!E140</f>
        <v>89220523.599999994</v>
      </c>
      <c r="F140" s="465">
        <f>+'0005'!F140</f>
        <v>-86401234.180000007</v>
      </c>
      <c r="G140" s="465">
        <f>+'0005'!G140</f>
        <v>-86401234.180000007</v>
      </c>
    </row>
    <row r="141" spans="1:7">
      <c r="A141" s="432" t="str">
        <f>+'0005'!A141</f>
        <v>4100</v>
      </c>
      <c r="B141" s="432" t="str">
        <f>+'0005'!B141</f>
        <v>***   4100     Ingresos de Gestión</v>
      </c>
      <c r="C141" s="465">
        <f>+'0005'!C141</f>
        <v>0</v>
      </c>
      <c r="D141" s="465">
        <f>+'0005'!D141</f>
        <v>70763.42</v>
      </c>
      <c r="E141" s="465">
        <f>-'0005'!E141</f>
        <v>2996297.73</v>
      </c>
      <c r="F141" s="465">
        <f>+'0005'!F141</f>
        <v>-2925534.31</v>
      </c>
      <c r="G141" s="465">
        <f>+'0005'!G141</f>
        <v>-2925534.31</v>
      </c>
    </row>
    <row r="142" spans="1:7">
      <c r="A142" s="432" t="str">
        <f>+'0005'!A142</f>
        <v>4170</v>
      </c>
      <c r="B142" s="432" t="str">
        <f>+'0005'!B142</f>
        <v>**    4170     Ing. x Venta de Bien</v>
      </c>
      <c r="C142" s="465">
        <f>+'0005'!C142</f>
        <v>0</v>
      </c>
      <c r="D142" s="465">
        <f>+'0005'!D142</f>
        <v>70763.42</v>
      </c>
      <c r="E142" s="465">
        <f>-'0005'!E142</f>
        <v>2996297.73</v>
      </c>
      <c r="F142" s="465">
        <f>+'0005'!F142</f>
        <v>-2925534.31</v>
      </c>
      <c r="G142" s="465">
        <f>+'0005'!G142</f>
        <v>-2925534.31</v>
      </c>
    </row>
    <row r="143" spans="1:7">
      <c r="A143" s="432" t="str">
        <f>+'0005'!A143</f>
        <v>4173</v>
      </c>
      <c r="B143" s="432" t="str">
        <f>+'0005'!B143</f>
        <v>*     4173     Ing. por venta de b/</v>
      </c>
      <c r="C143" s="465">
        <f>+'0005'!C143</f>
        <v>0</v>
      </c>
      <c r="D143" s="465">
        <f>+'0005'!D143</f>
        <v>70763.42</v>
      </c>
      <c r="E143" s="465">
        <f>-'0005'!E143</f>
        <v>2996297.73</v>
      </c>
      <c r="F143" s="465">
        <f>+'0005'!F143</f>
        <v>-2925534.31</v>
      </c>
      <c r="G143" s="465">
        <f>+'0005'!G143</f>
        <v>-2925534.31</v>
      </c>
    </row>
    <row r="144" spans="1:7">
      <c r="A144" s="432" t="str">
        <f>+'0005'!A144</f>
        <v xml:space="preserve">417307101 </v>
      </c>
      <c r="B144" s="432" t="str">
        <f>+'0005'!B144</f>
        <v xml:space="preserve">      417307101  CURSOS</v>
      </c>
      <c r="C144" s="465">
        <f>+'0005'!C144</f>
        <v>0</v>
      </c>
      <c r="D144" s="465">
        <f>+'0005'!D144</f>
        <v>68500</v>
      </c>
      <c r="E144" s="465">
        <f>-'0005'!E144</f>
        <v>1965000</v>
      </c>
      <c r="F144" s="465">
        <f>+'0005'!F144</f>
        <v>-1896500</v>
      </c>
      <c r="G144" s="465">
        <f>+'0005'!G144</f>
        <v>-1896500</v>
      </c>
    </row>
    <row r="145" spans="1:7">
      <c r="A145" s="432" t="str">
        <f>+'0005'!A145</f>
        <v xml:space="preserve">417307102 </v>
      </c>
      <c r="B145" s="432" t="str">
        <f>+'0005'!B145</f>
        <v xml:space="preserve">      417307102  MATERIAL DIDÁCTICO</v>
      </c>
      <c r="C145" s="465">
        <f>+'0005'!C145</f>
        <v>0</v>
      </c>
      <c r="D145" s="465">
        <f>+'0005'!D145</f>
        <v>0</v>
      </c>
      <c r="E145" s="465">
        <f>-'0005'!E145</f>
        <v>880</v>
      </c>
      <c r="F145" s="465">
        <f>+'0005'!F145</f>
        <v>-880</v>
      </c>
      <c r="G145" s="465">
        <f>+'0005'!G145</f>
        <v>-880</v>
      </c>
    </row>
    <row r="146" spans="1:7">
      <c r="A146" s="432" t="str">
        <f>+'0005'!A146</f>
        <v xml:space="preserve">417307114 </v>
      </c>
      <c r="B146" s="432" t="str">
        <f>+'0005'!B146</f>
        <v xml:space="preserve">      417307114  OTROS INGRESOS</v>
      </c>
      <c r="C146" s="465">
        <f>+'0005'!C146</f>
        <v>0</v>
      </c>
      <c r="D146" s="465">
        <f>+'0005'!D146</f>
        <v>2263.42</v>
      </c>
      <c r="E146" s="465">
        <f>-'0005'!E146</f>
        <v>1030417.73</v>
      </c>
      <c r="F146" s="465">
        <f>+'0005'!F146</f>
        <v>-1028154.31</v>
      </c>
      <c r="G146" s="465">
        <f>+'0005'!G146</f>
        <v>-1028154.31</v>
      </c>
    </row>
    <row r="147" spans="1:7">
      <c r="A147" s="432" t="str">
        <f>+'0005'!A147</f>
        <v>4200</v>
      </c>
      <c r="B147" s="432" t="str">
        <f>+'0005'!B147</f>
        <v>***   4200     Participaciones, Apo</v>
      </c>
      <c r="C147" s="465">
        <f>+'0005'!C147</f>
        <v>0</v>
      </c>
      <c r="D147" s="465">
        <f>+'0005'!D147</f>
        <v>2748526</v>
      </c>
      <c r="E147" s="465">
        <f>-'0005'!E147</f>
        <v>86224225.870000005</v>
      </c>
      <c r="F147" s="465">
        <f>+'0005'!F147</f>
        <v>-83475699.870000005</v>
      </c>
      <c r="G147" s="465">
        <f>+'0005'!G147</f>
        <v>-83475699.870000005</v>
      </c>
    </row>
    <row r="148" spans="1:7">
      <c r="A148" s="432" t="str">
        <f>+'0005'!A148</f>
        <v>4220</v>
      </c>
      <c r="B148" s="432" t="str">
        <f>+'0005'!B148</f>
        <v>**    4220     Transferencias, Asig</v>
      </c>
      <c r="C148" s="465">
        <f>+'0005'!C148</f>
        <v>0</v>
      </c>
      <c r="D148" s="465">
        <f>+'0005'!D148</f>
        <v>2748526</v>
      </c>
      <c r="E148" s="465">
        <f>-'0005'!E148</f>
        <v>86224225.870000005</v>
      </c>
      <c r="F148" s="465">
        <f>+'0005'!F148</f>
        <v>-83475699.870000005</v>
      </c>
      <c r="G148" s="465">
        <f>+'0005'!G148</f>
        <v>-83475699.870000005</v>
      </c>
    </row>
    <row r="149" spans="1:7">
      <c r="A149" s="432" t="str">
        <f>+'0005'!A149</f>
        <v>4221</v>
      </c>
      <c r="B149" s="432" t="str">
        <f>+'0005'!B149</f>
        <v>*     4221     Transferencias Inter</v>
      </c>
      <c r="C149" s="465">
        <f>+'0005'!C149</f>
        <v>0</v>
      </c>
      <c r="D149" s="465">
        <f>+'0005'!D149</f>
        <v>2748526</v>
      </c>
      <c r="E149" s="465">
        <f>-'0005'!E149</f>
        <v>86224225.870000005</v>
      </c>
      <c r="F149" s="465">
        <f>+'0005'!F149</f>
        <v>-83475699.870000005</v>
      </c>
      <c r="G149" s="465">
        <f>+'0005'!G149</f>
        <v>-83475699.870000005</v>
      </c>
    </row>
    <row r="150" spans="1:7">
      <c r="A150" s="432" t="str">
        <f>+'0005'!A150</f>
        <v xml:space="preserve">422109101 </v>
      </c>
      <c r="B150" s="432" t="str">
        <f>+'0005'!B150</f>
        <v xml:space="preserve">      422109101  Servicios Personal</v>
      </c>
      <c r="C150" s="465">
        <f>+'0005'!C150</f>
        <v>0</v>
      </c>
      <c r="D150" s="465">
        <f>+'0005'!D150</f>
        <v>830172.23</v>
      </c>
      <c r="E150" s="465">
        <f>-'0005'!E150</f>
        <v>66754296.420000002</v>
      </c>
      <c r="F150" s="465">
        <f>+'0005'!F150</f>
        <v>-65924124.189999998</v>
      </c>
      <c r="G150" s="465">
        <f>+'0005'!G150</f>
        <v>-65924124.189999998</v>
      </c>
    </row>
    <row r="151" spans="1:7">
      <c r="A151" s="432" t="str">
        <f>+'0005'!A151</f>
        <v xml:space="preserve">422109102 </v>
      </c>
      <c r="B151" s="432" t="str">
        <f>+'0005'!B151</f>
        <v xml:space="preserve">      422109102  Mat y Suministros</v>
      </c>
      <c r="C151" s="465">
        <f>+'0005'!C151</f>
        <v>0</v>
      </c>
      <c r="D151" s="465">
        <f>+'0005'!D151</f>
        <v>360752.79</v>
      </c>
      <c r="E151" s="465">
        <f>-'0005'!E151</f>
        <v>2260191.36</v>
      </c>
      <c r="F151" s="465">
        <f>+'0005'!F151</f>
        <v>-1899438.57</v>
      </c>
      <c r="G151" s="465">
        <f>+'0005'!G151</f>
        <v>-1899438.57</v>
      </c>
    </row>
    <row r="152" spans="1:7">
      <c r="A152" s="432" t="str">
        <f>+'0005'!A152</f>
        <v xml:space="preserve">422109103 </v>
      </c>
      <c r="B152" s="432" t="str">
        <f>+'0005'!B152</f>
        <v xml:space="preserve">      422109103  Servicios Generale</v>
      </c>
      <c r="C152" s="465">
        <f>+'0005'!C152</f>
        <v>0</v>
      </c>
      <c r="D152" s="465">
        <f>+'0005'!D152</f>
        <v>1307600.98</v>
      </c>
      <c r="E152" s="465">
        <f>-'0005'!E152</f>
        <v>16959738.09</v>
      </c>
      <c r="F152" s="465">
        <f>+'0005'!F152</f>
        <v>-15652137.109999999</v>
      </c>
      <c r="G152" s="465">
        <f>+'0005'!G152</f>
        <v>-15652137.109999999</v>
      </c>
    </row>
    <row r="153" spans="1:7">
      <c r="A153" s="432" t="str">
        <f>+'0005'!A153</f>
        <v xml:space="preserve">422109107 </v>
      </c>
      <c r="B153" s="432" t="str">
        <f>+'0005'!B153</f>
        <v xml:space="preserve">      422109107  Inv. Financieras</v>
      </c>
      <c r="C153" s="465">
        <f>+'0005'!C153</f>
        <v>0</v>
      </c>
      <c r="D153" s="465">
        <f>+'0005'!D153</f>
        <v>250000</v>
      </c>
      <c r="E153" s="465">
        <f>-'0005'!E153</f>
        <v>250000</v>
      </c>
      <c r="F153" s="465">
        <f>+'0005'!F153</f>
        <v>0</v>
      </c>
      <c r="G153" s="465">
        <f>+'0005'!G153</f>
        <v>0</v>
      </c>
    </row>
    <row r="154" spans="1:7">
      <c r="A154" s="432" t="str">
        <f>+'0005'!A154</f>
        <v>5000</v>
      </c>
      <c r="B154" s="432" t="str">
        <f>+'0005'!B154</f>
        <v>****  5000     Gastos y Otras Pérdi</v>
      </c>
      <c r="C154" s="465">
        <f>+'0005'!C154</f>
        <v>0</v>
      </c>
      <c r="D154" s="465">
        <f>+'0005'!D154</f>
        <v>88825758.810000002</v>
      </c>
      <c r="E154" s="465">
        <f>-'0005'!E154</f>
        <v>2818991.59</v>
      </c>
      <c r="F154" s="465">
        <f>+'0005'!F154</f>
        <v>86006767.219999999</v>
      </c>
      <c r="G154" s="465">
        <f>+'0005'!G154</f>
        <v>86006767.219999999</v>
      </c>
    </row>
    <row r="155" spans="1:7">
      <c r="A155" s="432" t="str">
        <f>+'0005'!A155</f>
        <v>5100</v>
      </c>
      <c r="B155" s="432" t="str">
        <f>+'0005'!B155</f>
        <v>***   5100     Gastos de Funcionami</v>
      </c>
      <c r="C155" s="465">
        <f>+'0005'!C155</f>
        <v>0</v>
      </c>
      <c r="D155" s="465">
        <f>+'0005'!D155</f>
        <v>86294691.459999993</v>
      </c>
      <c r="E155" s="465">
        <f>-'0005'!E155</f>
        <v>2818991.59</v>
      </c>
      <c r="F155" s="465">
        <f>+'0005'!F155</f>
        <v>83475699.870000005</v>
      </c>
      <c r="G155" s="465">
        <f>+'0005'!G155</f>
        <v>83475699.870000005</v>
      </c>
    </row>
    <row r="156" spans="1:7">
      <c r="A156" s="432" t="str">
        <f>+'0005'!A156</f>
        <v>5110</v>
      </c>
      <c r="B156" s="432" t="str">
        <f>+'0005'!B156</f>
        <v>**    5110     Servicios Personales</v>
      </c>
      <c r="C156" s="465">
        <f>+'0005'!C156</f>
        <v>0</v>
      </c>
      <c r="D156" s="465">
        <f>+'0005'!D156</f>
        <v>68030264.340000004</v>
      </c>
      <c r="E156" s="465">
        <f>-'0005'!E156</f>
        <v>2106140.15</v>
      </c>
      <c r="F156" s="465">
        <f>+'0005'!F156</f>
        <v>65924124.189999998</v>
      </c>
      <c r="G156" s="465">
        <f>+'0005'!G156</f>
        <v>65924124.189999998</v>
      </c>
    </row>
    <row r="157" spans="1:7">
      <c r="A157" s="432" t="str">
        <f>+'0005'!A157</f>
        <v>5111</v>
      </c>
      <c r="B157" s="432" t="str">
        <f>+'0005'!B157</f>
        <v>*     5111     Rem. al Pers. de car</v>
      </c>
      <c r="C157" s="465">
        <f>+'0005'!C157</f>
        <v>0</v>
      </c>
      <c r="D157" s="465">
        <f>+'0005'!D157</f>
        <v>16023349.42</v>
      </c>
      <c r="E157" s="465">
        <f>-'0005'!E157</f>
        <v>602686.42000000004</v>
      </c>
      <c r="F157" s="465">
        <f>+'0005'!F157</f>
        <v>15420663</v>
      </c>
      <c r="G157" s="465">
        <f>+'0005'!G157</f>
        <v>15420663</v>
      </c>
    </row>
    <row r="158" spans="1:7">
      <c r="A158" s="432" t="str">
        <f>+'0005'!A158</f>
        <v xml:space="preserve">511101131 </v>
      </c>
      <c r="B158" s="432" t="str">
        <f>+'0005'!B158</f>
        <v xml:space="preserve">      511101131  Sueldos Base</v>
      </c>
      <c r="C158" s="465">
        <f>+'0005'!C158</f>
        <v>0</v>
      </c>
      <c r="D158" s="465">
        <f>+'0005'!D158</f>
        <v>16023349.42</v>
      </c>
      <c r="E158" s="465">
        <f>-'0005'!E158</f>
        <v>602686.42000000004</v>
      </c>
      <c r="F158" s="465">
        <f>+'0005'!F158</f>
        <v>15420663</v>
      </c>
      <c r="G158" s="465">
        <f>+'0005'!G158</f>
        <v>15420663</v>
      </c>
    </row>
    <row r="159" spans="1:7">
      <c r="A159" s="432" t="str">
        <f>+'0005'!A159</f>
        <v>5112</v>
      </c>
      <c r="B159" s="432" t="str">
        <f>+'0005'!B159</f>
        <v>*     5112     Rem. al Pers. de car</v>
      </c>
      <c r="C159" s="465">
        <f>+'0005'!C159</f>
        <v>0</v>
      </c>
      <c r="D159" s="465">
        <f>+'0005'!D159</f>
        <v>2555732.5299999998</v>
      </c>
      <c r="E159" s="465">
        <f>-'0005'!E159</f>
        <v>36195.089999999997</v>
      </c>
      <c r="F159" s="465">
        <f>+'0005'!F159</f>
        <v>2519537.44</v>
      </c>
      <c r="G159" s="465">
        <f>+'0005'!G159</f>
        <v>2519537.44</v>
      </c>
    </row>
    <row r="160" spans="1:7">
      <c r="A160" s="432" t="str">
        <f>+'0005'!A160</f>
        <v xml:space="preserve">511201212 </v>
      </c>
      <c r="B160" s="432" t="str">
        <f>+'0005'!B160</f>
        <v xml:space="preserve">      511201212  Honorarios asimila</v>
      </c>
      <c r="C160" s="465">
        <f>+'0005'!C160</f>
        <v>0</v>
      </c>
      <c r="D160" s="465">
        <f>+'0005'!D160</f>
        <v>2555732.5299999998</v>
      </c>
      <c r="E160" s="465">
        <f>-'0005'!E160</f>
        <v>36195.089999999997</v>
      </c>
      <c r="F160" s="465">
        <f>+'0005'!F160</f>
        <v>2519537.44</v>
      </c>
      <c r="G160" s="465">
        <f>+'0005'!G160</f>
        <v>2519537.44</v>
      </c>
    </row>
    <row r="161" spans="1:7">
      <c r="A161" s="432" t="str">
        <f>+'0005'!A161</f>
        <v>5113</v>
      </c>
      <c r="B161" s="432" t="str">
        <f>+'0005'!B161</f>
        <v>*     5113     Rem. Adicionales y E</v>
      </c>
      <c r="C161" s="465">
        <f>+'0005'!C161</f>
        <v>0</v>
      </c>
      <c r="D161" s="465">
        <f>+'0005'!D161</f>
        <v>7738140.6100000003</v>
      </c>
      <c r="E161" s="465">
        <f>-'0005'!E161</f>
        <v>9260.77</v>
      </c>
      <c r="F161" s="465">
        <f>+'0005'!F161</f>
        <v>7728879.8399999999</v>
      </c>
      <c r="G161" s="465">
        <f>+'0005'!G161</f>
        <v>7728879.8399999999</v>
      </c>
    </row>
    <row r="162" spans="1:7">
      <c r="A162" s="432" t="str">
        <f>+'0005'!A162</f>
        <v xml:space="preserve">511301311 </v>
      </c>
      <c r="B162" s="432" t="str">
        <f>+'0005'!B162</f>
        <v xml:space="preserve">      511301311  Prima quinquenal</v>
      </c>
      <c r="C162" s="465">
        <f>+'0005'!C162</f>
        <v>0</v>
      </c>
      <c r="D162" s="465">
        <f>+'0005'!D162</f>
        <v>34919.68</v>
      </c>
      <c r="E162" s="465">
        <f>-'0005'!E162</f>
        <v>1541.14</v>
      </c>
      <c r="F162" s="465">
        <f>+'0005'!F162</f>
        <v>33378.54</v>
      </c>
      <c r="G162" s="465">
        <f>+'0005'!G162</f>
        <v>33378.54</v>
      </c>
    </row>
    <row r="163" spans="1:7">
      <c r="A163" s="432" t="str">
        <f>+'0005'!A163</f>
        <v xml:space="preserve">511301321 </v>
      </c>
      <c r="B163" s="432" t="str">
        <f>+'0005'!B163</f>
        <v xml:space="preserve">      511301321  Prima Vacacional</v>
      </c>
      <c r="C163" s="465">
        <f>+'0005'!C163</f>
        <v>0</v>
      </c>
      <c r="D163" s="465">
        <f>+'0005'!D163</f>
        <v>1365731.7</v>
      </c>
      <c r="E163" s="465">
        <f>-'0005'!E163</f>
        <v>0</v>
      </c>
      <c r="F163" s="465">
        <f>+'0005'!F163</f>
        <v>1365731.7</v>
      </c>
      <c r="G163" s="465">
        <f>+'0005'!G163</f>
        <v>1365731.7</v>
      </c>
    </row>
    <row r="164" spans="1:7">
      <c r="A164" s="432" t="str">
        <f>+'0005'!A164</f>
        <v xml:space="preserve">511301323 </v>
      </c>
      <c r="B164" s="432" t="str">
        <f>+'0005'!B164</f>
        <v xml:space="preserve">      511301323  Gratif fin de año</v>
      </c>
      <c r="C164" s="465">
        <f>+'0005'!C164</f>
        <v>0</v>
      </c>
      <c r="D164" s="465">
        <f>+'0005'!D164</f>
        <v>6000623.5800000001</v>
      </c>
      <c r="E164" s="465">
        <f>-'0005'!E164</f>
        <v>0</v>
      </c>
      <c r="F164" s="465">
        <f>+'0005'!F164</f>
        <v>6000623.5800000001</v>
      </c>
      <c r="G164" s="465">
        <f>+'0005'!G164</f>
        <v>6000623.5800000001</v>
      </c>
    </row>
    <row r="165" spans="1:7">
      <c r="A165" s="432" t="str">
        <f>+'0005'!A165</f>
        <v xml:space="preserve">511301342 </v>
      </c>
      <c r="B165" s="432" t="str">
        <f>+'0005'!B165</f>
        <v xml:space="preserve">      511301342  Compens Servicios</v>
      </c>
      <c r="C165" s="465">
        <f>+'0005'!C165</f>
        <v>0</v>
      </c>
      <c r="D165" s="465">
        <f>+'0005'!D165</f>
        <v>336865.65</v>
      </c>
      <c r="E165" s="465">
        <f>-'0005'!E165</f>
        <v>7719.63</v>
      </c>
      <c r="F165" s="465">
        <f>+'0005'!F165</f>
        <v>329146.02</v>
      </c>
      <c r="G165" s="465">
        <f>+'0005'!G165</f>
        <v>329146.02</v>
      </c>
    </row>
    <row r="166" spans="1:7">
      <c r="A166" s="432" t="str">
        <f>+'0005'!A166</f>
        <v>5114</v>
      </c>
      <c r="B166" s="432" t="str">
        <f>+'0005'!B166</f>
        <v>*     5114     Seguridad Social</v>
      </c>
      <c r="C166" s="465">
        <f>+'0005'!C166</f>
        <v>0</v>
      </c>
      <c r="D166" s="465">
        <f>+'0005'!D166</f>
        <v>4790018.96</v>
      </c>
      <c r="E166" s="465">
        <f>-'0005'!E166</f>
        <v>186793.72</v>
      </c>
      <c r="F166" s="465">
        <f>+'0005'!F166</f>
        <v>4603225.24</v>
      </c>
      <c r="G166" s="465">
        <f>+'0005'!G166</f>
        <v>4603225.24</v>
      </c>
    </row>
    <row r="167" spans="1:7">
      <c r="A167" s="432" t="str">
        <f>+'0005'!A167</f>
        <v xml:space="preserve">511401411 </v>
      </c>
      <c r="B167" s="432" t="str">
        <f>+'0005'!B167</f>
        <v xml:space="preserve">      511401411  Aport al ISSEG</v>
      </c>
      <c r="C167" s="465">
        <f>+'0005'!C167</f>
        <v>0</v>
      </c>
      <c r="D167" s="465">
        <f>+'0005'!D167</f>
        <v>3442397.5</v>
      </c>
      <c r="E167" s="465">
        <f>-'0005'!E167</f>
        <v>127679.78</v>
      </c>
      <c r="F167" s="465">
        <f>+'0005'!F167</f>
        <v>3314717.72</v>
      </c>
      <c r="G167" s="465">
        <f>+'0005'!G167</f>
        <v>3314717.72</v>
      </c>
    </row>
    <row r="168" spans="1:7">
      <c r="A168" s="432" t="str">
        <f>+'0005'!A168</f>
        <v xml:space="preserve">511401412 </v>
      </c>
      <c r="B168" s="432" t="str">
        <f>+'0005'!B168</f>
        <v xml:space="preserve">      511401412  Cuotas al ISSSTE</v>
      </c>
      <c r="C168" s="465">
        <f>+'0005'!C168</f>
        <v>0</v>
      </c>
      <c r="D168" s="465">
        <f>+'0005'!D168</f>
        <v>1058655.97</v>
      </c>
      <c r="E168" s="465">
        <f>-'0005'!E168</f>
        <v>39949.94</v>
      </c>
      <c r="F168" s="465">
        <f>+'0005'!F168</f>
        <v>1018706.03</v>
      </c>
      <c r="G168" s="465">
        <f>+'0005'!G168</f>
        <v>1018706.03</v>
      </c>
    </row>
    <row r="169" spans="1:7">
      <c r="A169" s="432" t="str">
        <f>+'0005'!A169</f>
        <v xml:space="preserve">511401441 </v>
      </c>
      <c r="B169" s="432" t="str">
        <f>+'0005'!B169</f>
        <v xml:space="preserve">      511401441  Seguros</v>
      </c>
      <c r="C169" s="465">
        <f>+'0005'!C169</f>
        <v>0</v>
      </c>
      <c r="D169" s="465">
        <f>+'0005'!D169</f>
        <v>288965.49</v>
      </c>
      <c r="E169" s="465">
        <f>-'0005'!E169</f>
        <v>19164</v>
      </c>
      <c r="F169" s="465">
        <f>+'0005'!F169</f>
        <v>269801.49</v>
      </c>
      <c r="G169" s="465">
        <f>+'0005'!G169</f>
        <v>269801.49</v>
      </c>
    </row>
    <row r="170" spans="1:7">
      <c r="A170" s="432" t="str">
        <f>+'0005'!A170</f>
        <v>5115</v>
      </c>
      <c r="B170" s="432" t="str">
        <f>+'0005'!B170</f>
        <v>*     5115     Otras Prestaciones S</v>
      </c>
      <c r="C170" s="465">
        <f>+'0005'!C170</f>
        <v>0</v>
      </c>
      <c r="D170" s="465">
        <f>+'0005'!D170</f>
        <v>35576833.539999999</v>
      </c>
      <c r="E170" s="465">
        <f>-'0005'!E170</f>
        <v>1270542.6499999999</v>
      </c>
      <c r="F170" s="465">
        <f>+'0005'!F170</f>
        <v>34306290.890000001</v>
      </c>
      <c r="G170" s="465">
        <f>+'0005'!G170</f>
        <v>34306290.890000001</v>
      </c>
    </row>
    <row r="171" spans="1:7">
      <c r="A171" s="432" t="str">
        <f>+'0005'!A171</f>
        <v xml:space="preserve">511501531 </v>
      </c>
      <c r="B171" s="432" t="str">
        <f>+'0005'!B171</f>
        <v xml:space="preserve">      511501531  Prestaciones Retir</v>
      </c>
      <c r="C171" s="465">
        <f>+'0005'!C171</f>
        <v>0</v>
      </c>
      <c r="D171" s="465">
        <f>+'0005'!D171</f>
        <v>1612956.6</v>
      </c>
      <c r="E171" s="465">
        <f>-'0005'!E171</f>
        <v>0</v>
      </c>
      <c r="F171" s="465">
        <f>+'0005'!F171</f>
        <v>1612956.6</v>
      </c>
      <c r="G171" s="465">
        <f>+'0005'!G171</f>
        <v>1612956.6</v>
      </c>
    </row>
    <row r="172" spans="1:7">
      <c r="A172" s="432" t="str">
        <f>+'0005'!A172</f>
        <v xml:space="preserve">511501541 </v>
      </c>
      <c r="B172" s="432" t="str">
        <f>+'0005'!B172</f>
        <v xml:space="preserve">      511501541  Prestaciones CGT</v>
      </c>
      <c r="C172" s="465">
        <f>+'0005'!C172</f>
        <v>0</v>
      </c>
      <c r="D172" s="465">
        <f>+'0005'!D172</f>
        <v>16169371.92</v>
      </c>
      <c r="E172" s="465">
        <f>-'0005'!E172</f>
        <v>610456.56000000006</v>
      </c>
      <c r="F172" s="465">
        <f>+'0005'!F172</f>
        <v>15558915.359999999</v>
      </c>
      <c r="G172" s="465">
        <f>+'0005'!G172</f>
        <v>15558915.359999999</v>
      </c>
    </row>
    <row r="173" spans="1:7">
      <c r="A173" s="432" t="str">
        <f>+'0005'!A173</f>
        <v xml:space="preserve">511501591 </v>
      </c>
      <c r="B173" s="432" t="str">
        <f>+'0005'!B173</f>
        <v xml:space="preserve">      511501591  Asign Adic sueldo</v>
      </c>
      <c r="C173" s="465">
        <f>+'0005'!C173</f>
        <v>0</v>
      </c>
      <c r="D173" s="465">
        <f>+'0005'!D173</f>
        <v>17451992.48</v>
      </c>
      <c r="E173" s="465">
        <f>-'0005'!E173</f>
        <v>649795.13</v>
      </c>
      <c r="F173" s="465">
        <f>+'0005'!F173</f>
        <v>16802197.350000001</v>
      </c>
      <c r="G173" s="465">
        <f>+'0005'!G173</f>
        <v>16802197.350000001</v>
      </c>
    </row>
    <row r="174" spans="1:7">
      <c r="A174" s="432" t="str">
        <f>+'0005'!A174</f>
        <v xml:space="preserve">511501592 </v>
      </c>
      <c r="B174" s="432" t="str">
        <f>+'0005'!B174</f>
        <v xml:space="preserve">      511501592  Otras prestaciones</v>
      </c>
      <c r="C174" s="465">
        <f>+'0005'!C174</f>
        <v>0</v>
      </c>
      <c r="D174" s="465">
        <f>+'0005'!D174</f>
        <v>342512.54</v>
      </c>
      <c r="E174" s="465">
        <f>-'0005'!E174</f>
        <v>10290.959999999999</v>
      </c>
      <c r="F174" s="465">
        <f>+'0005'!F174</f>
        <v>332221.58</v>
      </c>
      <c r="G174" s="465">
        <f>+'0005'!G174</f>
        <v>332221.58</v>
      </c>
    </row>
    <row r="175" spans="1:7">
      <c r="A175" s="432" t="str">
        <f>+'0005'!A175</f>
        <v>5116</v>
      </c>
      <c r="B175" s="432" t="str">
        <f>+'0005'!B175</f>
        <v>*     5116     Pago de estímulos</v>
      </c>
      <c r="C175" s="465">
        <f>+'0005'!C175</f>
        <v>0</v>
      </c>
      <c r="D175" s="465">
        <f>+'0005'!D175</f>
        <v>1346189.28</v>
      </c>
      <c r="E175" s="465">
        <f>-'0005'!E175</f>
        <v>661.5</v>
      </c>
      <c r="F175" s="465">
        <f>+'0005'!F175</f>
        <v>1345527.78</v>
      </c>
      <c r="G175" s="465">
        <f>+'0005'!G175</f>
        <v>1345527.78</v>
      </c>
    </row>
    <row r="176" spans="1:7">
      <c r="A176" s="432" t="str">
        <f>+'0005'!A176</f>
        <v xml:space="preserve">511601711 </v>
      </c>
      <c r="B176" s="432" t="str">
        <f>+'0005'!B176</f>
        <v xml:space="preserve">      511601711  Estímulos prod y e</v>
      </c>
      <c r="C176" s="465">
        <f>+'0005'!C176</f>
        <v>0</v>
      </c>
      <c r="D176" s="465">
        <f>+'0005'!D176</f>
        <v>1317362.1599999999</v>
      </c>
      <c r="E176" s="465">
        <f>-'0005'!E176</f>
        <v>661.5</v>
      </c>
      <c r="F176" s="465">
        <f>+'0005'!F176</f>
        <v>1316700.6599999999</v>
      </c>
      <c r="G176" s="465">
        <f>+'0005'!G176</f>
        <v>1316700.6599999999</v>
      </c>
    </row>
    <row r="177" spans="1:7">
      <c r="A177" s="432" t="str">
        <f>+'0005'!A177</f>
        <v xml:space="preserve">511601712 </v>
      </c>
      <c r="B177" s="432" t="str">
        <f>+'0005'!B177</f>
        <v xml:space="preserve">      511601712  Est al personal op</v>
      </c>
      <c r="C177" s="465">
        <f>+'0005'!C177</f>
        <v>0</v>
      </c>
      <c r="D177" s="465">
        <f>+'0005'!D177</f>
        <v>28827.119999999999</v>
      </c>
      <c r="E177" s="465">
        <f>-'0005'!E177</f>
        <v>0</v>
      </c>
      <c r="F177" s="465">
        <f>+'0005'!F177</f>
        <v>28827.119999999999</v>
      </c>
      <c r="G177" s="465">
        <f>+'0005'!G177</f>
        <v>28827.119999999999</v>
      </c>
    </row>
    <row r="178" spans="1:7">
      <c r="A178" s="432" t="str">
        <f>+'0005'!A178</f>
        <v>5120</v>
      </c>
      <c r="B178" s="432" t="str">
        <f>+'0005'!B178</f>
        <v>**    5120     Materiales y Suminis</v>
      </c>
      <c r="C178" s="465">
        <f>+'0005'!C178</f>
        <v>0</v>
      </c>
      <c r="D178" s="465">
        <f>+'0005'!D178</f>
        <v>1925624.07</v>
      </c>
      <c r="E178" s="465">
        <f>-'0005'!E178</f>
        <v>26185.5</v>
      </c>
      <c r="F178" s="465">
        <f>+'0005'!F178</f>
        <v>1899438.57</v>
      </c>
      <c r="G178" s="465">
        <f>+'0005'!G178</f>
        <v>1899438.57</v>
      </c>
    </row>
    <row r="179" spans="1:7">
      <c r="A179" s="432" t="str">
        <f>+'0005'!A179</f>
        <v>5121</v>
      </c>
      <c r="B179" s="432" t="str">
        <f>+'0005'!B179</f>
        <v>*     5121     Materiales de Admini</v>
      </c>
      <c r="C179" s="465">
        <f>+'0005'!C179</f>
        <v>0</v>
      </c>
      <c r="D179" s="465">
        <f>+'0005'!D179</f>
        <v>900332.04</v>
      </c>
      <c r="E179" s="465">
        <f>-'0005'!E179</f>
        <v>0</v>
      </c>
      <c r="F179" s="465">
        <f>+'0005'!F179</f>
        <v>900332.04</v>
      </c>
      <c r="G179" s="465">
        <f>+'0005'!G179</f>
        <v>900332.04</v>
      </c>
    </row>
    <row r="180" spans="1:7">
      <c r="A180" s="432" t="str">
        <f>+'0005'!A180</f>
        <v xml:space="preserve">512102111 </v>
      </c>
      <c r="B180" s="432" t="str">
        <f>+'0005'!B180</f>
        <v xml:space="preserve">      512102111  Mat y útiles ofici</v>
      </c>
      <c r="C180" s="465">
        <f>+'0005'!C180</f>
        <v>0</v>
      </c>
      <c r="D180" s="465">
        <f>+'0005'!D180</f>
        <v>256155.42</v>
      </c>
      <c r="E180" s="465">
        <f>-'0005'!E180</f>
        <v>0</v>
      </c>
      <c r="F180" s="465">
        <f>+'0005'!F180</f>
        <v>256155.42</v>
      </c>
      <c r="G180" s="465">
        <f>+'0005'!G180</f>
        <v>256155.42</v>
      </c>
    </row>
    <row r="181" spans="1:7">
      <c r="A181" s="432" t="str">
        <f>+'0005'!A181</f>
        <v xml:space="preserve">512102112 </v>
      </c>
      <c r="B181" s="432" t="str">
        <f>+'0005'!B181</f>
        <v xml:space="preserve">      512102112  Equipos menores of</v>
      </c>
      <c r="C181" s="465">
        <f>+'0005'!C181</f>
        <v>0</v>
      </c>
      <c r="D181" s="465">
        <f>+'0005'!D181</f>
        <v>25295.599999999999</v>
      </c>
      <c r="E181" s="465">
        <f>-'0005'!E181</f>
        <v>0</v>
      </c>
      <c r="F181" s="465">
        <f>+'0005'!F181</f>
        <v>25295.599999999999</v>
      </c>
      <c r="G181" s="465">
        <f>+'0005'!G181</f>
        <v>25295.599999999999</v>
      </c>
    </row>
    <row r="182" spans="1:7">
      <c r="A182" s="432" t="str">
        <f>+'0005'!A182</f>
        <v xml:space="preserve">512102141 </v>
      </c>
      <c r="B182" s="432" t="str">
        <f>+'0005'!B182</f>
        <v xml:space="preserve">      512102141  Mat y útiles Tec I</v>
      </c>
      <c r="C182" s="465">
        <f>+'0005'!C182</f>
        <v>0</v>
      </c>
      <c r="D182" s="465">
        <f>+'0005'!D182</f>
        <v>383130.03</v>
      </c>
      <c r="E182" s="465">
        <f>-'0005'!E182</f>
        <v>0</v>
      </c>
      <c r="F182" s="465">
        <f>+'0005'!F182</f>
        <v>383130.03</v>
      </c>
      <c r="G182" s="465">
        <f>+'0005'!G182</f>
        <v>383130.03</v>
      </c>
    </row>
    <row r="183" spans="1:7">
      <c r="A183" s="432" t="str">
        <f>+'0005'!A183</f>
        <v xml:space="preserve">512102151 </v>
      </c>
      <c r="B183" s="432" t="str">
        <f>+'0005'!B183</f>
        <v xml:space="preserve">      512102151  Mat impreso  e inf</v>
      </c>
      <c r="C183" s="465">
        <f>+'0005'!C183</f>
        <v>0</v>
      </c>
      <c r="D183" s="465">
        <f>+'0005'!D183</f>
        <v>77563</v>
      </c>
      <c r="E183" s="465">
        <f>-'0005'!E183</f>
        <v>0</v>
      </c>
      <c r="F183" s="465">
        <f>+'0005'!F183</f>
        <v>77563</v>
      </c>
      <c r="G183" s="465">
        <f>+'0005'!G183</f>
        <v>77563</v>
      </c>
    </row>
    <row r="184" spans="1:7">
      <c r="A184" s="432" t="str">
        <f>+'0005'!A184</f>
        <v xml:space="preserve">512102161 </v>
      </c>
      <c r="B184" s="432" t="str">
        <f>+'0005'!B184</f>
        <v xml:space="preserve">      512102161  Material de limpie</v>
      </c>
      <c r="C184" s="465">
        <f>+'0005'!C184</f>
        <v>0</v>
      </c>
      <c r="D184" s="465">
        <f>+'0005'!D184</f>
        <v>158187.99</v>
      </c>
      <c r="E184" s="465">
        <f>-'0005'!E184</f>
        <v>0</v>
      </c>
      <c r="F184" s="465">
        <f>+'0005'!F184</f>
        <v>158187.99</v>
      </c>
      <c r="G184" s="465">
        <f>+'0005'!G184</f>
        <v>158187.99</v>
      </c>
    </row>
    <row r="185" spans="1:7">
      <c r="A185" s="432" t="str">
        <f>+'0005'!A185</f>
        <v>5122</v>
      </c>
      <c r="B185" s="432" t="str">
        <f>+'0005'!B185</f>
        <v>*     5122     Alimentos y Utensili</v>
      </c>
      <c r="C185" s="465">
        <f>+'0005'!C185</f>
        <v>0</v>
      </c>
      <c r="D185" s="465">
        <f>+'0005'!D185</f>
        <v>16466.810000000001</v>
      </c>
      <c r="E185" s="465">
        <f>-'0005'!E185</f>
        <v>0</v>
      </c>
      <c r="F185" s="465">
        <f>+'0005'!F185</f>
        <v>16466.810000000001</v>
      </c>
      <c r="G185" s="465">
        <f>+'0005'!G185</f>
        <v>16466.810000000001</v>
      </c>
    </row>
    <row r="186" spans="1:7">
      <c r="A186" s="432" t="str">
        <f>+'0005'!A186</f>
        <v xml:space="preserve">512202212 </v>
      </c>
      <c r="B186" s="432" t="str">
        <f>+'0005'!B186</f>
        <v xml:space="preserve">      512202212  Prod Alimen instal</v>
      </c>
      <c r="C186" s="465">
        <f>+'0005'!C186</f>
        <v>0</v>
      </c>
      <c r="D186" s="465">
        <f>+'0005'!D186</f>
        <v>16466.810000000001</v>
      </c>
      <c r="E186" s="465">
        <f>-'0005'!E186</f>
        <v>0</v>
      </c>
      <c r="F186" s="465">
        <f>+'0005'!F186</f>
        <v>16466.810000000001</v>
      </c>
      <c r="G186" s="465">
        <f>+'0005'!G186</f>
        <v>16466.810000000001</v>
      </c>
    </row>
    <row r="187" spans="1:7">
      <c r="A187" s="432" t="str">
        <f>+'0005'!A187</f>
        <v>5124</v>
      </c>
      <c r="B187" s="432" t="str">
        <f>+'0005'!B187</f>
        <v>*     5124     Mat. y Art. de Const</v>
      </c>
      <c r="C187" s="465">
        <f>+'0005'!C187</f>
        <v>0</v>
      </c>
      <c r="D187" s="465">
        <f>+'0005'!D187</f>
        <v>31420.17</v>
      </c>
      <c r="E187" s="465">
        <f>-'0005'!E187</f>
        <v>0</v>
      </c>
      <c r="F187" s="465">
        <f>+'0005'!F187</f>
        <v>31420.17</v>
      </c>
      <c r="G187" s="465">
        <f>+'0005'!G187</f>
        <v>31420.17</v>
      </c>
    </row>
    <row r="188" spans="1:7">
      <c r="A188" s="432" t="str">
        <f>+'0005'!A188</f>
        <v xml:space="preserve">512402461 </v>
      </c>
      <c r="B188" s="432" t="str">
        <f>+'0005'!B188</f>
        <v xml:space="preserve">      512402461  Mat Eléctrico</v>
      </c>
      <c r="C188" s="465">
        <f>+'0005'!C188</f>
        <v>0</v>
      </c>
      <c r="D188" s="465">
        <f>+'0005'!D188</f>
        <v>925.6</v>
      </c>
      <c r="E188" s="465">
        <f>-'0005'!E188</f>
        <v>0</v>
      </c>
      <c r="F188" s="465">
        <f>+'0005'!F188</f>
        <v>925.6</v>
      </c>
      <c r="G188" s="465">
        <f>+'0005'!G188</f>
        <v>925.6</v>
      </c>
    </row>
    <row r="189" spans="1:7">
      <c r="A189" s="432" t="str">
        <f>+'0005'!A189</f>
        <v xml:space="preserve">512402481 </v>
      </c>
      <c r="B189" s="432" t="str">
        <f>+'0005'!B189</f>
        <v xml:space="preserve">      512402481  Materiales complem</v>
      </c>
      <c r="C189" s="465">
        <f>+'0005'!C189</f>
        <v>0</v>
      </c>
      <c r="D189" s="465">
        <f>+'0005'!D189</f>
        <v>15736.17</v>
      </c>
      <c r="E189" s="465">
        <f>-'0005'!E189</f>
        <v>0</v>
      </c>
      <c r="F189" s="465">
        <f>+'0005'!F189</f>
        <v>15736.17</v>
      </c>
      <c r="G189" s="465">
        <f>+'0005'!G189</f>
        <v>15736.17</v>
      </c>
    </row>
    <row r="190" spans="1:7">
      <c r="A190" s="432" t="str">
        <f>+'0005'!A190</f>
        <v xml:space="preserve">512402491 </v>
      </c>
      <c r="B190" s="432" t="str">
        <f>+'0005'!B190</f>
        <v xml:space="preserve">      512402491  Materiales diverso</v>
      </c>
      <c r="C190" s="465">
        <f>+'0005'!C190</f>
        <v>0</v>
      </c>
      <c r="D190" s="465">
        <f>+'0005'!D190</f>
        <v>14758.4</v>
      </c>
      <c r="E190" s="465">
        <f>-'0005'!E190</f>
        <v>0</v>
      </c>
      <c r="F190" s="465">
        <f>+'0005'!F190</f>
        <v>14758.4</v>
      </c>
      <c r="G190" s="465">
        <f>+'0005'!G190</f>
        <v>14758.4</v>
      </c>
    </row>
    <row r="191" spans="1:7">
      <c r="A191" s="432" t="str">
        <f>+'0005'!A191</f>
        <v>5125</v>
      </c>
      <c r="B191" s="432" t="str">
        <f>+'0005'!B191</f>
        <v>*     5125     Productos Químicos,</v>
      </c>
      <c r="C191" s="465">
        <f>+'0005'!C191</f>
        <v>0</v>
      </c>
      <c r="D191" s="465">
        <f>+'0005'!D191</f>
        <v>1564.5</v>
      </c>
      <c r="E191" s="465">
        <f>-'0005'!E191</f>
        <v>0</v>
      </c>
      <c r="F191" s="465">
        <f>+'0005'!F191</f>
        <v>1564.5</v>
      </c>
      <c r="G191" s="465">
        <f>+'0005'!G191</f>
        <v>1564.5</v>
      </c>
    </row>
    <row r="192" spans="1:7">
      <c r="A192" s="432" t="str">
        <f>+'0005'!A192</f>
        <v xml:space="preserve">512502531 </v>
      </c>
      <c r="B192" s="432" t="str">
        <f>+'0005'!B192</f>
        <v xml:space="preserve">      512502531  Medicinas y produc</v>
      </c>
      <c r="C192" s="465">
        <f>+'0005'!C192</f>
        <v>0</v>
      </c>
      <c r="D192" s="465">
        <f>+'0005'!D192</f>
        <v>1564.5</v>
      </c>
      <c r="E192" s="465">
        <f>-'0005'!E192</f>
        <v>0</v>
      </c>
      <c r="F192" s="465">
        <f>+'0005'!F192</f>
        <v>1564.5</v>
      </c>
      <c r="G192" s="465">
        <f>+'0005'!G192</f>
        <v>1564.5</v>
      </c>
    </row>
    <row r="193" spans="1:7">
      <c r="A193" s="432" t="str">
        <f>+'0005'!A193</f>
        <v>5126</v>
      </c>
      <c r="B193" s="432" t="str">
        <f>+'0005'!B193</f>
        <v>*     5126     Combustibles, Lubric</v>
      </c>
      <c r="C193" s="465">
        <f>+'0005'!C193</f>
        <v>0</v>
      </c>
      <c r="D193" s="465">
        <f>+'0005'!D193</f>
        <v>802967.54</v>
      </c>
      <c r="E193" s="465">
        <f>-'0005'!E193</f>
        <v>26185.5</v>
      </c>
      <c r="F193" s="465">
        <f>+'0005'!F193</f>
        <v>776782.04</v>
      </c>
      <c r="G193" s="465">
        <f>+'0005'!G193</f>
        <v>776782.04</v>
      </c>
    </row>
    <row r="194" spans="1:7">
      <c r="A194" s="432" t="str">
        <f>+'0005'!A194</f>
        <v xml:space="preserve">512602612 </v>
      </c>
      <c r="B194" s="432" t="str">
        <f>+'0005'!B194</f>
        <v xml:space="preserve">      512602612  Combus p Serv pub</v>
      </c>
      <c r="C194" s="465">
        <f>+'0005'!C194</f>
        <v>0</v>
      </c>
      <c r="D194" s="465">
        <f>+'0005'!D194</f>
        <v>802967.54</v>
      </c>
      <c r="E194" s="465">
        <f>-'0005'!E194</f>
        <v>26185.5</v>
      </c>
      <c r="F194" s="465">
        <f>+'0005'!F194</f>
        <v>776782.04</v>
      </c>
      <c r="G194" s="465">
        <f>+'0005'!G194</f>
        <v>776782.04</v>
      </c>
    </row>
    <row r="195" spans="1:7">
      <c r="A195" s="432" t="str">
        <f>+'0005'!A195</f>
        <v>5127</v>
      </c>
      <c r="B195" s="432" t="str">
        <f>+'0005'!B195</f>
        <v>*     5127     Vestuario, Blancos,</v>
      </c>
      <c r="C195" s="465">
        <f>+'0005'!C195</f>
        <v>0</v>
      </c>
      <c r="D195" s="465">
        <f>+'0005'!D195</f>
        <v>82033.850000000006</v>
      </c>
      <c r="E195" s="465">
        <f>-'0005'!E195</f>
        <v>0</v>
      </c>
      <c r="F195" s="465">
        <f>+'0005'!F195</f>
        <v>82033.850000000006</v>
      </c>
      <c r="G195" s="465">
        <f>+'0005'!G195</f>
        <v>82033.850000000006</v>
      </c>
    </row>
    <row r="196" spans="1:7">
      <c r="A196" s="432" t="str">
        <f>+'0005'!A196</f>
        <v xml:space="preserve">512702711 </v>
      </c>
      <c r="B196" s="432" t="str">
        <f>+'0005'!B196</f>
        <v xml:space="preserve">      512702711  Vestuario y unifor</v>
      </c>
      <c r="C196" s="465">
        <f>+'0005'!C196</f>
        <v>0</v>
      </c>
      <c r="D196" s="465">
        <f>+'0005'!D196</f>
        <v>82033.850000000006</v>
      </c>
      <c r="E196" s="465">
        <f>-'0005'!E196</f>
        <v>0</v>
      </c>
      <c r="F196" s="465">
        <f>+'0005'!F196</f>
        <v>82033.850000000006</v>
      </c>
      <c r="G196" s="465">
        <f>+'0005'!G196</f>
        <v>82033.850000000006</v>
      </c>
    </row>
    <row r="197" spans="1:7">
      <c r="A197" s="432" t="str">
        <f>+'0005'!A197</f>
        <v>5129</v>
      </c>
      <c r="B197" s="432" t="str">
        <f>+'0005'!B197</f>
        <v>*     5129     Herramientas, Refacc</v>
      </c>
      <c r="C197" s="465">
        <f>+'0005'!C197</f>
        <v>0</v>
      </c>
      <c r="D197" s="465">
        <f>+'0005'!D197</f>
        <v>90839.16</v>
      </c>
      <c r="E197" s="465">
        <f>-'0005'!E197</f>
        <v>0</v>
      </c>
      <c r="F197" s="465">
        <f>+'0005'!F197</f>
        <v>90839.16</v>
      </c>
      <c r="G197" s="465">
        <f>+'0005'!G197</f>
        <v>90839.16</v>
      </c>
    </row>
    <row r="198" spans="1:7">
      <c r="A198" s="432" t="str">
        <f>+'0005'!A198</f>
        <v xml:space="preserve">512902911 </v>
      </c>
      <c r="B198" s="432" t="str">
        <f>+'0005'!B198</f>
        <v xml:space="preserve">      512902911  Herramientas menor</v>
      </c>
      <c r="C198" s="465">
        <f>+'0005'!C198</f>
        <v>0</v>
      </c>
      <c r="D198" s="465">
        <f>+'0005'!D198</f>
        <v>7749.35</v>
      </c>
      <c r="E198" s="465">
        <f>-'0005'!E198</f>
        <v>0</v>
      </c>
      <c r="F198" s="465">
        <f>+'0005'!F198</f>
        <v>7749.35</v>
      </c>
      <c r="G198" s="465">
        <f>+'0005'!G198</f>
        <v>7749.35</v>
      </c>
    </row>
    <row r="199" spans="1:7">
      <c r="A199" s="432" t="str">
        <f>+'0005'!A199</f>
        <v xml:space="preserve">512902921 </v>
      </c>
      <c r="B199" s="432" t="str">
        <f>+'0005'!B199</f>
        <v xml:space="preserve">      512902921  Ref y acc menores</v>
      </c>
      <c r="C199" s="465">
        <f>+'0005'!C199</f>
        <v>0</v>
      </c>
      <c r="D199" s="465">
        <f>+'0005'!D199</f>
        <v>1801.01</v>
      </c>
      <c r="E199" s="465">
        <f>-'0005'!E199</f>
        <v>0</v>
      </c>
      <c r="F199" s="465">
        <f>+'0005'!F199</f>
        <v>1801.01</v>
      </c>
      <c r="G199" s="465">
        <f>+'0005'!G199</f>
        <v>1801.01</v>
      </c>
    </row>
    <row r="200" spans="1:7">
      <c r="A200" s="432" t="str">
        <f>+'0005'!A200</f>
        <v xml:space="preserve">512902941 </v>
      </c>
      <c r="B200" s="432" t="str">
        <f>+'0005'!B200</f>
        <v xml:space="preserve">      512902941  Ref Eq Cómputo</v>
      </c>
      <c r="C200" s="465">
        <f>+'0005'!C200</f>
        <v>0</v>
      </c>
      <c r="D200" s="465">
        <f>+'0005'!D200</f>
        <v>81288.800000000003</v>
      </c>
      <c r="E200" s="465">
        <f>-'0005'!E200</f>
        <v>0</v>
      </c>
      <c r="F200" s="465">
        <f>+'0005'!F200</f>
        <v>81288.800000000003</v>
      </c>
      <c r="G200" s="465">
        <f>+'0005'!G200</f>
        <v>81288.800000000003</v>
      </c>
    </row>
    <row r="201" spans="1:7">
      <c r="A201" s="432" t="str">
        <f>+'0005'!A201</f>
        <v>5130</v>
      </c>
      <c r="B201" s="432" t="str">
        <f>+'0005'!B201</f>
        <v>**    5130     Servicios Generales</v>
      </c>
      <c r="C201" s="465">
        <f>+'0005'!C201</f>
        <v>0</v>
      </c>
      <c r="D201" s="465">
        <f>+'0005'!D201</f>
        <v>16338803.050000001</v>
      </c>
      <c r="E201" s="465">
        <f>-'0005'!E201</f>
        <v>686665.94</v>
      </c>
      <c r="F201" s="465">
        <f>+'0005'!F201</f>
        <v>15652137.109999999</v>
      </c>
      <c r="G201" s="465">
        <f>+'0005'!G201</f>
        <v>15652137.109999999</v>
      </c>
    </row>
    <row r="202" spans="1:7">
      <c r="A202" s="432" t="str">
        <f>+'0005'!A202</f>
        <v>5131</v>
      </c>
      <c r="B202" s="432" t="str">
        <f>+'0005'!B202</f>
        <v>*     5131     Servicios Básicos</v>
      </c>
      <c r="C202" s="465">
        <f>+'0005'!C202</f>
        <v>0</v>
      </c>
      <c r="D202" s="465">
        <f>+'0005'!D202</f>
        <v>1084084.82</v>
      </c>
      <c r="E202" s="465">
        <f>-'0005'!E202</f>
        <v>86631</v>
      </c>
      <c r="F202" s="465">
        <f>+'0005'!F202</f>
        <v>997453.82</v>
      </c>
      <c r="G202" s="465">
        <f>+'0005'!G202</f>
        <v>997453.82</v>
      </c>
    </row>
    <row r="203" spans="1:7">
      <c r="A203" s="432" t="str">
        <f>+'0005'!A203</f>
        <v xml:space="preserve">513103111 </v>
      </c>
      <c r="B203" s="432" t="str">
        <f>+'0005'!B203</f>
        <v xml:space="preserve">      513103111  Serv Energía Elect</v>
      </c>
      <c r="C203" s="465">
        <f>+'0005'!C203</f>
        <v>0</v>
      </c>
      <c r="D203" s="465">
        <f>+'0005'!D203</f>
        <v>348899</v>
      </c>
      <c r="E203" s="465">
        <f>-'0005'!E203</f>
        <v>35000</v>
      </c>
      <c r="F203" s="465">
        <f>+'0005'!F203</f>
        <v>313899</v>
      </c>
      <c r="G203" s="465">
        <f>+'0005'!G203</f>
        <v>313899</v>
      </c>
    </row>
    <row r="204" spans="1:7">
      <c r="A204" s="432" t="str">
        <f>+'0005'!A204</f>
        <v xml:space="preserve">513103131 </v>
      </c>
      <c r="B204" s="432" t="str">
        <f>+'0005'!B204</f>
        <v xml:space="preserve">      513103131  Servicio de agua</v>
      </c>
      <c r="C204" s="465">
        <f>+'0005'!C204</f>
        <v>0</v>
      </c>
      <c r="D204" s="465">
        <f>+'0005'!D204</f>
        <v>10124</v>
      </c>
      <c r="E204" s="465">
        <f>-'0005'!E204</f>
        <v>692</v>
      </c>
      <c r="F204" s="465">
        <f>+'0005'!F204</f>
        <v>9432</v>
      </c>
      <c r="G204" s="465">
        <f>+'0005'!G204</f>
        <v>9432</v>
      </c>
    </row>
    <row r="205" spans="1:7">
      <c r="A205" s="432" t="str">
        <f>+'0005'!A205</f>
        <v xml:space="preserve">513103141 </v>
      </c>
      <c r="B205" s="432" t="str">
        <f>+'0005'!B205</f>
        <v xml:space="preserve">      513103141  Serv Telefonía Tra</v>
      </c>
      <c r="C205" s="465">
        <f>+'0005'!C205</f>
        <v>0</v>
      </c>
      <c r="D205" s="465">
        <f>+'0005'!D205</f>
        <v>104871.99</v>
      </c>
      <c r="E205" s="465">
        <f>-'0005'!E205</f>
        <v>13439</v>
      </c>
      <c r="F205" s="465">
        <f>+'0005'!F205</f>
        <v>91432.99</v>
      </c>
      <c r="G205" s="465">
        <f>+'0005'!G205</f>
        <v>91432.99</v>
      </c>
    </row>
    <row r="206" spans="1:7">
      <c r="A206" s="432" t="str">
        <f>+'0005'!A206</f>
        <v xml:space="preserve">513103151 </v>
      </c>
      <c r="B206" s="432" t="str">
        <f>+'0005'!B206</f>
        <v xml:space="preserve">      513103151  Serv Telefonía Cel</v>
      </c>
      <c r="C206" s="465">
        <f>+'0005'!C206</f>
        <v>0</v>
      </c>
      <c r="D206" s="465">
        <f>+'0005'!D206</f>
        <v>80598</v>
      </c>
      <c r="E206" s="465">
        <f>-'0005'!E206</f>
        <v>8000</v>
      </c>
      <c r="F206" s="465">
        <f>+'0005'!F206</f>
        <v>72598</v>
      </c>
      <c r="G206" s="465">
        <f>+'0005'!G206</f>
        <v>72598</v>
      </c>
    </row>
    <row r="207" spans="1:7">
      <c r="A207" s="432" t="str">
        <f>+'0005'!A207</f>
        <v xml:space="preserve">513103171 </v>
      </c>
      <c r="B207" s="432" t="str">
        <f>+'0005'!B207</f>
        <v xml:space="preserve">      513103171  Serv Acceso Intern</v>
      </c>
      <c r="C207" s="465">
        <f>+'0005'!C207</f>
        <v>0</v>
      </c>
      <c r="D207" s="465">
        <f>+'0005'!D207</f>
        <v>363066.33</v>
      </c>
      <c r="E207" s="465">
        <f>-'0005'!E207</f>
        <v>29500</v>
      </c>
      <c r="F207" s="465">
        <f>+'0005'!F207</f>
        <v>333566.33</v>
      </c>
      <c r="G207" s="465">
        <f>+'0005'!G207</f>
        <v>333566.33</v>
      </c>
    </row>
    <row r="208" spans="1:7">
      <c r="A208" s="432" t="str">
        <f>+'0005'!A208</f>
        <v xml:space="preserve">513103181 </v>
      </c>
      <c r="B208" s="432" t="str">
        <f>+'0005'!B208</f>
        <v xml:space="preserve">      513103181  Servicio postal</v>
      </c>
      <c r="C208" s="465">
        <f>+'0005'!C208</f>
        <v>0</v>
      </c>
      <c r="D208" s="465">
        <f>+'0005'!D208</f>
        <v>176525.5</v>
      </c>
      <c r="E208" s="465">
        <f>-'0005'!E208</f>
        <v>0</v>
      </c>
      <c r="F208" s="465">
        <f>+'0005'!F208</f>
        <v>176525.5</v>
      </c>
      <c r="G208" s="465">
        <f>+'0005'!G208</f>
        <v>176525.5</v>
      </c>
    </row>
    <row r="209" spans="1:7">
      <c r="A209" s="432" t="str">
        <f>+'0005'!A209</f>
        <v>5132</v>
      </c>
      <c r="B209" s="432" t="str">
        <f>+'0005'!B209</f>
        <v>*     5132     Servicios de Arrenda</v>
      </c>
      <c r="C209" s="465">
        <f>+'0005'!C209</f>
        <v>0</v>
      </c>
      <c r="D209" s="465">
        <f>+'0005'!D209</f>
        <v>1685604.32</v>
      </c>
      <c r="E209" s="465">
        <f>-'0005'!E209</f>
        <v>6728</v>
      </c>
      <c r="F209" s="465">
        <f>+'0005'!F209</f>
        <v>1678876.32</v>
      </c>
      <c r="G209" s="465">
        <f>+'0005'!G209</f>
        <v>1678876.32</v>
      </c>
    </row>
    <row r="210" spans="1:7">
      <c r="A210" s="432" t="str">
        <f>+'0005'!A210</f>
        <v xml:space="preserve">513203221 </v>
      </c>
      <c r="B210" s="432" t="str">
        <f>+'0005'!B210</f>
        <v xml:space="preserve">      513203221  Arrendam Edificios</v>
      </c>
      <c r="C210" s="465">
        <f>+'0005'!C210</f>
        <v>0</v>
      </c>
      <c r="D210" s="465">
        <f>+'0005'!D210</f>
        <v>1462897.36</v>
      </c>
      <c r="E210" s="465">
        <f>-'0005'!E210</f>
        <v>0</v>
      </c>
      <c r="F210" s="465">
        <f>+'0005'!F210</f>
        <v>1462897.36</v>
      </c>
      <c r="G210" s="465">
        <f>+'0005'!G210</f>
        <v>1462897.36</v>
      </c>
    </row>
    <row r="211" spans="1:7">
      <c r="A211" s="432" t="str">
        <f>+'0005'!A211</f>
        <v xml:space="preserve">513203231 </v>
      </c>
      <c r="B211" s="432" t="str">
        <f>+'0005'!B211</f>
        <v xml:space="preserve">      513203231  Arrendam mob eq ad</v>
      </c>
      <c r="C211" s="465">
        <f>+'0005'!C211</f>
        <v>0</v>
      </c>
      <c r="D211" s="465">
        <f>+'0005'!D211</f>
        <v>74008</v>
      </c>
      <c r="E211" s="465">
        <f>-'0005'!E211</f>
        <v>0</v>
      </c>
      <c r="F211" s="465">
        <f>+'0005'!F211</f>
        <v>74008</v>
      </c>
      <c r="G211" s="465">
        <f>+'0005'!G211</f>
        <v>74008</v>
      </c>
    </row>
    <row r="212" spans="1:7">
      <c r="A212" s="432" t="str">
        <f>+'0005'!A212</f>
        <v xml:space="preserve">513203261 </v>
      </c>
      <c r="B212" s="432" t="str">
        <f>+'0005'!B212</f>
        <v xml:space="preserve">      513203261  Arren Maq y eq</v>
      </c>
      <c r="C212" s="465">
        <f>+'0005'!C212</f>
        <v>0</v>
      </c>
      <c r="D212" s="465">
        <f>+'0005'!D212</f>
        <v>13456</v>
      </c>
      <c r="E212" s="465">
        <f>-'0005'!E212</f>
        <v>6728</v>
      </c>
      <c r="F212" s="465">
        <f>+'0005'!F212</f>
        <v>6728</v>
      </c>
      <c r="G212" s="465">
        <f>+'0005'!G212</f>
        <v>6728</v>
      </c>
    </row>
    <row r="213" spans="1:7">
      <c r="A213" s="432" t="str">
        <f>+'0005'!A213</f>
        <v xml:space="preserve">513203271 </v>
      </c>
      <c r="B213" s="432" t="str">
        <f>+'0005'!B213</f>
        <v xml:space="preserve">      513203271  Arren de activ int</v>
      </c>
      <c r="C213" s="465">
        <f>+'0005'!C213</f>
        <v>0</v>
      </c>
      <c r="D213" s="465">
        <f>+'0005'!D213</f>
        <v>135242.96</v>
      </c>
      <c r="E213" s="465">
        <f>-'0005'!E213</f>
        <v>0</v>
      </c>
      <c r="F213" s="465">
        <f>+'0005'!F213</f>
        <v>135242.96</v>
      </c>
      <c r="G213" s="465">
        <f>+'0005'!G213</f>
        <v>135242.96</v>
      </c>
    </row>
    <row r="214" spans="1:7">
      <c r="A214" s="432" t="str">
        <f>+'0005'!A214</f>
        <v>5133</v>
      </c>
      <c r="B214" s="432" t="str">
        <f>+'0005'!B214</f>
        <v>*     5133     Serv. Profesionales,</v>
      </c>
      <c r="C214" s="465">
        <f>+'0005'!C214</f>
        <v>0</v>
      </c>
      <c r="D214" s="465">
        <f>+'0005'!D214</f>
        <v>4593076.59</v>
      </c>
      <c r="E214" s="465">
        <f>-'0005'!E214</f>
        <v>125596.74</v>
      </c>
      <c r="F214" s="465">
        <f>+'0005'!F214</f>
        <v>4467479.8499999996</v>
      </c>
      <c r="G214" s="465">
        <f>+'0005'!G214</f>
        <v>4467479.8499999996</v>
      </c>
    </row>
    <row r="215" spans="1:7">
      <c r="A215" s="432" t="str">
        <f>+'0005'!A215</f>
        <v xml:space="preserve">513303312 </v>
      </c>
      <c r="B215" s="432" t="str">
        <f>+'0005'!B215</f>
        <v xml:space="preserve">      513303312  Servicios contabil</v>
      </c>
      <c r="C215" s="465">
        <f>+'0005'!C215</f>
        <v>0</v>
      </c>
      <c r="D215" s="465">
        <f>+'0005'!D215</f>
        <v>319000</v>
      </c>
      <c r="E215" s="465">
        <f>-'0005'!E215</f>
        <v>40600</v>
      </c>
      <c r="F215" s="465">
        <f>+'0005'!F215</f>
        <v>278400</v>
      </c>
      <c r="G215" s="465">
        <f>+'0005'!G215</f>
        <v>278400</v>
      </c>
    </row>
    <row r="216" spans="1:7">
      <c r="A216" s="432" t="str">
        <f>+'0005'!A216</f>
        <v xml:space="preserve">513303332 </v>
      </c>
      <c r="B216" s="432" t="str">
        <f>+'0005'!B216</f>
        <v xml:space="preserve">      513303332  Serv Procesos</v>
      </c>
      <c r="C216" s="465">
        <f>+'0005'!C216</f>
        <v>0</v>
      </c>
      <c r="D216" s="465">
        <f>+'0005'!D216</f>
        <v>1315380</v>
      </c>
      <c r="E216" s="465">
        <f>-'0005'!E216</f>
        <v>0</v>
      </c>
      <c r="F216" s="465">
        <f>+'0005'!F216</f>
        <v>1315380</v>
      </c>
      <c r="G216" s="465">
        <f>+'0005'!G216</f>
        <v>1315380</v>
      </c>
    </row>
    <row r="217" spans="1:7">
      <c r="A217" s="432" t="str">
        <f>+'0005'!A217</f>
        <v xml:space="preserve">513303341 </v>
      </c>
      <c r="B217" s="432" t="str">
        <f>+'0005'!B217</f>
        <v xml:space="preserve">      513303341  Serv Capacitación</v>
      </c>
      <c r="C217" s="465">
        <f>+'0005'!C217</f>
        <v>0</v>
      </c>
      <c r="D217" s="465">
        <f>+'0005'!D217</f>
        <v>1962879.48</v>
      </c>
      <c r="E217" s="465">
        <f>-'0005'!E217</f>
        <v>84996.74</v>
      </c>
      <c r="F217" s="465">
        <f>+'0005'!F217</f>
        <v>1877882.74</v>
      </c>
      <c r="G217" s="465">
        <f>+'0005'!G217</f>
        <v>1877882.74</v>
      </c>
    </row>
    <row r="218" spans="1:7">
      <c r="A218" s="432" t="str">
        <f>+'0005'!A218</f>
        <v xml:space="preserve">513303361 </v>
      </c>
      <c r="B218" s="432" t="str">
        <f>+'0005'!B218</f>
        <v xml:space="preserve">      513303361  Impresiones doc of</v>
      </c>
      <c r="C218" s="465">
        <f>+'0005'!C218</f>
        <v>0</v>
      </c>
      <c r="D218" s="465">
        <f>+'0005'!D218</f>
        <v>683249.64</v>
      </c>
      <c r="E218" s="465">
        <f>-'0005'!E218</f>
        <v>0</v>
      </c>
      <c r="F218" s="465">
        <f>+'0005'!F218</f>
        <v>683249.64</v>
      </c>
      <c r="G218" s="465">
        <f>+'0005'!G218</f>
        <v>683249.64</v>
      </c>
    </row>
    <row r="219" spans="1:7">
      <c r="A219" s="432" t="str">
        <f>+'0005'!A219</f>
        <v xml:space="preserve">513303381 </v>
      </c>
      <c r="B219" s="432" t="str">
        <f>+'0005'!B219</f>
        <v xml:space="preserve">      513303381  Serv Vigilancia</v>
      </c>
      <c r="C219" s="465">
        <f>+'0005'!C219</f>
        <v>0</v>
      </c>
      <c r="D219" s="465">
        <f>+'0005'!D219</f>
        <v>312567.46999999997</v>
      </c>
      <c r="E219" s="465">
        <f>-'0005'!E219</f>
        <v>0</v>
      </c>
      <c r="F219" s="465">
        <f>+'0005'!F219</f>
        <v>312567.46999999997</v>
      </c>
      <c r="G219" s="465">
        <f>+'0005'!G219</f>
        <v>312567.46999999997</v>
      </c>
    </row>
    <row r="220" spans="1:7">
      <c r="A220" s="432" t="str">
        <f>+'0005'!A220</f>
        <v>5134</v>
      </c>
      <c r="B220" s="432" t="str">
        <f>+'0005'!B220</f>
        <v>*     5134     Serv. Financieros, B</v>
      </c>
      <c r="C220" s="465">
        <f>+'0005'!C220</f>
        <v>0</v>
      </c>
      <c r="D220" s="465">
        <f>+'0005'!D220</f>
        <v>220343.55</v>
      </c>
      <c r="E220" s="465">
        <f>-'0005'!E220</f>
        <v>29603.439999999999</v>
      </c>
      <c r="F220" s="465">
        <f>+'0005'!F220</f>
        <v>190740.11</v>
      </c>
      <c r="G220" s="465">
        <f>+'0005'!G220</f>
        <v>190740.11</v>
      </c>
    </row>
    <row r="221" spans="1:7">
      <c r="A221" s="432" t="str">
        <f>+'0005'!A221</f>
        <v xml:space="preserve">513403411 </v>
      </c>
      <c r="B221" s="432" t="str">
        <f>+'0005'!B221</f>
        <v xml:space="preserve">      513403411  Serv Financieros</v>
      </c>
      <c r="C221" s="465">
        <f>+'0005'!C221</f>
        <v>0</v>
      </c>
      <c r="D221" s="465">
        <f>+'0005'!D221</f>
        <v>29318.34</v>
      </c>
      <c r="E221" s="465">
        <f>-'0005'!E221</f>
        <v>26027.21</v>
      </c>
      <c r="F221" s="465">
        <f>+'0005'!F221</f>
        <v>3291.13</v>
      </c>
      <c r="G221" s="465">
        <f>+'0005'!G221</f>
        <v>3291.13</v>
      </c>
    </row>
    <row r="222" spans="1:7">
      <c r="A222" s="432" t="str">
        <f>+'0005'!A222</f>
        <v xml:space="preserve">513403451 </v>
      </c>
      <c r="B222" s="432" t="str">
        <f>+'0005'!B222</f>
        <v xml:space="preserve">      513403451  Seg Bienes patrimo</v>
      </c>
      <c r="C222" s="465">
        <f>+'0005'!C222</f>
        <v>0</v>
      </c>
      <c r="D222" s="465">
        <f>+'0005'!D222</f>
        <v>147767.1</v>
      </c>
      <c r="E222" s="465">
        <f>-'0005'!E222</f>
        <v>3576.23</v>
      </c>
      <c r="F222" s="465">
        <f>+'0005'!F222</f>
        <v>144190.87</v>
      </c>
      <c r="G222" s="465">
        <f>+'0005'!G222</f>
        <v>144190.87</v>
      </c>
    </row>
    <row r="223" spans="1:7">
      <c r="A223" s="432" t="str">
        <f>+'0005'!A223</f>
        <v xml:space="preserve">513403471 </v>
      </c>
      <c r="B223" s="432" t="str">
        <f>+'0005'!B223</f>
        <v xml:space="preserve">      513403471  Fletes y maniobras</v>
      </c>
      <c r="C223" s="465">
        <f>+'0005'!C223</f>
        <v>0</v>
      </c>
      <c r="D223" s="465">
        <f>+'0005'!D223</f>
        <v>43258.11</v>
      </c>
      <c r="E223" s="465">
        <f>-'0005'!E223</f>
        <v>0</v>
      </c>
      <c r="F223" s="465">
        <f>+'0005'!F223</f>
        <v>43258.11</v>
      </c>
      <c r="G223" s="465">
        <f>+'0005'!G223</f>
        <v>43258.11</v>
      </c>
    </row>
    <row r="224" spans="1:7">
      <c r="A224" s="432" t="str">
        <f>+'0005'!A224</f>
        <v>5135</v>
      </c>
      <c r="B224" s="432" t="str">
        <f>+'0005'!B224</f>
        <v>*     5135     Serv. de Instalación</v>
      </c>
      <c r="C224" s="465">
        <f>+'0005'!C224</f>
        <v>0</v>
      </c>
      <c r="D224" s="465">
        <f>+'0005'!D224</f>
        <v>483408.84</v>
      </c>
      <c r="E224" s="465">
        <f>-'0005'!E224</f>
        <v>16199.31</v>
      </c>
      <c r="F224" s="465">
        <f>+'0005'!F224</f>
        <v>467209.53</v>
      </c>
      <c r="G224" s="465">
        <f>+'0005'!G224</f>
        <v>467209.53</v>
      </c>
    </row>
    <row r="225" spans="1:7">
      <c r="A225" s="432" t="str">
        <f>+'0005'!A225</f>
        <v xml:space="preserve">513503511 </v>
      </c>
      <c r="B225" s="432" t="str">
        <f>+'0005'!B225</f>
        <v xml:space="preserve">      513503511  Cons y mantto Inm</v>
      </c>
      <c r="C225" s="465">
        <f>+'0005'!C225</f>
        <v>0</v>
      </c>
      <c r="D225" s="465">
        <f>+'0005'!D225</f>
        <v>71118.880000000005</v>
      </c>
      <c r="E225" s="465">
        <f>-'0005'!E225</f>
        <v>0</v>
      </c>
      <c r="F225" s="465">
        <f>+'0005'!F225</f>
        <v>71118.880000000005</v>
      </c>
      <c r="G225" s="465">
        <f>+'0005'!G225</f>
        <v>71118.880000000005</v>
      </c>
    </row>
    <row r="226" spans="1:7">
      <c r="A226" s="432" t="str">
        <f>+'0005'!A226</f>
        <v xml:space="preserve">513503512 </v>
      </c>
      <c r="B226" s="432" t="str">
        <f>+'0005'!B226</f>
        <v xml:space="preserve">      513503512  Adaptación Inmuebl</v>
      </c>
      <c r="C226" s="465">
        <f>+'0005'!C226</f>
        <v>0</v>
      </c>
      <c r="D226" s="465">
        <f>+'0005'!D226</f>
        <v>8990</v>
      </c>
      <c r="E226" s="465">
        <f>-'0005'!E226</f>
        <v>0</v>
      </c>
      <c r="F226" s="465">
        <f>+'0005'!F226</f>
        <v>8990</v>
      </c>
      <c r="G226" s="465">
        <f>+'0005'!G226</f>
        <v>8990</v>
      </c>
    </row>
    <row r="227" spans="1:7">
      <c r="A227" s="432" t="str">
        <f>+'0005'!A227</f>
        <v xml:space="preserve">513503521 </v>
      </c>
      <c r="B227" s="432" t="str">
        <f>+'0005'!B227</f>
        <v xml:space="preserve">      513503521  Instal Mobil Adm</v>
      </c>
      <c r="C227" s="465">
        <f>+'0005'!C227</f>
        <v>0</v>
      </c>
      <c r="D227" s="465">
        <f>+'0005'!D227</f>
        <v>32154.12</v>
      </c>
      <c r="E227" s="465">
        <f>-'0005'!E227</f>
        <v>0</v>
      </c>
      <c r="F227" s="465">
        <f>+'0005'!F227</f>
        <v>32154.12</v>
      </c>
      <c r="G227" s="465">
        <f>+'0005'!G227</f>
        <v>32154.12</v>
      </c>
    </row>
    <row r="228" spans="1:7">
      <c r="A228" s="432" t="str">
        <f>+'0005'!A228</f>
        <v xml:space="preserve">513503531 </v>
      </c>
      <c r="B228" s="432" t="str">
        <f>+'0005'!B228</f>
        <v xml:space="preserve">      513503531  Instal BInformat</v>
      </c>
      <c r="C228" s="465">
        <f>+'0005'!C228</f>
        <v>0</v>
      </c>
      <c r="D228" s="465">
        <f>+'0005'!D228</f>
        <v>10041.81</v>
      </c>
      <c r="E228" s="465">
        <f>-'0005'!E228</f>
        <v>0</v>
      </c>
      <c r="F228" s="465">
        <f>+'0005'!F228</f>
        <v>10041.81</v>
      </c>
      <c r="G228" s="465">
        <f>+'0005'!G228</f>
        <v>10041.81</v>
      </c>
    </row>
    <row r="229" spans="1:7">
      <c r="A229" s="432" t="str">
        <f>+'0005'!A229</f>
        <v xml:space="preserve">513503551 </v>
      </c>
      <c r="B229" s="432" t="str">
        <f>+'0005'!B229</f>
        <v xml:space="preserve">      513503551  Mantto Vehíc</v>
      </c>
      <c r="C229" s="465">
        <f>+'0005'!C229</f>
        <v>0</v>
      </c>
      <c r="D229" s="465">
        <f>+'0005'!D229</f>
        <v>311660.21999999997</v>
      </c>
      <c r="E229" s="465">
        <f>-'0005'!E229</f>
        <v>6198.99</v>
      </c>
      <c r="F229" s="465">
        <f>+'0005'!F229</f>
        <v>305461.23</v>
      </c>
      <c r="G229" s="465">
        <f>+'0005'!G229</f>
        <v>305461.23</v>
      </c>
    </row>
    <row r="230" spans="1:7">
      <c r="A230" s="432" t="str">
        <f>+'0005'!A230</f>
        <v xml:space="preserve">513503571 </v>
      </c>
      <c r="B230" s="432" t="str">
        <f>+'0005'!B230</f>
        <v xml:space="preserve">      513503571  Instal Maqy otros</v>
      </c>
      <c r="C230" s="465">
        <f>+'0005'!C230</f>
        <v>0</v>
      </c>
      <c r="D230" s="465">
        <f>+'0005'!D230</f>
        <v>12760</v>
      </c>
      <c r="E230" s="465">
        <f>-'0005'!E230</f>
        <v>0</v>
      </c>
      <c r="F230" s="465">
        <f>+'0005'!F230</f>
        <v>12760</v>
      </c>
      <c r="G230" s="465">
        <f>+'0005'!G230</f>
        <v>12760</v>
      </c>
    </row>
    <row r="231" spans="1:7">
      <c r="A231" s="432" t="str">
        <f>+'0005'!A231</f>
        <v xml:space="preserve">513503581 </v>
      </c>
      <c r="B231" s="432" t="str">
        <f>+'0005'!B231</f>
        <v xml:space="preserve">      513503581  Serv Limpieza</v>
      </c>
      <c r="C231" s="465">
        <f>+'0005'!C231</f>
        <v>0</v>
      </c>
      <c r="D231" s="465">
        <f>+'0005'!D231</f>
        <v>13091.33</v>
      </c>
      <c r="E231" s="465">
        <f>-'0005'!E231</f>
        <v>10000.32</v>
      </c>
      <c r="F231" s="465">
        <f>+'0005'!F231</f>
        <v>3091.01</v>
      </c>
      <c r="G231" s="465">
        <f>+'0005'!G231</f>
        <v>3091.01</v>
      </c>
    </row>
    <row r="232" spans="1:7">
      <c r="A232" s="432" t="str">
        <f>+'0005'!A232</f>
        <v xml:space="preserve">513503591 </v>
      </c>
      <c r="B232" s="432" t="str">
        <f>+'0005'!B232</f>
        <v xml:space="preserve">      513503591  Serv Jardinería</v>
      </c>
      <c r="C232" s="465">
        <f>+'0005'!C232</f>
        <v>0</v>
      </c>
      <c r="D232" s="465">
        <f>+'0005'!D232</f>
        <v>23592.48</v>
      </c>
      <c r="E232" s="465">
        <f>-'0005'!E232</f>
        <v>0</v>
      </c>
      <c r="F232" s="465">
        <f>+'0005'!F232</f>
        <v>23592.48</v>
      </c>
      <c r="G232" s="465">
        <f>+'0005'!G232</f>
        <v>23592.48</v>
      </c>
    </row>
    <row r="233" spans="1:7">
      <c r="A233" s="432" t="str">
        <f>+'0005'!A233</f>
        <v>5136</v>
      </c>
      <c r="B233" s="432" t="str">
        <f>+'0005'!B233</f>
        <v>*     5136     Serv. de Comunicació</v>
      </c>
      <c r="C233" s="465">
        <f>+'0005'!C233</f>
        <v>0</v>
      </c>
      <c r="D233" s="465">
        <f>+'0005'!D233</f>
        <v>5517096.1100000003</v>
      </c>
      <c r="E233" s="465">
        <f>-'0005'!E233</f>
        <v>369481.84</v>
      </c>
      <c r="F233" s="465">
        <f>+'0005'!F233</f>
        <v>5147614.2699999996</v>
      </c>
      <c r="G233" s="465">
        <f>+'0005'!G233</f>
        <v>5147614.2699999996</v>
      </c>
    </row>
    <row r="234" spans="1:7">
      <c r="A234" s="432" t="str">
        <f>+'0005'!A234</f>
        <v xml:space="preserve">513603611 </v>
      </c>
      <c r="B234" s="432" t="str">
        <f>+'0005'!B234</f>
        <v xml:space="preserve">      513603611  Difusión Activ Gub</v>
      </c>
      <c r="C234" s="465">
        <f>+'0005'!C234</f>
        <v>0</v>
      </c>
      <c r="D234" s="465">
        <f>+'0005'!D234</f>
        <v>5448509.1900000004</v>
      </c>
      <c r="E234" s="465">
        <f>-'0005'!E234</f>
        <v>369481.84</v>
      </c>
      <c r="F234" s="465">
        <f>+'0005'!F234</f>
        <v>5079027.3499999996</v>
      </c>
      <c r="G234" s="465">
        <f>+'0005'!G234</f>
        <v>5079027.3499999996</v>
      </c>
    </row>
    <row r="235" spans="1:7">
      <c r="A235" s="432" t="str">
        <f>+'0005'!A235</f>
        <v xml:space="preserve">513603612 </v>
      </c>
      <c r="B235" s="432" t="str">
        <f>+'0005'!B235</f>
        <v xml:space="preserve">      513603612  Impresión Pub ofic</v>
      </c>
      <c r="C235" s="465">
        <f>+'0005'!C235</f>
        <v>0</v>
      </c>
      <c r="D235" s="465">
        <f>+'0005'!D235</f>
        <v>68586.92</v>
      </c>
      <c r="E235" s="465">
        <f>-'0005'!E235</f>
        <v>0</v>
      </c>
      <c r="F235" s="465">
        <f>+'0005'!F235</f>
        <v>68586.92</v>
      </c>
      <c r="G235" s="465">
        <f>+'0005'!G235</f>
        <v>68586.92</v>
      </c>
    </row>
    <row r="236" spans="1:7">
      <c r="A236" s="432" t="str">
        <f>+'0005'!A236</f>
        <v>5137</v>
      </c>
      <c r="B236" s="432" t="str">
        <f>+'0005'!B236</f>
        <v>*     5137     Serv. de Traslado y</v>
      </c>
      <c r="C236" s="465">
        <f>+'0005'!C236</f>
        <v>0</v>
      </c>
      <c r="D236" s="465">
        <f>+'0005'!D236</f>
        <v>175052.32</v>
      </c>
      <c r="E236" s="465">
        <f>-'0005'!E236</f>
        <v>1590</v>
      </c>
      <c r="F236" s="465">
        <f>+'0005'!F236</f>
        <v>173462.32</v>
      </c>
      <c r="G236" s="465">
        <f>+'0005'!G236</f>
        <v>173462.32</v>
      </c>
    </row>
    <row r="237" spans="1:7">
      <c r="A237" s="432" t="str">
        <f>+'0005'!A237</f>
        <v xml:space="preserve">513703711 </v>
      </c>
      <c r="B237" s="432" t="str">
        <f>+'0005'!B237</f>
        <v xml:space="preserve">      513703711  Pasajes aéreos Nac</v>
      </c>
      <c r="C237" s="465">
        <f>+'0005'!C237</f>
        <v>0</v>
      </c>
      <c r="D237" s="465">
        <f>+'0005'!D237</f>
        <v>25926</v>
      </c>
      <c r="E237" s="465">
        <f>-'0005'!E237</f>
        <v>0</v>
      </c>
      <c r="F237" s="465">
        <f>+'0005'!F237</f>
        <v>25926</v>
      </c>
      <c r="G237" s="465">
        <f>+'0005'!G237</f>
        <v>25926</v>
      </c>
    </row>
    <row r="238" spans="1:7">
      <c r="A238" s="432" t="str">
        <f>+'0005'!A238</f>
        <v xml:space="preserve">513703721 </v>
      </c>
      <c r="B238" s="432" t="str">
        <f>+'0005'!B238</f>
        <v xml:space="preserve">      513703721  Pasajes terr Nac</v>
      </c>
      <c r="C238" s="465">
        <f>+'0005'!C238</f>
        <v>0</v>
      </c>
      <c r="D238" s="465">
        <f>+'0005'!D238</f>
        <v>94048.5</v>
      </c>
      <c r="E238" s="465">
        <f>-'0005'!E238</f>
        <v>1050</v>
      </c>
      <c r="F238" s="465">
        <f>+'0005'!F238</f>
        <v>92998.5</v>
      </c>
      <c r="G238" s="465">
        <f>+'0005'!G238</f>
        <v>92998.5</v>
      </c>
    </row>
    <row r="239" spans="1:7">
      <c r="A239" s="432" t="str">
        <f>+'0005'!A239</f>
        <v xml:space="preserve">513703751 </v>
      </c>
      <c r="B239" s="432" t="str">
        <f>+'0005'!B239</f>
        <v xml:space="preserve">      513703751  Viáticos nacionale</v>
      </c>
      <c r="C239" s="465">
        <f>+'0005'!C239</f>
        <v>0</v>
      </c>
      <c r="D239" s="465">
        <f>+'0005'!D239</f>
        <v>55077.82</v>
      </c>
      <c r="E239" s="465">
        <f>-'0005'!E239</f>
        <v>540</v>
      </c>
      <c r="F239" s="465">
        <f>+'0005'!F239</f>
        <v>54537.82</v>
      </c>
      <c r="G239" s="465">
        <f>+'0005'!G239</f>
        <v>54537.82</v>
      </c>
    </row>
    <row r="240" spans="1:7">
      <c r="A240" s="432" t="str">
        <f>+'0005'!A240</f>
        <v>5138</v>
      </c>
      <c r="B240" s="432" t="str">
        <f>+'0005'!B240</f>
        <v>*     5138     Servicios Oficiales</v>
      </c>
      <c r="C240" s="465">
        <f>+'0005'!C240</f>
        <v>0</v>
      </c>
      <c r="D240" s="465">
        <f>+'0005'!D240</f>
        <v>1368504.95</v>
      </c>
      <c r="E240" s="465">
        <f>-'0005'!E240</f>
        <v>12218.64</v>
      </c>
      <c r="F240" s="465">
        <f>+'0005'!F240</f>
        <v>1356286.31</v>
      </c>
      <c r="G240" s="465">
        <f>+'0005'!G240</f>
        <v>1356286.31</v>
      </c>
    </row>
    <row r="241" spans="1:7">
      <c r="A241" s="432" t="str">
        <f>+'0005'!A241</f>
        <v xml:space="preserve">513803811 </v>
      </c>
      <c r="B241" s="432" t="str">
        <f>+'0005'!B241</f>
        <v xml:space="preserve">      513803811  Gastos de ceremoni</v>
      </c>
      <c r="C241" s="465">
        <f>+'0005'!C241</f>
        <v>0</v>
      </c>
      <c r="D241" s="465">
        <f>+'0005'!D241</f>
        <v>831198.11</v>
      </c>
      <c r="E241" s="465">
        <f>-'0005'!E241</f>
        <v>8140</v>
      </c>
      <c r="F241" s="465">
        <f>+'0005'!F241</f>
        <v>823058.11</v>
      </c>
      <c r="G241" s="465">
        <f>+'0005'!G241</f>
        <v>823058.11</v>
      </c>
    </row>
    <row r="242" spans="1:7">
      <c r="A242" s="432" t="str">
        <f>+'0005'!A242</f>
        <v xml:space="preserve">513803831 </v>
      </c>
      <c r="B242" s="432" t="str">
        <f>+'0005'!B242</f>
        <v xml:space="preserve">      513803831  Congresos y Conven</v>
      </c>
      <c r="C242" s="465">
        <f>+'0005'!C242</f>
        <v>0</v>
      </c>
      <c r="D242" s="465">
        <f>+'0005'!D242</f>
        <v>359462.40000000002</v>
      </c>
      <c r="E242" s="465">
        <f>-'0005'!E242</f>
        <v>4078.64</v>
      </c>
      <c r="F242" s="465">
        <f>+'0005'!F242</f>
        <v>355383.76</v>
      </c>
      <c r="G242" s="465">
        <f>+'0005'!G242</f>
        <v>355383.76</v>
      </c>
    </row>
    <row r="243" spans="1:7">
      <c r="A243" s="432" t="str">
        <f>+'0005'!A243</f>
        <v xml:space="preserve">513803852 </v>
      </c>
      <c r="B243" s="432" t="str">
        <f>+'0005'!B243</f>
        <v xml:space="preserve">      513803852  Gto Oficina SP</v>
      </c>
      <c r="C243" s="465">
        <f>+'0005'!C243</f>
        <v>0</v>
      </c>
      <c r="D243" s="465">
        <f>+'0005'!D243</f>
        <v>162788.44</v>
      </c>
      <c r="E243" s="465">
        <f>-'0005'!E243</f>
        <v>0</v>
      </c>
      <c r="F243" s="465">
        <f>+'0005'!F243</f>
        <v>162788.44</v>
      </c>
      <c r="G243" s="465">
        <f>+'0005'!G243</f>
        <v>162788.44</v>
      </c>
    </row>
    <row r="244" spans="1:7">
      <c r="A244" s="432" t="str">
        <f>+'0005'!A244</f>
        <v xml:space="preserve">513803853 </v>
      </c>
      <c r="B244" s="432" t="str">
        <f>+'0005'!B244</f>
        <v xml:space="preserve">      513803853  Gto Representación</v>
      </c>
      <c r="C244" s="465">
        <f>+'0005'!C244</f>
        <v>0</v>
      </c>
      <c r="D244" s="465">
        <f>+'0005'!D244</f>
        <v>15056</v>
      </c>
      <c r="E244" s="465">
        <f>-'0005'!E244</f>
        <v>0</v>
      </c>
      <c r="F244" s="465">
        <f>+'0005'!F244</f>
        <v>15056</v>
      </c>
      <c r="G244" s="465">
        <f>+'0005'!G244</f>
        <v>15056</v>
      </c>
    </row>
    <row r="245" spans="1:7">
      <c r="A245" s="432" t="str">
        <f>+'0005'!A245</f>
        <v>5139</v>
      </c>
      <c r="B245" s="432" t="str">
        <f>+'0005'!B245</f>
        <v>*     5139     Otros Servicios Gene</v>
      </c>
      <c r="C245" s="465">
        <f>+'0005'!C245</f>
        <v>0</v>
      </c>
      <c r="D245" s="465">
        <f>+'0005'!D245</f>
        <v>1211631.55</v>
      </c>
      <c r="E245" s="465">
        <f>-'0005'!E245</f>
        <v>38616.97</v>
      </c>
      <c r="F245" s="465">
        <f>+'0005'!F245</f>
        <v>1173014.58</v>
      </c>
      <c r="G245" s="465">
        <f>+'0005'!G245</f>
        <v>1173014.58</v>
      </c>
    </row>
    <row r="246" spans="1:7">
      <c r="A246" s="432" t="str">
        <f>+'0005'!A246</f>
        <v xml:space="preserve">513903921 </v>
      </c>
      <c r="B246" s="432" t="str">
        <f>+'0005'!B246</f>
        <v xml:space="preserve">      513903921  Otros imptos y der</v>
      </c>
      <c r="C246" s="465">
        <f>+'0005'!C246</f>
        <v>0</v>
      </c>
      <c r="D246" s="465">
        <f>+'0005'!D246</f>
        <v>32579.53</v>
      </c>
      <c r="E246" s="465">
        <f>-'0005'!E246</f>
        <v>1624</v>
      </c>
      <c r="F246" s="465">
        <f>+'0005'!F246</f>
        <v>30955.53</v>
      </c>
      <c r="G246" s="465">
        <f>+'0005'!G246</f>
        <v>30955.53</v>
      </c>
    </row>
    <row r="247" spans="1:7">
      <c r="A247" s="432" t="str">
        <f>+'0005'!A247</f>
        <v xml:space="preserve">513903981 </v>
      </c>
      <c r="B247" s="432" t="str">
        <f>+'0005'!B247</f>
        <v xml:space="preserve">      513903981  Impuesto S nóminas</v>
      </c>
      <c r="C247" s="465">
        <f>+'0005'!C247</f>
        <v>0</v>
      </c>
      <c r="D247" s="465">
        <f>+'0005'!D247</f>
        <v>1179052.02</v>
      </c>
      <c r="E247" s="465">
        <f>-'0005'!E247</f>
        <v>36992.97</v>
      </c>
      <c r="F247" s="465">
        <f>+'0005'!F247</f>
        <v>1142059.05</v>
      </c>
      <c r="G247" s="465">
        <f>+'0005'!G247</f>
        <v>1142059.05</v>
      </c>
    </row>
    <row r="248" spans="1:7">
      <c r="A248" s="432" t="str">
        <f>+'0005'!A248</f>
        <v>5500</v>
      </c>
      <c r="B248" s="432" t="str">
        <f>+'0005'!B248</f>
        <v>***   5500     Otros Gastos y Pérdi</v>
      </c>
      <c r="C248" s="465">
        <f>+'0005'!C248</f>
        <v>0</v>
      </c>
      <c r="D248" s="465">
        <f>+'0005'!D248</f>
        <v>2531067.35</v>
      </c>
      <c r="E248" s="465">
        <f>-'0005'!E248</f>
        <v>0</v>
      </c>
      <c r="F248" s="465">
        <f>+'0005'!F248</f>
        <v>2531067.35</v>
      </c>
      <c r="G248" s="465">
        <f>+'0005'!G248</f>
        <v>2531067.35</v>
      </c>
    </row>
    <row r="249" spans="1:7">
      <c r="A249" s="432" t="str">
        <f>+'0005'!A249</f>
        <v>5510</v>
      </c>
      <c r="B249" s="432" t="str">
        <f>+'0005'!B249</f>
        <v>**    5510     Estimaciones, Deprec</v>
      </c>
      <c r="C249" s="465">
        <f>+'0005'!C249</f>
        <v>0</v>
      </c>
      <c r="D249" s="465">
        <f>+'0005'!D249</f>
        <v>2531067.35</v>
      </c>
      <c r="E249" s="465">
        <f>-'0005'!E249</f>
        <v>0</v>
      </c>
      <c r="F249" s="465">
        <f>+'0005'!F249</f>
        <v>2531067.35</v>
      </c>
      <c r="G249" s="465">
        <f>+'0005'!G249</f>
        <v>2531067.35</v>
      </c>
    </row>
    <row r="250" spans="1:7">
      <c r="A250" s="432" t="str">
        <f>+'0005'!A250</f>
        <v>5515</v>
      </c>
      <c r="B250" s="432" t="str">
        <f>+'0005'!B250</f>
        <v>*     5515     Dep. de Bienes Muebl</v>
      </c>
      <c r="C250" s="465">
        <f>+'0005'!C250</f>
        <v>0</v>
      </c>
      <c r="D250" s="465">
        <f>+'0005'!D250</f>
        <v>2359186.1</v>
      </c>
      <c r="E250" s="465">
        <f>-'0005'!E250</f>
        <v>0</v>
      </c>
      <c r="F250" s="465">
        <f>+'0005'!F250</f>
        <v>2359186.1</v>
      </c>
      <c r="G250" s="465">
        <f>+'0005'!G250</f>
        <v>2359186.1</v>
      </c>
    </row>
    <row r="251" spans="1:7">
      <c r="A251" s="432" t="str">
        <f>+'0005'!A251</f>
        <v xml:space="preserve">551505111 </v>
      </c>
      <c r="B251" s="432" t="str">
        <f>+'0005'!B251</f>
        <v xml:space="preserve">      551505111  Muebles de oficina</v>
      </c>
      <c r="C251" s="465">
        <f>+'0005'!C251</f>
        <v>0</v>
      </c>
      <c r="D251" s="465">
        <f>+'0005'!D251</f>
        <v>379989.09</v>
      </c>
      <c r="E251" s="465">
        <f>-'0005'!E251</f>
        <v>0</v>
      </c>
      <c r="F251" s="465">
        <f>+'0005'!F251</f>
        <v>379989.09</v>
      </c>
      <c r="G251" s="465">
        <f>+'0005'!G251</f>
        <v>379989.09</v>
      </c>
    </row>
    <row r="252" spans="1:7">
      <c r="A252" s="432" t="str">
        <f>+'0005'!A252</f>
        <v xml:space="preserve">551505133 </v>
      </c>
      <c r="B252" s="432" t="str">
        <f>+'0005'!B252</f>
        <v xml:space="preserve">      551505133  Otros bienes artís</v>
      </c>
      <c r="C252" s="465">
        <f>+'0005'!C252</f>
        <v>0</v>
      </c>
      <c r="D252" s="465">
        <f>+'0005'!D252</f>
        <v>314.39999999999998</v>
      </c>
      <c r="E252" s="465">
        <f>-'0005'!E252</f>
        <v>0</v>
      </c>
      <c r="F252" s="465">
        <f>+'0005'!F252</f>
        <v>314.39999999999998</v>
      </c>
      <c r="G252" s="465">
        <f>+'0005'!G252</f>
        <v>314.39999999999998</v>
      </c>
    </row>
    <row r="253" spans="1:7">
      <c r="A253" s="432" t="str">
        <f>+'0005'!A253</f>
        <v xml:space="preserve">551505151 </v>
      </c>
      <c r="B253" s="432" t="str">
        <f>+'0005'!B253</f>
        <v xml:space="preserve">      551505151  Computadoras</v>
      </c>
      <c r="C253" s="465">
        <f>+'0005'!C253</f>
        <v>0</v>
      </c>
      <c r="D253" s="465">
        <f>+'0005'!D253</f>
        <v>858041.51</v>
      </c>
      <c r="E253" s="465">
        <f>-'0005'!E253</f>
        <v>0</v>
      </c>
      <c r="F253" s="465">
        <f>+'0005'!F253</f>
        <v>858041.51</v>
      </c>
      <c r="G253" s="465">
        <f>+'0005'!G253</f>
        <v>858041.51</v>
      </c>
    </row>
    <row r="254" spans="1:7">
      <c r="A254" s="432" t="str">
        <f>+'0005'!A254</f>
        <v xml:space="preserve">551505191 </v>
      </c>
      <c r="B254" s="432" t="str">
        <f>+'0005'!B254</f>
        <v xml:space="preserve">      551505191  Otros mob y equipo</v>
      </c>
      <c r="C254" s="465">
        <f>+'0005'!C254</f>
        <v>0</v>
      </c>
      <c r="D254" s="465">
        <f>+'0005'!D254</f>
        <v>19916.03</v>
      </c>
      <c r="E254" s="465">
        <f>-'0005'!E254</f>
        <v>0</v>
      </c>
      <c r="F254" s="465">
        <f>+'0005'!F254</f>
        <v>19916.03</v>
      </c>
      <c r="G254" s="465">
        <f>+'0005'!G254</f>
        <v>19916.03</v>
      </c>
    </row>
    <row r="255" spans="1:7">
      <c r="A255" s="432" t="str">
        <f>+'0005'!A255</f>
        <v xml:space="preserve">551505411 </v>
      </c>
      <c r="B255" s="432" t="str">
        <f>+'0005'!B255</f>
        <v xml:space="preserve">      551505411  Automóviles y cami</v>
      </c>
      <c r="C255" s="465">
        <f>+'0005'!C255</f>
        <v>0</v>
      </c>
      <c r="D255" s="465">
        <f>+'0005'!D255</f>
        <v>1079051.1200000001</v>
      </c>
      <c r="E255" s="465">
        <f>-'0005'!E255</f>
        <v>0</v>
      </c>
      <c r="F255" s="465">
        <f>+'0005'!F255</f>
        <v>1079051.1200000001</v>
      </c>
      <c r="G255" s="465">
        <f>+'0005'!G255</f>
        <v>1079051.1200000001</v>
      </c>
    </row>
    <row r="256" spans="1:7">
      <c r="A256" s="432" t="str">
        <f>+'0005'!A256</f>
        <v xml:space="preserve">551505631 </v>
      </c>
      <c r="B256" s="432" t="str">
        <f>+'0005'!B256</f>
        <v xml:space="preserve">      551505631  maq y eqConstruc</v>
      </c>
      <c r="C256" s="465">
        <f>+'0005'!C256</f>
        <v>0</v>
      </c>
      <c r="D256" s="465">
        <f>+'0005'!D256</f>
        <v>352.36</v>
      </c>
      <c r="E256" s="465">
        <f>-'0005'!E256</f>
        <v>0</v>
      </c>
      <c r="F256" s="465">
        <f>+'0005'!F256</f>
        <v>352.36</v>
      </c>
      <c r="G256" s="465">
        <f>+'0005'!G256</f>
        <v>352.36</v>
      </c>
    </row>
    <row r="257" spans="1:7">
      <c r="A257" s="432" t="str">
        <f>+'0005'!A257</f>
        <v xml:space="preserve">551505651 </v>
      </c>
      <c r="B257" s="432" t="str">
        <f>+'0005'!B257</f>
        <v xml:space="preserve">      551505651  Eq Comunicación</v>
      </c>
      <c r="C257" s="465">
        <f>+'0005'!C257</f>
        <v>0</v>
      </c>
      <c r="D257" s="465">
        <f>+'0005'!D257</f>
        <v>4538.32</v>
      </c>
      <c r="E257" s="465">
        <f>-'0005'!E257</f>
        <v>0</v>
      </c>
      <c r="F257" s="465">
        <f>+'0005'!F257</f>
        <v>4538.32</v>
      </c>
      <c r="G257" s="465">
        <f>+'0005'!G257</f>
        <v>4538.32</v>
      </c>
    </row>
    <row r="258" spans="1:7">
      <c r="A258" s="432" t="str">
        <f>+'0005'!A258</f>
        <v xml:space="preserve">551505661 </v>
      </c>
      <c r="B258" s="432" t="str">
        <f>+'0005'!B258</f>
        <v xml:space="preserve">      551505661  Epo gener elec y a</v>
      </c>
      <c r="C258" s="465">
        <f>+'0005'!C258</f>
        <v>0</v>
      </c>
      <c r="D258" s="465">
        <f>+'0005'!D258</f>
        <v>16983.27</v>
      </c>
      <c r="E258" s="465">
        <f>-'0005'!E258</f>
        <v>0</v>
      </c>
      <c r="F258" s="465">
        <f>+'0005'!F258</f>
        <v>16983.27</v>
      </c>
      <c r="G258" s="465">
        <f>+'0005'!G258</f>
        <v>16983.27</v>
      </c>
    </row>
    <row r="259" spans="1:7">
      <c r="A259" s="432" t="str">
        <f>+'0005'!A259</f>
        <v>5518</v>
      </c>
      <c r="B259" s="432" t="str">
        <f>+'0005'!B259</f>
        <v>*     5518     Disminucion de Biene</v>
      </c>
      <c r="C259" s="465">
        <f>+'0005'!C259</f>
        <v>0</v>
      </c>
      <c r="D259" s="465">
        <f>+'0005'!D259</f>
        <v>171881.25</v>
      </c>
      <c r="E259" s="465">
        <f>-'0005'!E259</f>
        <v>0</v>
      </c>
      <c r="F259" s="465">
        <f>+'0005'!F259</f>
        <v>171881.25</v>
      </c>
      <c r="G259" s="465">
        <f>+'0005'!G259</f>
        <v>171881.25</v>
      </c>
    </row>
    <row r="260" spans="1:7">
      <c r="A260" s="432" t="str">
        <f>+'0005'!A260</f>
        <v xml:space="preserve">551805411 </v>
      </c>
      <c r="B260" s="432" t="str">
        <f>+'0005'!B260</f>
        <v xml:space="preserve">      551805411  Automóviles y cami</v>
      </c>
      <c r="C260" s="465">
        <f>+'0005'!C260</f>
        <v>0</v>
      </c>
      <c r="D260" s="465">
        <f>+'0005'!D260</f>
        <v>171881.25</v>
      </c>
      <c r="E260" s="465">
        <f>-'0005'!E260</f>
        <v>0</v>
      </c>
      <c r="F260" s="465">
        <f>+'0005'!F260</f>
        <v>171881.25</v>
      </c>
      <c r="G260" s="465">
        <f>+'0005'!G260</f>
        <v>171881.25</v>
      </c>
    </row>
    <row r="261" spans="1:7">
      <c r="A261" s="432">
        <f>+'0005'!A261</f>
        <v>0</v>
      </c>
      <c r="B261" s="432">
        <f>+'0005'!B261</f>
        <v>0</v>
      </c>
      <c r="C261" s="465">
        <f>+'0005'!C261</f>
        <v>0</v>
      </c>
      <c r="D261" s="465">
        <f>+'0005'!D261</f>
        <v>0</v>
      </c>
      <c r="E261" s="465">
        <f>-'0005'!E261</f>
        <v>0</v>
      </c>
      <c r="F261" s="465">
        <f>+'0005'!F261</f>
        <v>0</v>
      </c>
      <c r="G261" s="465">
        <f>+'0005'!G261</f>
        <v>0</v>
      </c>
    </row>
    <row r="262" spans="1:7">
      <c r="A262" s="432">
        <f>+'0005'!A262</f>
        <v>0</v>
      </c>
      <c r="B262" s="432">
        <f>+'0005'!B262</f>
        <v>0</v>
      </c>
      <c r="C262" s="465">
        <f>+'0005'!C262</f>
        <v>0</v>
      </c>
      <c r="D262" s="465">
        <f>+'0005'!D262</f>
        <v>0</v>
      </c>
      <c r="E262" s="465">
        <f>-'0005'!E262</f>
        <v>0</v>
      </c>
      <c r="F262" s="465">
        <f>+'0005'!F262</f>
        <v>0</v>
      </c>
      <c r="G262" s="465">
        <f>+'0005'!G262</f>
        <v>0</v>
      </c>
    </row>
    <row r="263" spans="1:7">
      <c r="A263" s="432">
        <f>+'0005'!A263</f>
        <v>0</v>
      </c>
      <c r="B263" s="432">
        <f>+'0005'!B263</f>
        <v>0</v>
      </c>
      <c r="C263" s="465">
        <f>+'0005'!C263</f>
        <v>0</v>
      </c>
      <c r="D263" s="465">
        <f>+'0005'!D263</f>
        <v>0</v>
      </c>
      <c r="E263" s="465">
        <f>-'0005'!E263</f>
        <v>0</v>
      </c>
      <c r="F263" s="465">
        <f>+'0005'!F263</f>
        <v>0</v>
      </c>
      <c r="G263" s="465">
        <f>+'0005'!G263</f>
        <v>0</v>
      </c>
    </row>
    <row r="264" spans="1:7">
      <c r="A264" s="432">
        <f>+'0005'!A264</f>
        <v>0</v>
      </c>
      <c r="B264" s="432">
        <f>+'0005'!B264</f>
        <v>0</v>
      </c>
      <c r="C264" s="465">
        <f>+'0005'!C264</f>
        <v>0</v>
      </c>
      <c r="D264" s="465">
        <f>+'0005'!D264</f>
        <v>0</v>
      </c>
      <c r="E264" s="465">
        <f>-'0005'!E264</f>
        <v>0</v>
      </c>
      <c r="F264" s="465">
        <f>+'0005'!F264</f>
        <v>0</v>
      </c>
      <c r="G264" s="465">
        <f>+'0005'!G264</f>
        <v>0</v>
      </c>
    </row>
    <row r="265" spans="1:7">
      <c r="A265" s="432">
        <f>+'0005'!A265</f>
        <v>0</v>
      </c>
      <c r="B265" s="432">
        <f>+'0005'!B265</f>
        <v>0</v>
      </c>
      <c r="C265" s="465">
        <f>+'0005'!C265</f>
        <v>0</v>
      </c>
      <c r="D265" s="465">
        <f>+'0005'!D265</f>
        <v>0</v>
      </c>
      <c r="E265" s="465">
        <f>-'0005'!E265</f>
        <v>0</v>
      </c>
      <c r="F265" s="465">
        <f>+'0005'!F265</f>
        <v>0</v>
      </c>
      <c r="G265" s="465">
        <f>+'0005'!G265</f>
        <v>0</v>
      </c>
    </row>
    <row r="266" spans="1:7">
      <c r="A266" s="432">
        <f>+'0005'!A266</f>
        <v>0</v>
      </c>
      <c r="B266" s="432">
        <f>+'0005'!B266</f>
        <v>0</v>
      </c>
      <c r="C266" s="465">
        <f>+'0005'!C266</f>
        <v>0</v>
      </c>
      <c r="D266" s="465">
        <f>+'0005'!D266</f>
        <v>0</v>
      </c>
      <c r="E266" s="465">
        <f>-'0005'!E266</f>
        <v>0</v>
      </c>
      <c r="F266" s="465">
        <f>+'0005'!F266</f>
        <v>0</v>
      </c>
      <c r="G266" s="465">
        <f>+'0005'!G266</f>
        <v>0</v>
      </c>
    </row>
    <row r="267" spans="1:7">
      <c r="A267" s="432">
        <f>+'0005'!A267</f>
        <v>0</v>
      </c>
      <c r="B267" s="432">
        <f>+'0005'!B267</f>
        <v>0</v>
      </c>
      <c r="C267" s="465">
        <f>+'0005'!C267</f>
        <v>0</v>
      </c>
      <c r="D267" s="465">
        <f>+'0005'!D267</f>
        <v>0</v>
      </c>
      <c r="E267" s="465">
        <f>-'0005'!E267</f>
        <v>0</v>
      </c>
      <c r="F267" s="465">
        <f>+'0005'!F267</f>
        <v>0</v>
      </c>
      <c r="G267" s="465">
        <f>+'0005'!G267</f>
        <v>0</v>
      </c>
    </row>
    <row r="268" spans="1:7">
      <c r="A268" s="432">
        <f>+'0005'!A268</f>
        <v>0</v>
      </c>
      <c r="B268" s="432">
        <f>+'0005'!B268</f>
        <v>0</v>
      </c>
      <c r="C268" s="465">
        <f>+'0005'!C268</f>
        <v>0</v>
      </c>
      <c r="D268" s="465">
        <f>+'0005'!D268</f>
        <v>0</v>
      </c>
      <c r="E268" s="465">
        <f>-'0005'!E268</f>
        <v>0</v>
      </c>
      <c r="F268" s="465">
        <f>+'0005'!F268</f>
        <v>0</v>
      </c>
      <c r="G268" s="465">
        <f>+'0005'!G268</f>
        <v>0</v>
      </c>
    </row>
    <row r="269" spans="1:7">
      <c r="A269" s="432">
        <f>+'0005'!A269</f>
        <v>0</v>
      </c>
      <c r="B269" s="432">
        <f>+'0005'!B269</f>
        <v>0</v>
      </c>
      <c r="C269" s="465">
        <f>+'0005'!C269</f>
        <v>0</v>
      </c>
      <c r="D269" s="465">
        <f>+'0005'!D269</f>
        <v>0</v>
      </c>
      <c r="E269" s="465">
        <f>-'0005'!E269</f>
        <v>0</v>
      </c>
      <c r="F269" s="465">
        <f>+'0005'!F269</f>
        <v>0</v>
      </c>
      <c r="G269" s="465">
        <f>+'0005'!G269</f>
        <v>0</v>
      </c>
    </row>
    <row r="270" spans="1:7">
      <c r="A270" s="432">
        <f>+'0005'!A270</f>
        <v>0</v>
      </c>
      <c r="B270" s="432">
        <f>+'0005'!B270</f>
        <v>0</v>
      </c>
      <c r="C270" s="465">
        <f>+'0005'!C270</f>
        <v>0</v>
      </c>
      <c r="D270" s="465">
        <f>+'0005'!D270</f>
        <v>0</v>
      </c>
      <c r="E270" s="465">
        <f>-'0005'!E270</f>
        <v>0</v>
      </c>
      <c r="F270" s="465">
        <f>+'0005'!F270</f>
        <v>0</v>
      </c>
      <c r="G270" s="465">
        <f>+'0005'!G270</f>
        <v>0</v>
      </c>
    </row>
    <row r="271" spans="1:7">
      <c r="A271" s="432">
        <f>+'0005'!A271</f>
        <v>0</v>
      </c>
      <c r="B271" s="432">
        <f>+'0005'!B271</f>
        <v>0</v>
      </c>
      <c r="C271" s="465">
        <f>+'0005'!C271</f>
        <v>0</v>
      </c>
      <c r="D271" s="465">
        <f>+'0005'!D271</f>
        <v>0</v>
      </c>
      <c r="E271" s="465">
        <f>-'0005'!E271</f>
        <v>0</v>
      </c>
      <c r="F271" s="465">
        <f>+'0005'!F271</f>
        <v>0</v>
      </c>
      <c r="G271" s="465">
        <f>+'0005'!G271</f>
        <v>0</v>
      </c>
    </row>
    <row r="272" spans="1:7">
      <c r="A272" s="432">
        <f>+'0005'!A272</f>
        <v>0</v>
      </c>
      <c r="B272" s="432">
        <f>+'0005'!B272</f>
        <v>0</v>
      </c>
      <c r="C272" s="465">
        <f>+'0005'!C272</f>
        <v>0</v>
      </c>
      <c r="D272" s="465">
        <f>+'0005'!D272</f>
        <v>0</v>
      </c>
      <c r="E272" s="465">
        <f>-'0005'!E272</f>
        <v>0</v>
      </c>
      <c r="F272" s="465">
        <f>+'0005'!F272</f>
        <v>0</v>
      </c>
      <c r="G272" s="465">
        <f>+'0005'!G272</f>
        <v>0</v>
      </c>
    </row>
    <row r="273" spans="1:7">
      <c r="A273" s="432">
        <f>+'0005'!A273</f>
        <v>0</v>
      </c>
      <c r="B273" s="432">
        <f>+'0005'!B273</f>
        <v>0</v>
      </c>
      <c r="C273" s="465">
        <f>+'0005'!C273</f>
        <v>0</v>
      </c>
      <c r="D273" s="465">
        <f>+'0005'!D273</f>
        <v>0</v>
      </c>
      <c r="E273" s="465">
        <f>-'0005'!E273</f>
        <v>0</v>
      </c>
      <c r="F273" s="465">
        <f>+'0005'!F273</f>
        <v>0</v>
      </c>
      <c r="G273" s="465">
        <f>+'0005'!G273</f>
        <v>0</v>
      </c>
    </row>
    <row r="274" spans="1:7">
      <c r="A274" s="432">
        <f>+'0005'!A274</f>
        <v>0</v>
      </c>
      <c r="B274" s="432">
        <f>+'0005'!B274</f>
        <v>0</v>
      </c>
      <c r="C274" s="465">
        <f>+'0005'!C274</f>
        <v>0</v>
      </c>
      <c r="D274" s="465">
        <f>+'0005'!D274</f>
        <v>0</v>
      </c>
      <c r="E274" s="465">
        <f>-'0005'!E274</f>
        <v>0</v>
      </c>
      <c r="F274" s="465">
        <f>+'0005'!F274</f>
        <v>0</v>
      </c>
      <c r="G274" s="465">
        <f>+'0005'!G274</f>
        <v>0</v>
      </c>
    </row>
  </sheetData>
  <sheetProtection insertRows="0" deleteRows="0" autoFilter="0"/>
  <mergeCells count="1">
    <mergeCell ref="A1:G1"/>
  </mergeCells>
  <dataValidations count="7">
    <dataValidation allowBlank="1" showInputMessage="1" showErrorMessage="1" prompt="Es la diferencia entre el cargo y el abono."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487 JC65487 SY65487 ACU65487 AMQ65487 AWM65487 BGI65487 BQE65487 CAA65487 CJW65487 CTS65487 DDO65487 DNK65487 DXG65487 EHC65487 EQY65487 FAU65487 FKQ65487 FUM65487 GEI65487 GOE65487 GYA65487 HHW65487 HRS65487 IBO65487 ILK65487 IVG65487 JFC65487 JOY65487 JYU65487 KIQ65487 KSM65487 LCI65487 LME65487 LWA65487 MFW65487 MPS65487 MZO65487 NJK65487 NTG65487 ODC65487 OMY65487 OWU65487 PGQ65487 PQM65487 QAI65487 QKE65487 QUA65487 RDW65487 RNS65487 RXO65487 SHK65487 SRG65487 TBC65487 TKY65487 TUU65487 UEQ65487 UOM65487 UYI65487 VIE65487 VSA65487 WBW65487 WLS65487 WVO65487 G131023 JC131023 SY131023 ACU131023 AMQ131023 AWM131023 BGI131023 BQE131023 CAA131023 CJW131023 CTS131023 DDO131023 DNK131023 DXG131023 EHC131023 EQY131023 FAU131023 FKQ131023 FUM131023 GEI131023 GOE131023 GYA131023 HHW131023 HRS131023 IBO131023 ILK131023 IVG131023 JFC131023 JOY131023 JYU131023 KIQ131023 KSM131023 LCI131023 LME131023 LWA131023 MFW131023 MPS131023 MZO131023 NJK131023 NTG131023 ODC131023 OMY131023 OWU131023 PGQ131023 PQM131023 QAI131023 QKE131023 QUA131023 RDW131023 RNS131023 RXO131023 SHK131023 SRG131023 TBC131023 TKY131023 TUU131023 UEQ131023 UOM131023 UYI131023 VIE131023 VSA131023 WBW131023 WLS131023 WVO131023 G196559 JC196559 SY196559 ACU196559 AMQ196559 AWM196559 BGI196559 BQE196559 CAA196559 CJW196559 CTS196559 DDO196559 DNK196559 DXG196559 EHC196559 EQY196559 FAU196559 FKQ196559 FUM196559 GEI196559 GOE196559 GYA196559 HHW196559 HRS196559 IBO196559 ILK196559 IVG196559 JFC196559 JOY196559 JYU196559 KIQ196559 KSM196559 LCI196559 LME196559 LWA196559 MFW196559 MPS196559 MZO196559 NJK196559 NTG196559 ODC196559 OMY196559 OWU196559 PGQ196559 PQM196559 QAI196559 QKE196559 QUA196559 RDW196559 RNS196559 RXO196559 SHK196559 SRG196559 TBC196559 TKY196559 TUU196559 UEQ196559 UOM196559 UYI196559 VIE196559 VSA196559 WBW196559 WLS196559 WVO196559 G262095 JC262095 SY262095 ACU262095 AMQ262095 AWM262095 BGI262095 BQE262095 CAA262095 CJW262095 CTS262095 DDO262095 DNK262095 DXG262095 EHC262095 EQY262095 FAU262095 FKQ262095 FUM262095 GEI262095 GOE262095 GYA262095 HHW262095 HRS262095 IBO262095 ILK262095 IVG262095 JFC262095 JOY262095 JYU262095 KIQ262095 KSM262095 LCI262095 LME262095 LWA262095 MFW262095 MPS262095 MZO262095 NJK262095 NTG262095 ODC262095 OMY262095 OWU262095 PGQ262095 PQM262095 QAI262095 QKE262095 QUA262095 RDW262095 RNS262095 RXO262095 SHK262095 SRG262095 TBC262095 TKY262095 TUU262095 UEQ262095 UOM262095 UYI262095 VIE262095 VSA262095 WBW262095 WLS262095 WVO262095 G327631 JC327631 SY327631 ACU327631 AMQ327631 AWM327631 BGI327631 BQE327631 CAA327631 CJW327631 CTS327631 DDO327631 DNK327631 DXG327631 EHC327631 EQY327631 FAU327631 FKQ327631 FUM327631 GEI327631 GOE327631 GYA327631 HHW327631 HRS327631 IBO327631 ILK327631 IVG327631 JFC327631 JOY327631 JYU327631 KIQ327631 KSM327631 LCI327631 LME327631 LWA327631 MFW327631 MPS327631 MZO327631 NJK327631 NTG327631 ODC327631 OMY327631 OWU327631 PGQ327631 PQM327631 QAI327631 QKE327631 QUA327631 RDW327631 RNS327631 RXO327631 SHK327631 SRG327631 TBC327631 TKY327631 TUU327631 UEQ327631 UOM327631 UYI327631 VIE327631 VSA327631 WBW327631 WLS327631 WVO327631 G393167 JC393167 SY393167 ACU393167 AMQ393167 AWM393167 BGI393167 BQE393167 CAA393167 CJW393167 CTS393167 DDO393167 DNK393167 DXG393167 EHC393167 EQY393167 FAU393167 FKQ393167 FUM393167 GEI393167 GOE393167 GYA393167 HHW393167 HRS393167 IBO393167 ILK393167 IVG393167 JFC393167 JOY393167 JYU393167 KIQ393167 KSM393167 LCI393167 LME393167 LWA393167 MFW393167 MPS393167 MZO393167 NJK393167 NTG393167 ODC393167 OMY393167 OWU393167 PGQ393167 PQM393167 QAI393167 QKE393167 QUA393167 RDW393167 RNS393167 RXO393167 SHK393167 SRG393167 TBC393167 TKY393167 TUU393167 UEQ393167 UOM393167 UYI393167 VIE393167 VSA393167 WBW393167 WLS393167 WVO393167 G458703 JC458703 SY458703 ACU458703 AMQ458703 AWM458703 BGI458703 BQE458703 CAA458703 CJW458703 CTS458703 DDO458703 DNK458703 DXG458703 EHC458703 EQY458703 FAU458703 FKQ458703 FUM458703 GEI458703 GOE458703 GYA458703 HHW458703 HRS458703 IBO458703 ILK458703 IVG458703 JFC458703 JOY458703 JYU458703 KIQ458703 KSM458703 LCI458703 LME458703 LWA458703 MFW458703 MPS458703 MZO458703 NJK458703 NTG458703 ODC458703 OMY458703 OWU458703 PGQ458703 PQM458703 QAI458703 QKE458703 QUA458703 RDW458703 RNS458703 RXO458703 SHK458703 SRG458703 TBC458703 TKY458703 TUU458703 UEQ458703 UOM458703 UYI458703 VIE458703 VSA458703 WBW458703 WLS458703 WVO458703 G524239 JC524239 SY524239 ACU524239 AMQ524239 AWM524239 BGI524239 BQE524239 CAA524239 CJW524239 CTS524239 DDO524239 DNK524239 DXG524239 EHC524239 EQY524239 FAU524239 FKQ524239 FUM524239 GEI524239 GOE524239 GYA524239 HHW524239 HRS524239 IBO524239 ILK524239 IVG524239 JFC524239 JOY524239 JYU524239 KIQ524239 KSM524239 LCI524239 LME524239 LWA524239 MFW524239 MPS524239 MZO524239 NJK524239 NTG524239 ODC524239 OMY524239 OWU524239 PGQ524239 PQM524239 QAI524239 QKE524239 QUA524239 RDW524239 RNS524239 RXO524239 SHK524239 SRG524239 TBC524239 TKY524239 TUU524239 UEQ524239 UOM524239 UYI524239 VIE524239 VSA524239 WBW524239 WLS524239 WVO524239 G589775 JC589775 SY589775 ACU589775 AMQ589775 AWM589775 BGI589775 BQE589775 CAA589775 CJW589775 CTS589775 DDO589775 DNK589775 DXG589775 EHC589775 EQY589775 FAU589775 FKQ589775 FUM589775 GEI589775 GOE589775 GYA589775 HHW589775 HRS589775 IBO589775 ILK589775 IVG589775 JFC589775 JOY589775 JYU589775 KIQ589775 KSM589775 LCI589775 LME589775 LWA589775 MFW589775 MPS589775 MZO589775 NJK589775 NTG589775 ODC589775 OMY589775 OWU589775 PGQ589775 PQM589775 QAI589775 QKE589775 QUA589775 RDW589775 RNS589775 RXO589775 SHK589775 SRG589775 TBC589775 TKY589775 TUU589775 UEQ589775 UOM589775 UYI589775 VIE589775 VSA589775 WBW589775 WLS589775 WVO589775 G655311 JC655311 SY655311 ACU655311 AMQ655311 AWM655311 BGI655311 BQE655311 CAA655311 CJW655311 CTS655311 DDO655311 DNK655311 DXG655311 EHC655311 EQY655311 FAU655311 FKQ655311 FUM655311 GEI655311 GOE655311 GYA655311 HHW655311 HRS655311 IBO655311 ILK655311 IVG655311 JFC655311 JOY655311 JYU655311 KIQ655311 KSM655311 LCI655311 LME655311 LWA655311 MFW655311 MPS655311 MZO655311 NJK655311 NTG655311 ODC655311 OMY655311 OWU655311 PGQ655311 PQM655311 QAI655311 QKE655311 QUA655311 RDW655311 RNS655311 RXO655311 SHK655311 SRG655311 TBC655311 TKY655311 TUU655311 UEQ655311 UOM655311 UYI655311 VIE655311 VSA655311 WBW655311 WLS655311 WVO655311 G720847 JC720847 SY720847 ACU720847 AMQ720847 AWM720847 BGI720847 BQE720847 CAA720847 CJW720847 CTS720847 DDO720847 DNK720847 DXG720847 EHC720847 EQY720847 FAU720847 FKQ720847 FUM720847 GEI720847 GOE720847 GYA720847 HHW720847 HRS720847 IBO720847 ILK720847 IVG720847 JFC720847 JOY720847 JYU720847 KIQ720847 KSM720847 LCI720847 LME720847 LWA720847 MFW720847 MPS720847 MZO720847 NJK720847 NTG720847 ODC720847 OMY720847 OWU720847 PGQ720847 PQM720847 QAI720847 QKE720847 QUA720847 RDW720847 RNS720847 RXO720847 SHK720847 SRG720847 TBC720847 TKY720847 TUU720847 UEQ720847 UOM720847 UYI720847 VIE720847 VSA720847 WBW720847 WLS720847 WVO720847 G786383 JC786383 SY786383 ACU786383 AMQ786383 AWM786383 BGI786383 BQE786383 CAA786383 CJW786383 CTS786383 DDO786383 DNK786383 DXG786383 EHC786383 EQY786383 FAU786383 FKQ786383 FUM786383 GEI786383 GOE786383 GYA786383 HHW786383 HRS786383 IBO786383 ILK786383 IVG786383 JFC786383 JOY786383 JYU786383 KIQ786383 KSM786383 LCI786383 LME786383 LWA786383 MFW786383 MPS786383 MZO786383 NJK786383 NTG786383 ODC786383 OMY786383 OWU786383 PGQ786383 PQM786383 QAI786383 QKE786383 QUA786383 RDW786383 RNS786383 RXO786383 SHK786383 SRG786383 TBC786383 TKY786383 TUU786383 UEQ786383 UOM786383 UYI786383 VIE786383 VSA786383 WBW786383 WLS786383 WVO786383 G851919 JC851919 SY851919 ACU851919 AMQ851919 AWM851919 BGI851919 BQE851919 CAA851919 CJW851919 CTS851919 DDO851919 DNK851919 DXG851919 EHC851919 EQY851919 FAU851919 FKQ851919 FUM851919 GEI851919 GOE851919 GYA851919 HHW851919 HRS851919 IBO851919 ILK851919 IVG851919 JFC851919 JOY851919 JYU851919 KIQ851919 KSM851919 LCI851919 LME851919 LWA851919 MFW851919 MPS851919 MZO851919 NJK851919 NTG851919 ODC851919 OMY851919 OWU851919 PGQ851919 PQM851919 QAI851919 QKE851919 QUA851919 RDW851919 RNS851919 RXO851919 SHK851919 SRG851919 TBC851919 TKY851919 TUU851919 UEQ851919 UOM851919 UYI851919 VIE851919 VSA851919 WBW851919 WLS851919 WVO851919 G917455 JC917455 SY917455 ACU917455 AMQ917455 AWM917455 BGI917455 BQE917455 CAA917455 CJW917455 CTS917455 DDO917455 DNK917455 DXG917455 EHC917455 EQY917455 FAU917455 FKQ917455 FUM917455 GEI917455 GOE917455 GYA917455 HHW917455 HRS917455 IBO917455 ILK917455 IVG917455 JFC917455 JOY917455 JYU917455 KIQ917455 KSM917455 LCI917455 LME917455 LWA917455 MFW917455 MPS917455 MZO917455 NJK917455 NTG917455 ODC917455 OMY917455 OWU917455 PGQ917455 PQM917455 QAI917455 QKE917455 QUA917455 RDW917455 RNS917455 RXO917455 SHK917455 SRG917455 TBC917455 TKY917455 TUU917455 UEQ917455 UOM917455 UYI917455 VIE917455 VSA917455 WBW917455 WLS917455 WVO917455 G982991 JC982991 SY982991 ACU982991 AMQ982991 AWM982991 BGI982991 BQE982991 CAA982991 CJW982991 CTS982991 DDO982991 DNK982991 DXG982991 EHC982991 EQY982991 FAU982991 FKQ982991 FUM982991 GEI982991 GOE982991 GYA982991 HHW982991 HRS982991 IBO982991 ILK982991 IVG982991 JFC982991 JOY982991 JYU982991 KIQ982991 KSM982991 LCI982991 LME982991 LWA982991 MFW982991 MPS982991 MZO982991 NJK982991 NTG982991 ODC982991 OMY982991 OWU982991 PGQ982991 PQM982991 QAI982991 QKE982991 QUA982991 RDW982991 RNS982991 RXO982991 SHK982991 SRG982991 TBC982991 TKY982991 TUU982991 UEQ982991 UOM982991 UYI982991 VIE982991 VSA982991 WBW982991 WLS982991 WVO982991"/>
    <dataValidation allowBlank="1" showInputMessage="1" showErrorMessage="1" prompt="Saldo final del mes."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487 JB65487 SX65487 ACT65487 AMP65487 AWL65487 BGH65487 BQD65487 BZZ65487 CJV65487 CTR65487 DDN65487 DNJ65487 DXF65487 EHB65487 EQX65487 FAT65487 FKP65487 FUL65487 GEH65487 GOD65487 GXZ65487 HHV65487 HRR65487 IBN65487 ILJ65487 IVF65487 JFB65487 JOX65487 JYT65487 KIP65487 KSL65487 LCH65487 LMD65487 LVZ65487 MFV65487 MPR65487 MZN65487 NJJ65487 NTF65487 ODB65487 OMX65487 OWT65487 PGP65487 PQL65487 QAH65487 QKD65487 QTZ65487 RDV65487 RNR65487 RXN65487 SHJ65487 SRF65487 TBB65487 TKX65487 TUT65487 UEP65487 UOL65487 UYH65487 VID65487 VRZ65487 WBV65487 WLR65487 WVN65487 F131023 JB131023 SX131023 ACT131023 AMP131023 AWL131023 BGH131023 BQD131023 BZZ131023 CJV131023 CTR131023 DDN131023 DNJ131023 DXF131023 EHB131023 EQX131023 FAT131023 FKP131023 FUL131023 GEH131023 GOD131023 GXZ131023 HHV131023 HRR131023 IBN131023 ILJ131023 IVF131023 JFB131023 JOX131023 JYT131023 KIP131023 KSL131023 LCH131023 LMD131023 LVZ131023 MFV131023 MPR131023 MZN131023 NJJ131023 NTF131023 ODB131023 OMX131023 OWT131023 PGP131023 PQL131023 QAH131023 QKD131023 QTZ131023 RDV131023 RNR131023 RXN131023 SHJ131023 SRF131023 TBB131023 TKX131023 TUT131023 UEP131023 UOL131023 UYH131023 VID131023 VRZ131023 WBV131023 WLR131023 WVN131023 F196559 JB196559 SX196559 ACT196559 AMP196559 AWL196559 BGH196559 BQD196559 BZZ196559 CJV196559 CTR196559 DDN196559 DNJ196559 DXF196559 EHB196559 EQX196559 FAT196559 FKP196559 FUL196559 GEH196559 GOD196559 GXZ196559 HHV196559 HRR196559 IBN196559 ILJ196559 IVF196559 JFB196559 JOX196559 JYT196559 KIP196559 KSL196559 LCH196559 LMD196559 LVZ196559 MFV196559 MPR196559 MZN196559 NJJ196559 NTF196559 ODB196559 OMX196559 OWT196559 PGP196559 PQL196559 QAH196559 QKD196559 QTZ196559 RDV196559 RNR196559 RXN196559 SHJ196559 SRF196559 TBB196559 TKX196559 TUT196559 UEP196559 UOL196559 UYH196559 VID196559 VRZ196559 WBV196559 WLR196559 WVN196559 F262095 JB262095 SX262095 ACT262095 AMP262095 AWL262095 BGH262095 BQD262095 BZZ262095 CJV262095 CTR262095 DDN262095 DNJ262095 DXF262095 EHB262095 EQX262095 FAT262095 FKP262095 FUL262095 GEH262095 GOD262095 GXZ262095 HHV262095 HRR262095 IBN262095 ILJ262095 IVF262095 JFB262095 JOX262095 JYT262095 KIP262095 KSL262095 LCH262095 LMD262095 LVZ262095 MFV262095 MPR262095 MZN262095 NJJ262095 NTF262095 ODB262095 OMX262095 OWT262095 PGP262095 PQL262095 QAH262095 QKD262095 QTZ262095 RDV262095 RNR262095 RXN262095 SHJ262095 SRF262095 TBB262095 TKX262095 TUT262095 UEP262095 UOL262095 UYH262095 VID262095 VRZ262095 WBV262095 WLR262095 WVN262095 F327631 JB327631 SX327631 ACT327631 AMP327631 AWL327631 BGH327631 BQD327631 BZZ327631 CJV327631 CTR327631 DDN327631 DNJ327631 DXF327631 EHB327631 EQX327631 FAT327631 FKP327631 FUL327631 GEH327631 GOD327631 GXZ327631 HHV327631 HRR327631 IBN327631 ILJ327631 IVF327631 JFB327631 JOX327631 JYT327631 KIP327631 KSL327631 LCH327631 LMD327631 LVZ327631 MFV327631 MPR327631 MZN327631 NJJ327631 NTF327631 ODB327631 OMX327631 OWT327631 PGP327631 PQL327631 QAH327631 QKD327631 QTZ327631 RDV327631 RNR327631 RXN327631 SHJ327631 SRF327631 TBB327631 TKX327631 TUT327631 UEP327631 UOL327631 UYH327631 VID327631 VRZ327631 WBV327631 WLR327631 WVN327631 F393167 JB393167 SX393167 ACT393167 AMP393167 AWL393167 BGH393167 BQD393167 BZZ393167 CJV393167 CTR393167 DDN393167 DNJ393167 DXF393167 EHB393167 EQX393167 FAT393167 FKP393167 FUL393167 GEH393167 GOD393167 GXZ393167 HHV393167 HRR393167 IBN393167 ILJ393167 IVF393167 JFB393167 JOX393167 JYT393167 KIP393167 KSL393167 LCH393167 LMD393167 LVZ393167 MFV393167 MPR393167 MZN393167 NJJ393167 NTF393167 ODB393167 OMX393167 OWT393167 PGP393167 PQL393167 QAH393167 QKD393167 QTZ393167 RDV393167 RNR393167 RXN393167 SHJ393167 SRF393167 TBB393167 TKX393167 TUT393167 UEP393167 UOL393167 UYH393167 VID393167 VRZ393167 WBV393167 WLR393167 WVN393167 F458703 JB458703 SX458703 ACT458703 AMP458703 AWL458703 BGH458703 BQD458703 BZZ458703 CJV458703 CTR458703 DDN458703 DNJ458703 DXF458703 EHB458703 EQX458703 FAT458703 FKP458703 FUL458703 GEH458703 GOD458703 GXZ458703 HHV458703 HRR458703 IBN458703 ILJ458703 IVF458703 JFB458703 JOX458703 JYT458703 KIP458703 KSL458703 LCH458703 LMD458703 LVZ458703 MFV458703 MPR458703 MZN458703 NJJ458703 NTF458703 ODB458703 OMX458703 OWT458703 PGP458703 PQL458703 QAH458703 QKD458703 QTZ458703 RDV458703 RNR458703 RXN458703 SHJ458703 SRF458703 TBB458703 TKX458703 TUT458703 UEP458703 UOL458703 UYH458703 VID458703 VRZ458703 WBV458703 WLR458703 WVN458703 F524239 JB524239 SX524239 ACT524239 AMP524239 AWL524239 BGH524239 BQD524239 BZZ524239 CJV524239 CTR524239 DDN524239 DNJ524239 DXF524239 EHB524239 EQX524239 FAT524239 FKP524239 FUL524239 GEH524239 GOD524239 GXZ524239 HHV524239 HRR524239 IBN524239 ILJ524239 IVF524239 JFB524239 JOX524239 JYT524239 KIP524239 KSL524239 LCH524239 LMD524239 LVZ524239 MFV524239 MPR524239 MZN524239 NJJ524239 NTF524239 ODB524239 OMX524239 OWT524239 PGP524239 PQL524239 QAH524239 QKD524239 QTZ524239 RDV524239 RNR524239 RXN524239 SHJ524239 SRF524239 TBB524239 TKX524239 TUT524239 UEP524239 UOL524239 UYH524239 VID524239 VRZ524239 WBV524239 WLR524239 WVN524239 F589775 JB589775 SX589775 ACT589775 AMP589775 AWL589775 BGH589775 BQD589775 BZZ589775 CJV589775 CTR589775 DDN589775 DNJ589775 DXF589775 EHB589775 EQX589775 FAT589775 FKP589775 FUL589775 GEH589775 GOD589775 GXZ589775 HHV589775 HRR589775 IBN589775 ILJ589775 IVF589775 JFB589775 JOX589775 JYT589775 KIP589775 KSL589775 LCH589775 LMD589775 LVZ589775 MFV589775 MPR589775 MZN589775 NJJ589775 NTF589775 ODB589775 OMX589775 OWT589775 PGP589775 PQL589775 QAH589775 QKD589775 QTZ589775 RDV589775 RNR589775 RXN589775 SHJ589775 SRF589775 TBB589775 TKX589775 TUT589775 UEP589775 UOL589775 UYH589775 VID589775 VRZ589775 WBV589775 WLR589775 WVN589775 F655311 JB655311 SX655311 ACT655311 AMP655311 AWL655311 BGH655311 BQD655311 BZZ655311 CJV655311 CTR655311 DDN655311 DNJ655311 DXF655311 EHB655311 EQX655311 FAT655311 FKP655311 FUL655311 GEH655311 GOD655311 GXZ655311 HHV655311 HRR655311 IBN655311 ILJ655311 IVF655311 JFB655311 JOX655311 JYT655311 KIP655311 KSL655311 LCH655311 LMD655311 LVZ655311 MFV655311 MPR655311 MZN655311 NJJ655311 NTF655311 ODB655311 OMX655311 OWT655311 PGP655311 PQL655311 QAH655311 QKD655311 QTZ655311 RDV655311 RNR655311 RXN655311 SHJ655311 SRF655311 TBB655311 TKX655311 TUT655311 UEP655311 UOL655311 UYH655311 VID655311 VRZ655311 WBV655311 WLR655311 WVN655311 F720847 JB720847 SX720847 ACT720847 AMP720847 AWL720847 BGH720847 BQD720847 BZZ720847 CJV720847 CTR720847 DDN720847 DNJ720847 DXF720847 EHB720847 EQX720847 FAT720847 FKP720847 FUL720847 GEH720847 GOD720847 GXZ720847 HHV720847 HRR720847 IBN720847 ILJ720847 IVF720847 JFB720847 JOX720847 JYT720847 KIP720847 KSL720847 LCH720847 LMD720847 LVZ720847 MFV720847 MPR720847 MZN720847 NJJ720847 NTF720847 ODB720847 OMX720847 OWT720847 PGP720847 PQL720847 QAH720847 QKD720847 QTZ720847 RDV720847 RNR720847 RXN720847 SHJ720847 SRF720847 TBB720847 TKX720847 TUT720847 UEP720847 UOL720847 UYH720847 VID720847 VRZ720847 WBV720847 WLR720847 WVN720847 F786383 JB786383 SX786383 ACT786383 AMP786383 AWL786383 BGH786383 BQD786383 BZZ786383 CJV786383 CTR786383 DDN786383 DNJ786383 DXF786383 EHB786383 EQX786383 FAT786383 FKP786383 FUL786383 GEH786383 GOD786383 GXZ786383 HHV786383 HRR786383 IBN786383 ILJ786383 IVF786383 JFB786383 JOX786383 JYT786383 KIP786383 KSL786383 LCH786383 LMD786383 LVZ786383 MFV786383 MPR786383 MZN786383 NJJ786383 NTF786383 ODB786383 OMX786383 OWT786383 PGP786383 PQL786383 QAH786383 QKD786383 QTZ786383 RDV786383 RNR786383 RXN786383 SHJ786383 SRF786383 TBB786383 TKX786383 TUT786383 UEP786383 UOL786383 UYH786383 VID786383 VRZ786383 WBV786383 WLR786383 WVN786383 F851919 JB851919 SX851919 ACT851919 AMP851919 AWL851919 BGH851919 BQD851919 BZZ851919 CJV851919 CTR851919 DDN851919 DNJ851919 DXF851919 EHB851919 EQX851919 FAT851919 FKP851919 FUL851919 GEH851919 GOD851919 GXZ851919 HHV851919 HRR851919 IBN851919 ILJ851919 IVF851919 JFB851919 JOX851919 JYT851919 KIP851919 KSL851919 LCH851919 LMD851919 LVZ851919 MFV851919 MPR851919 MZN851919 NJJ851919 NTF851919 ODB851919 OMX851919 OWT851919 PGP851919 PQL851919 QAH851919 QKD851919 QTZ851919 RDV851919 RNR851919 RXN851919 SHJ851919 SRF851919 TBB851919 TKX851919 TUT851919 UEP851919 UOL851919 UYH851919 VID851919 VRZ851919 WBV851919 WLR851919 WVN851919 F917455 JB917455 SX917455 ACT917455 AMP917455 AWL917455 BGH917455 BQD917455 BZZ917455 CJV917455 CTR917455 DDN917455 DNJ917455 DXF917455 EHB917455 EQX917455 FAT917455 FKP917455 FUL917455 GEH917455 GOD917455 GXZ917455 HHV917455 HRR917455 IBN917455 ILJ917455 IVF917455 JFB917455 JOX917455 JYT917455 KIP917455 KSL917455 LCH917455 LMD917455 LVZ917455 MFV917455 MPR917455 MZN917455 NJJ917455 NTF917455 ODB917455 OMX917455 OWT917455 PGP917455 PQL917455 QAH917455 QKD917455 QTZ917455 RDV917455 RNR917455 RXN917455 SHJ917455 SRF917455 TBB917455 TKX917455 TUT917455 UEP917455 UOL917455 UYH917455 VID917455 VRZ917455 WBV917455 WLR917455 WVN917455 F982991 JB982991 SX982991 ACT982991 AMP982991 AWL982991 BGH982991 BQD982991 BZZ982991 CJV982991 CTR982991 DDN982991 DNJ982991 DXF982991 EHB982991 EQX982991 FAT982991 FKP982991 FUL982991 GEH982991 GOD982991 GXZ982991 HHV982991 HRR982991 IBN982991 ILJ982991 IVF982991 JFB982991 JOX982991 JYT982991 KIP982991 KSL982991 LCH982991 LMD982991 LVZ982991 MFV982991 MPR982991 MZN982991 NJJ982991 NTF982991 ODB982991 OMX982991 OWT982991 PGP982991 PQL982991 QAH982991 QKD982991 QTZ982991 RDV982991 RNR982991 RXN982991 SHJ982991 SRF982991 TBB982991 TKX982991 TUT982991 UEP982991 UOL982991 UYH982991 VID982991 VRZ982991 WBV982991 WLR982991 WVN982991"/>
    <dataValidation allowBlank="1" showInputMessage="1" showErrorMessage="1" prompt="Abonos del mes."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487 JA65487 SW65487 ACS65487 AMO65487 AWK65487 BGG65487 BQC65487 BZY65487 CJU65487 CTQ65487 DDM65487 DNI65487 DXE65487 EHA65487 EQW65487 FAS65487 FKO65487 FUK65487 GEG65487 GOC65487 GXY65487 HHU65487 HRQ65487 IBM65487 ILI65487 IVE65487 JFA65487 JOW65487 JYS65487 KIO65487 KSK65487 LCG65487 LMC65487 LVY65487 MFU65487 MPQ65487 MZM65487 NJI65487 NTE65487 ODA65487 OMW65487 OWS65487 PGO65487 PQK65487 QAG65487 QKC65487 QTY65487 RDU65487 RNQ65487 RXM65487 SHI65487 SRE65487 TBA65487 TKW65487 TUS65487 UEO65487 UOK65487 UYG65487 VIC65487 VRY65487 WBU65487 WLQ65487 WVM65487 E131023 JA131023 SW131023 ACS131023 AMO131023 AWK131023 BGG131023 BQC131023 BZY131023 CJU131023 CTQ131023 DDM131023 DNI131023 DXE131023 EHA131023 EQW131023 FAS131023 FKO131023 FUK131023 GEG131023 GOC131023 GXY131023 HHU131023 HRQ131023 IBM131023 ILI131023 IVE131023 JFA131023 JOW131023 JYS131023 KIO131023 KSK131023 LCG131023 LMC131023 LVY131023 MFU131023 MPQ131023 MZM131023 NJI131023 NTE131023 ODA131023 OMW131023 OWS131023 PGO131023 PQK131023 QAG131023 QKC131023 QTY131023 RDU131023 RNQ131023 RXM131023 SHI131023 SRE131023 TBA131023 TKW131023 TUS131023 UEO131023 UOK131023 UYG131023 VIC131023 VRY131023 WBU131023 WLQ131023 WVM131023 E196559 JA196559 SW196559 ACS196559 AMO196559 AWK196559 BGG196559 BQC196559 BZY196559 CJU196559 CTQ196559 DDM196559 DNI196559 DXE196559 EHA196559 EQW196559 FAS196559 FKO196559 FUK196559 GEG196559 GOC196559 GXY196559 HHU196559 HRQ196559 IBM196559 ILI196559 IVE196559 JFA196559 JOW196559 JYS196559 KIO196559 KSK196559 LCG196559 LMC196559 LVY196559 MFU196559 MPQ196559 MZM196559 NJI196559 NTE196559 ODA196559 OMW196559 OWS196559 PGO196559 PQK196559 QAG196559 QKC196559 QTY196559 RDU196559 RNQ196559 RXM196559 SHI196559 SRE196559 TBA196559 TKW196559 TUS196559 UEO196559 UOK196559 UYG196559 VIC196559 VRY196559 WBU196559 WLQ196559 WVM196559 E262095 JA262095 SW262095 ACS262095 AMO262095 AWK262095 BGG262095 BQC262095 BZY262095 CJU262095 CTQ262095 DDM262095 DNI262095 DXE262095 EHA262095 EQW262095 FAS262095 FKO262095 FUK262095 GEG262095 GOC262095 GXY262095 HHU262095 HRQ262095 IBM262095 ILI262095 IVE262095 JFA262095 JOW262095 JYS262095 KIO262095 KSK262095 LCG262095 LMC262095 LVY262095 MFU262095 MPQ262095 MZM262095 NJI262095 NTE262095 ODA262095 OMW262095 OWS262095 PGO262095 PQK262095 QAG262095 QKC262095 QTY262095 RDU262095 RNQ262095 RXM262095 SHI262095 SRE262095 TBA262095 TKW262095 TUS262095 UEO262095 UOK262095 UYG262095 VIC262095 VRY262095 WBU262095 WLQ262095 WVM262095 E327631 JA327631 SW327631 ACS327631 AMO327631 AWK327631 BGG327631 BQC327631 BZY327631 CJU327631 CTQ327631 DDM327631 DNI327631 DXE327631 EHA327631 EQW327631 FAS327631 FKO327631 FUK327631 GEG327631 GOC327631 GXY327631 HHU327631 HRQ327631 IBM327631 ILI327631 IVE327631 JFA327631 JOW327631 JYS327631 KIO327631 KSK327631 LCG327631 LMC327631 LVY327631 MFU327631 MPQ327631 MZM327631 NJI327631 NTE327631 ODA327631 OMW327631 OWS327631 PGO327631 PQK327631 QAG327631 QKC327631 QTY327631 RDU327631 RNQ327631 RXM327631 SHI327631 SRE327631 TBA327631 TKW327631 TUS327631 UEO327631 UOK327631 UYG327631 VIC327631 VRY327631 WBU327631 WLQ327631 WVM327631 E393167 JA393167 SW393167 ACS393167 AMO393167 AWK393167 BGG393167 BQC393167 BZY393167 CJU393167 CTQ393167 DDM393167 DNI393167 DXE393167 EHA393167 EQW393167 FAS393167 FKO393167 FUK393167 GEG393167 GOC393167 GXY393167 HHU393167 HRQ393167 IBM393167 ILI393167 IVE393167 JFA393167 JOW393167 JYS393167 KIO393167 KSK393167 LCG393167 LMC393167 LVY393167 MFU393167 MPQ393167 MZM393167 NJI393167 NTE393167 ODA393167 OMW393167 OWS393167 PGO393167 PQK393167 QAG393167 QKC393167 QTY393167 RDU393167 RNQ393167 RXM393167 SHI393167 SRE393167 TBA393167 TKW393167 TUS393167 UEO393167 UOK393167 UYG393167 VIC393167 VRY393167 WBU393167 WLQ393167 WVM393167 E458703 JA458703 SW458703 ACS458703 AMO458703 AWK458703 BGG458703 BQC458703 BZY458703 CJU458703 CTQ458703 DDM458703 DNI458703 DXE458703 EHA458703 EQW458703 FAS458703 FKO458703 FUK458703 GEG458703 GOC458703 GXY458703 HHU458703 HRQ458703 IBM458703 ILI458703 IVE458703 JFA458703 JOW458703 JYS458703 KIO458703 KSK458703 LCG458703 LMC458703 LVY458703 MFU458703 MPQ458703 MZM458703 NJI458703 NTE458703 ODA458703 OMW458703 OWS458703 PGO458703 PQK458703 QAG458703 QKC458703 QTY458703 RDU458703 RNQ458703 RXM458703 SHI458703 SRE458703 TBA458703 TKW458703 TUS458703 UEO458703 UOK458703 UYG458703 VIC458703 VRY458703 WBU458703 WLQ458703 WVM458703 E524239 JA524239 SW524239 ACS524239 AMO524239 AWK524239 BGG524239 BQC524239 BZY524239 CJU524239 CTQ524239 DDM524239 DNI524239 DXE524239 EHA524239 EQW524239 FAS524239 FKO524239 FUK524239 GEG524239 GOC524239 GXY524239 HHU524239 HRQ524239 IBM524239 ILI524239 IVE524239 JFA524239 JOW524239 JYS524239 KIO524239 KSK524239 LCG524239 LMC524239 LVY524239 MFU524239 MPQ524239 MZM524239 NJI524239 NTE524239 ODA524239 OMW524239 OWS524239 PGO524239 PQK524239 QAG524239 QKC524239 QTY524239 RDU524239 RNQ524239 RXM524239 SHI524239 SRE524239 TBA524239 TKW524239 TUS524239 UEO524239 UOK524239 UYG524239 VIC524239 VRY524239 WBU524239 WLQ524239 WVM524239 E589775 JA589775 SW589775 ACS589775 AMO589775 AWK589775 BGG589775 BQC589775 BZY589775 CJU589775 CTQ589775 DDM589775 DNI589775 DXE589775 EHA589775 EQW589775 FAS589775 FKO589775 FUK589775 GEG589775 GOC589775 GXY589775 HHU589775 HRQ589775 IBM589775 ILI589775 IVE589775 JFA589775 JOW589775 JYS589775 KIO589775 KSK589775 LCG589775 LMC589775 LVY589775 MFU589775 MPQ589775 MZM589775 NJI589775 NTE589775 ODA589775 OMW589775 OWS589775 PGO589775 PQK589775 QAG589775 QKC589775 QTY589775 RDU589775 RNQ589775 RXM589775 SHI589775 SRE589775 TBA589775 TKW589775 TUS589775 UEO589775 UOK589775 UYG589775 VIC589775 VRY589775 WBU589775 WLQ589775 WVM589775 E655311 JA655311 SW655311 ACS655311 AMO655311 AWK655311 BGG655311 BQC655311 BZY655311 CJU655311 CTQ655311 DDM655311 DNI655311 DXE655311 EHA655311 EQW655311 FAS655311 FKO655311 FUK655311 GEG655311 GOC655311 GXY655311 HHU655311 HRQ655311 IBM655311 ILI655311 IVE655311 JFA655311 JOW655311 JYS655311 KIO655311 KSK655311 LCG655311 LMC655311 LVY655311 MFU655311 MPQ655311 MZM655311 NJI655311 NTE655311 ODA655311 OMW655311 OWS655311 PGO655311 PQK655311 QAG655311 QKC655311 QTY655311 RDU655311 RNQ655311 RXM655311 SHI655311 SRE655311 TBA655311 TKW655311 TUS655311 UEO655311 UOK655311 UYG655311 VIC655311 VRY655311 WBU655311 WLQ655311 WVM655311 E720847 JA720847 SW720847 ACS720847 AMO720847 AWK720847 BGG720847 BQC720847 BZY720847 CJU720847 CTQ720847 DDM720847 DNI720847 DXE720847 EHA720847 EQW720847 FAS720847 FKO720847 FUK720847 GEG720847 GOC720847 GXY720847 HHU720847 HRQ720847 IBM720847 ILI720847 IVE720847 JFA720847 JOW720847 JYS720847 KIO720847 KSK720847 LCG720847 LMC720847 LVY720847 MFU720847 MPQ720847 MZM720847 NJI720847 NTE720847 ODA720847 OMW720847 OWS720847 PGO720847 PQK720847 QAG720847 QKC720847 QTY720847 RDU720847 RNQ720847 RXM720847 SHI720847 SRE720847 TBA720847 TKW720847 TUS720847 UEO720847 UOK720847 UYG720847 VIC720847 VRY720847 WBU720847 WLQ720847 WVM720847 E786383 JA786383 SW786383 ACS786383 AMO786383 AWK786383 BGG786383 BQC786383 BZY786383 CJU786383 CTQ786383 DDM786383 DNI786383 DXE786383 EHA786383 EQW786383 FAS786383 FKO786383 FUK786383 GEG786383 GOC786383 GXY786383 HHU786383 HRQ786383 IBM786383 ILI786383 IVE786383 JFA786383 JOW786383 JYS786383 KIO786383 KSK786383 LCG786383 LMC786383 LVY786383 MFU786383 MPQ786383 MZM786383 NJI786383 NTE786383 ODA786383 OMW786383 OWS786383 PGO786383 PQK786383 QAG786383 QKC786383 QTY786383 RDU786383 RNQ786383 RXM786383 SHI786383 SRE786383 TBA786383 TKW786383 TUS786383 UEO786383 UOK786383 UYG786383 VIC786383 VRY786383 WBU786383 WLQ786383 WVM786383 E851919 JA851919 SW851919 ACS851919 AMO851919 AWK851919 BGG851919 BQC851919 BZY851919 CJU851919 CTQ851919 DDM851919 DNI851919 DXE851919 EHA851919 EQW851919 FAS851919 FKO851919 FUK851919 GEG851919 GOC851919 GXY851919 HHU851919 HRQ851919 IBM851919 ILI851919 IVE851919 JFA851919 JOW851919 JYS851919 KIO851919 KSK851919 LCG851919 LMC851919 LVY851919 MFU851919 MPQ851919 MZM851919 NJI851919 NTE851919 ODA851919 OMW851919 OWS851919 PGO851919 PQK851919 QAG851919 QKC851919 QTY851919 RDU851919 RNQ851919 RXM851919 SHI851919 SRE851919 TBA851919 TKW851919 TUS851919 UEO851919 UOK851919 UYG851919 VIC851919 VRY851919 WBU851919 WLQ851919 WVM851919 E917455 JA917455 SW917455 ACS917455 AMO917455 AWK917455 BGG917455 BQC917455 BZY917455 CJU917455 CTQ917455 DDM917455 DNI917455 DXE917455 EHA917455 EQW917455 FAS917455 FKO917455 FUK917455 GEG917455 GOC917455 GXY917455 HHU917455 HRQ917455 IBM917455 ILI917455 IVE917455 JFA917455 JOW917455 JYS917455 KIO917455 KSK917455 LCG917455 LMC917455 LVY917455 MFU917455 MPQ917455 MZM917455 NJI917455 NTE917455 ODA917455 OMW917455 OWS917455 PGO917455 PQK917455 QAG917455 QKC917455 QTY917455 RDU917455 RNQ917455 RXM917455 SHI917455 SRE917455 TBA917455 TKW917455 TUS917455 UEO917455 UOK917455 UYG917455 VIC917455 VRY917455 WBU917455 WLQ917455 WVM917455 E982991 JA982991 SW982991 ACS982991 AMO982991 AWK982991 BGG982991 BQC982991 BZY982991 CJU982991 CTQ982991 DDM982991 DNI982991 DXE982991 EHA982991 EQW982991 FAS982991 FKO982991 FUK982991 GEG982991 GOC982991 GXY982991 HHU982991 HRQ982991 IBM982991 ILI982991 IVE982991 JFA982991 JOW982991 JYS982991 KIO982991 KSK982991 LCG982991 LMC982991 LVY982991 MFU982991 MPQ982991 MZM982991 NJI982991 NTE982991 ODA982991 OMW982991 OWS982991 PGO982991 PQK982991 QAG982991 QKC982991 QTY982991 RDU982991 RNQ982991 RXM982991 SHI982991 SRE982991 TBA982991 TKW982991 TUS982991 UEO982991 UOK982991 UYG982991 VIC982991 VRY982991 WBU982991 WLQ982991 WVM982991"/>
    <dataValidation allowBlank="1" showInputMessage="1" showErrorMessage="1" prompt="Cargos del mes."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487 IZ65487 SV65487 ACR65487 AMN65487 AWJ65487 BGF65487 BQB65487 BZX65487 CJT65487 CTP65487 DDL65487 DNH65487 DXD65487 EGZ65487 EQV65487 FAR65487 FKN65487 FUJ65487 GEF65487 GOB65487 GXX65487 HHT65487 HRP65487 IBL65487 ILH65487 IVD65487 JEZ65487 JOV65487 JYR65487 KIN65487 KSJ65487 LCF65487 LMB65487 LVX65487 MFT65487 MPP65487 MZL65487 NJH65487 NTD65487 OCZ65487 OMV65487 OWR65487 PGN65487 PQJ65487 QAF65487 QKB65487 QTX65487 RDT65487 RNP65487 RXL65487 SHH65487 SRD65487 TAZ65487 TKV65487 TUR65487 UEN65487 UOJ65487 UYF65487 VIB65487 VRX65487 WBT65487 WLP65487 WVL65487 D131023 IZ131023 SV131023 ACR131023 AMN131023 AWJ131023 BGF131023 BQB131023 BZX131023 CJT131023 CTP131023 DDL131023 DNH131023 DXD131023 EGZ131023 EQV131023 FAR131023 FKN131023 FUJ131023 GEF131023 GOB131023 GXX131023 HHT131023 HRP131023 IBL131023 ILH131023 IVD131023 JEZ131023 JOV131023 JYR131023 KIN131023 KSJ131023 LCF131023 LMB131023 LVX131023 MFT131023 MPP131023 MZL131023 NJH131023 NTD131023 OCZ131023 OMV131023 OWR131023 PGN131023 PQJ131023 QAF131023 QKB131023 QTX131023 RDT131023 RNP131023 RXL131023 SHH131023 SRD131023 TAZ131023 TKV131023 TUR131023 UEN131023 UOJ131023 UYF131023 VIB131023 VRX131023 WBT131023 WLP131023 WVL131023 D196559 IZ196559 SV196559 ACR196559 AMN196559 AWJ196559 BGF196559 BQB196559 BZX196559 CJT196559 CTP196559 DDL196559 DNH196559 DXD196559 EGZ196559 EQV196559 FAR196559 FKN196559 FUJ196559 GEF196559 GOB196559 GXX196559 HHT196559 HRP196559 IBL196559 ILH196559 IVD196559 JEZ196559 JOV196559 JYR196559 KIN196559 KSJ196559 LCF196559 LMB196559 LVX196559 MFT196559 MPP196559 MZL196559 NJH196559 NTD196559 OCZ196559 OMV196559 OWR196559 PGN196559 PQJ196559 QAF196559 QKB196559 QTX196559 RDT196559 RNP196559 RXL196559 SHH196559 SRD196559 TAZ196559 TKV196559 TUR196559 UEN196559 UOJ196559 UYF196559 VIB196559 VRX196559 WBT196559 WLP196559 WVL196559 D262095 IZ262095 SV262095 ACR262095 AMN262095 AWJ262095 BGF262095 BQB262095 BZX262095 CJT262095 CTP262095 DDL262095 DNH262095 DXD262095 EGZ262095 EQV262095 FAR262095 FKN262095 FUJ262095 GEF262095 GOB262095 GXX262095 HHT262095 HRP262095 IBL262095 ILH262095 IVD262095 JEZ262095 JOV262095 JYR262095 KIN262095 KSJ262095 LCF262095 LMB262095 LVX262095 MFT262095 MPP262095 MZL262095 NJH262095 NTD262095 OCZ262095 OMV262095 OWR262095 PGN262095 PQJ262095 QAF262095 QKB262095 QTX262095 RDT262095 RNP262095 RXL262095 SHH262095 SRD262095 TAZ262095 TKV262095 TUR262095 UEN262095 UOJ262095 UYF262095 VIB262095 VRX262095 WBT262095 WLP262095 WVL262095 D327631 IZ327631 SV327631 ACR327631 AMN327631 AWJ327631 BGF327631 BQB327631 BZX327631 CJT327631 CTP327631 DDL327631 DNH327631 DXD327631 EGZ327631 EQV327631 FAR327631 FKN327631 FUJ327631 GEF327631 GOB327631 GXX327631 HHT327631 HRP327631 IBL327631 ILH327631 IVD327631 JEZ327631 JOV327631 JYR327631 KIN327631 KSJ327631 LCF327631 LMB327631 LVX327631 MFT327631 MPP327631 MZL327631 NJH327631 NTD327631 OCZ327631 OMV327631 OWR327631 PGN327631 PQJ327631 QAF327631 QKB327631 QTX327631 RDT327631 RNP327631 RXL327631 SHH327631 SRD327631 TAZ327631 TKV327631 TUR327631 UEN327631 UOJ327631 UYF327631 VIB327631 VRX327631 WBT327631 WLP327631 WVL327631 D393167 IZ393167 SV393167 ACR393167 AMN393167 AWJ393167 BGF393167 BQB393167 BZX393167 CJT393167 CTP393167 DDL393167 DNH393167 DXD393167 EGZ393167 EQV393167 FAR393167 FKN393167 FUJ393167 GEF393167 GOB393167 GXX393167 HHT393167 HRP393167 IBL393167 ILH393167 IVD393167 JEZ393167 JOV393167 JYR393167 KIN393167 KSJ393167 LCF393167 LMB393167 LVX393167 MFT393167 MPP393167 MZL393167 NJH393167 NTD393167 OCZ393167 OMV393167 OWR393167 PGN393167 PQJ393167 QAF393167 QKB393167 QTX393167 RDT393167 RNP393167 RXL393167 SHH393167 SRD393167 TAZ393167 TKV393167 TUR393167 UEN393167 UOJ393167 UYF393167 VIB393167 VRX393167 WBT393167 WLP393167 WVL393167 D458703 IZ458703 SV458703 ACR458703 AMN458703 AWJ458703 BGF458703 BQB458703 BZX458703 CJT458703 CTP458703 DDL458703 DNH458703 DXD458703 EGZ458703 EQV458703 FAR458703 FKN458703 FUJ458703 GEF458703 GOB458703 GXX458703 HHT458703 HRP458703 IBL458703 ILH458703 IVD458703 JEZ458703 JOV458703 JYR458703 KIN458703 KSJ458703 LCF458703 LMB458703 LVX458703 MFT458703 MPP458703 MZL458703 NJH458703 NTD458703 OCZ458703 OMV458703 OWR458703 PGN458703 PQJ458703 QAF458703 QKB458703 QTX458703 RDT458703 RNP458703 RXL458703 SHH458703 SRD458703 TAZ458703 TKV458703 TUR458703 UEN458703 UOJ458703 UYF458703 VIB458703 VRX458703 WBT458703 WLP458703 WVL458703 D524239 IZ524239 SV524239 ACR524239 AMN524239 AWJ524239 BGF524239 BQB524239 BZX524239 CJT524239 CTP524239 DDL524239 DNH524239 DXD524239 EGZ524239 EQV524239 FAR524239 FKN524239 FUJ524239 GEF524239 GOB524239 GXX524239 HHT524239 HRP524239 IBL524239 ILH524239 IVD524239 JEZ524239 JOV524239 JYR524239 KIN524239 KSJ524239 LCF524239 LMB524239 LVX524239 MFT524239 MPP524239 MZL524239 NJH524239 NTD524239 OCZ524239 OMV524239 OWR524239 PGN524239 PQJ524239 QAF524239 QKB524239 QTX524239 RDT524239 RNP524239 RXL524239 SHH524239 SRD524239 TAZ524239 TKV524239 TUR524239 UEN524239 UOJ524239 UYF524239 VIB524239 VRX524239 WBT524239 WLP524239 WVL524239 D589775 IZ589775 SV589775 ACR589775 AMN589775 AWJ589775 BGF589775 BQB589775 BZX589775 CJT589775 CTP589775 DDL589775 DNH589775 DXD589775 EGZ589775 EQV589775 FAR589775 FKN589775 FUJ589775 GEF589775 GOB589775 GXX589775 HHT589775 HRP589775 IBL589775 ILH589775 IVD589775 JEZ589775 JOV589775 JYR589775 KIN589775 KSJ589775 LCF589775 LMB589775 LVX589775 MFT589775 MPP589775 MZL589775 NJH589775 NTD589775 OCZ589775 OMV589775 OWR589775 PGN589775 PQJ589775 QAF589775 QKB589775 QTX589775 RDT589775 RNP589775 RXL589775 SHH589775 SRD589775 TAZ589775 TKV589775 TUR589775 UEN589775 UOJ589775 UYF589775 VIB589775 VRX589775 WBT589775 WLP589775 WVL589775 D655311 IZ655311 SV655311 ACR655311 AMN655311 AWJ655311 BGF655311 BQB655311 BZX655311 CJT655311 CTP655311 DDL655311 DNH655311 DXD655311 EGZ655311 EQV655311 FAR655311 FKN655311 FUJ655311 GEF655311 GOB655311 GXX655311 HHT655311 HRP655311 IBL655311 ILH655311 IVD655311 JEZ655311 JOV655311 JYR655311 KIN655311 KSJ655311 LCF655311 LMB655311 LVX655311 MFT655311 MPP655311 MZL655311 NJH655311 NTD655311 OCZ655311 OMV655311 OWR655311 PGN655311 PQJ655311 QAF655311 QKB655311 QTX655311 RDT655311 RNP655311 RXL655311 SHH655311 SRD655311 TAZ655311 TKV655311 TUR655311 UEN655311 UOJ655311 UYF655311 VIB655311 VRX655311 WBT655311 WLP655311 WVL655311 D720847 IZ720847 SV720847 ACR720847 AMN720847 AWJ720847 BGF720847 BQB720847 BZX720847 CJT720847 CTP720847 DDL720847 DNH720847 DXD720847 EGZ720847 EQV720847 FAR720847 FKN720847 FUJ720847 GEF720847 GOB720847 GXX720847 HHT720847 HRP720847 IBL720847 ILH720847 IVD720847 JEZ720847 JOV720847 JYR720847 KIN720847 KSJ720847 LCF720847 LMB720847 LVX720847 MFT720847 MPP720847 MZL720847 NJH720847 NTD720847 OCZ720847 OMV720847 OWR720847 PGN720847 PQJ720847 QAF720847 QKB720847 QTX720847 RDT720847 RNP720847 RXL720847 SHH720847 SRD720847 TAZ720847 TKV720847 TUR720847 UEN720847 UOJ720847 UYF720847 VIB720847 VRX720847 WBT720847 WLP720847 WVL720847 D786383 IZ786383 SV786383 ACR786383 AMN786383 AWJ786383 BGF786383 BQB786383 BZX786383 CJT786383 CTP786383 DDL786383 DNH786383 DXD786383 EGZ786383 EQV786383 FAR786383 FKN786383 FUJ786383 GEF786383 GOB786383 GXX786383 HHT786383 HRP786383 IBL786383 ILH786383 IVD786383 JEZ786383 JOV786383 JYR786383 KIN786383 KSJ786383 LCF786383 LMB786383 LVX786383 MFT786383 MPP786383 MZL786383 NJH786383 NTD786383 OCZ786383 OMV786383 OWR786383 PGN786383 PQJ786383 QAF786383 QKB786383 QTX786383 RDT786383 RNP786383 RXL786383 SHH786383 SRD786383 TAZ786383 TKV786383 TUR786383 UEN786383 UOJ786383 UYF786383 VIB786383 VRX786383 WBT786383 WLP786383 WVL786383 D851919 IZ851919 SV851919 ACR851919 AMN851919 AWJ851919 BGF851919 BQB851919 BZX851919 CJT851919 CTP851919 DDL851919 DNH851919 DXD851919 EGZ851919 EQV851919 FAR851919 FKN851919 FUJ851919 GEF851919 GOB851919 GXX851919 HHT851919 HRP851919 IBL851919 ILH851919 IVD851919 JEZ851919 JOV851919 JYR851919 KIN851919 KSJ851919 LCF851919 LMB851919 LVX851919 MFT851919 MPP851919 MZL851919 NJH851919 NTD851919 OCZ851919 OMV851919 OWR851919 PGN851919 PQJ851919 QAF851919 QKB851919 QTX851919 RDT851919 RNP851919 RXL851919 SHH851919 SRD851919 TAZ851919 TKV851919 TUR851919 UEN851919 UOJ851919 UYF851919 VIB851919 VRX851919 WBT851919 WLP851919 WVL851919 D917455 IZ917455 SV917455 ACR917455 AMN917455 AWJ917455 BGF917455 BQB917455 BZX917455 CJT917455 CTP917455 DDL917455 DNH917455 DXD917455 EGZ917455 EQV917455 FAR917455 FKN917455 FUJ917455 GEF917455 GOB917455 GXX917455 HHT917455 HRP917455 IBL917455 ILH917455 IVD917455 JEZ917455 JOV917455 JYR917455 KIN917455 KSJ917455 LCF917455 LMB917455 LVX917455 MFT917455 MPP917455 MZL917455 NJH917455 NTD917455 OCZ917455 OMV917455 OWR917455 PGN917455 PQJ917455 QAF917455 QKB917455 QTX917455 RDT917455 RNP917455 RXL917455 SHH917455 SRD917455 TAZ917455 TKV917455 TUR917455 UEN917455 UOJ917455 UYF917455 VIB917455 VRX917455 WBT917455 WLP917455 WVL917455 D982991 IZ982991 SV982991 ACR982991 AMN982991 AWJ982991 BGF982991 BQB982991 BZX982991 CJT982991 CTP982991 DDL982991 DNH982991 DXD982991 EGZ982991 EQV982991 FAR982991 FKN982991 FUJ982991 GEF982991 GOB982991 GXX982991 HHT982991 HRP982991 IBL982991 ILH982991 IVD982991 JEZ982991 JOV982991 JYR982991 KIN982991 KSJ982991 LCF982991 LMB982991 LVX982991 MFT982991 MPP982991 MZL982991 NJH982991 NTD982991 OCZ982991 OMV982991 OWR982991 PGN982991 PQJ982991 QAF982991 QKB982991 QTX982991 RDT982991 RNP982991 RXL982991 SHH982991 SRD982991 TAZ982991 TKV982991 TUR982991 UEN982991 UOJ982991 UYF982991 VIB982991 VRX982991 WBT982991 WLP982991 WVL982991"/>
    <dataValidation allowBlank="1" showInputMessage="1" showErrorMessage="1" prompt="Saldo inicial del me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487 IY65487 SU65487 ACQ65487 AMM65487 AWI65487 BGE65487 BQA65487 BZW65487 CJS65487 CTO65487 DDK65487 DNG65487 DXC65487 EGY65487 EQU65487 FAQ65487 FKM65487 FUI65487 GEE65487 GOA65487 GXW65487 HHS65487 HRO65487 IBK65487 ILG65487 IVC65487 JEY65487 JOU65487 JYQ65487 KIM65487 KSI65487 LCE65487 LMA65487 LVW65487 MFS65487 MPO65487 MZK65487 NJG65487 NTC65487 OCY65487 OMU65487 OWQ65487 PGM65487 PQI65487 QAE65487 QKA65487 QTW65487 RDS65487 RNO65487 RXK65487 SHG65487 SRC65487 TAY65487 TKU65487 TUQ65487 UEM65487 UOI65487 UYE65487 VIA65487 VRW65487 WBS65487 WLO65487 WVK65487 C131023 IY131023 SU131023 ACQ131023 AMM131023 AWI131023 BGE131023 BQA131023 BZW131023 CJS131023 CTO131023 DDK131023 DNG131023 DXC131023 EGY131023 EQU131023 FAQ131023 FKM131023 FUI131023 GEE131023 GOA131023 GXW131023 HHS131023 HRO131023 IBK131023 ILG131023 IVC131023 JEY131023 JOU131023 JYQ131023 KIM131023 KSI131023 LCE131023 LMA131023 LVW131023 MFS131023 MPO131023 MZK131023 NJG131023 NTC131023 OCY131023 OMU131023 OWQ131023 PGM131023 PQI131023 QAE131023 QKA131023 QTW131023 RDS131023 RNO131023 RXK131023 SHG131023 SRC131023 TAY131023 TKU131023 TUQ131023 UEM131023 UOI131023 UYE131023 VIA131023 VRW131023 WBS131023 WLO131023 WVK131023 C196559 IY196559 SU196559 ACQ196559 AMM196559 AWI196559 BGE196559 BQA196559 BZW196559 CJS196559 CTO196559 DDK196559 DNG196559 DXC196559 EGY196559 EQU196559 FAQ196559 FKM196559 FUI196559 GEE196559 GOA196559 GXW196559 HHS196559 HRO196559 IBK196559 ILG196559 IVC196559 JEY196559 JOU196559 JYQ196559 KIM196559 KSI196559 LCE196559 LMA196559 LVW196559 MFS196559 MPO196559 MZK196559 NJG196559 NTC196559 OCY196559 OMU196559 OWQ196559 PGM196559 PQI196559 QAE196559 QKA196559 QTW196559 RDS196559 RNO196559 RXK196559 SHG196559 SRC196559 TAY196559 TKU196559 TUQ196559 UEM196559 UOI196559 UYE196559 VIA196559 VRW196559 WBS196559 WLO196559 WVK196559 C262095 IY262095 SU262095 ACQ262095 AMM262095 AWI262095 BGE262095 BQA262095 BZW262095 CJS262095 CTO262095 DDK262095 DNG262095 DXC262095 EGY262095 EQU262095 FAQ262095 FKM262095 FUI262095 GEE262095 GOA262095 GXW262095 HHS262095 HRO262095 IBK262095 ILG262095 IVC262095 JEY262095 JOU262095 JYQ262095 KIM262095 KSI262095 LCE262095 LMA262095 LVW262095 MFS262095 MPO262095 MZK262095 NJG262095 NTC262095 OCY262095 OMU262095 OWQ262095 PGM262095 PQI262095 QAE262095 QKA262095 QTW262095 RDS262095 RNO262095 RXK262095 SHG262095 SRC262095 TAY262095 TKU262095 TUQ262095 UEM262095 UOI262095 UYE262095 VIA262095 VRW262095 WBS262095 WLO262095 WVK262095 C327631 IY327631 SU327631 ACQ327631 AMM327631 AWI327631 BGE327631 BQA327631 BZW327631 CJS327631 CTO327631 DDK327631 DNG327631 DXC327631 EGY327631 EQU327631 FAQ327631 FKM327631 FUI327631 GEE327631 GOA327631 GXW327631 HHS327631 HRO327631 IBK327631 ILG327631 IVC327631 JEY327631 JOU327631 JYQ327631 KIM327631 KSI327631 LCE327631 LMA327631 LVW327631 MFS327631 MPO327631 MZK327631 NJG327631 NTC327631 OCY327631 OMU327631 OWQ327631 PGM327631 PQI327631 QAE327631 QKA327631 QTW327631 RDS327631 RNO327631 RXK327631 SHG327631 SRC327631 TAY327631 TKU327631 TUQ327631 UEM327631 UOI327631 UYE327631 VIA327631 VRW327631 WBS327631 WLO327631 WVK327631 C393167 IY393167 SU393167 ACQ393167 AMM393167 AWI393167 BGE393167 BQA393167 BZW393167 CJS393167 CTO393167 DDK393167 DNG393167 DXC393167 EGY393167 EQU393167 FAQ393167 FKM393167 FUI393167 GEE393167 GOA393167 GXW393167 HHS393167 HRO393167 IBK393167 ILG393167 IVC393167 JEY393167 JOU393167 JYQ393167 KIM393167 KSI393167 LCE393167 LMA393167 LVW393167 MFS393167 MPO393167 MZK393167 NJG393167 NTC393167 OCY393167 OMU393167 OWQ393167 PGM393167 PQI393167 QAE393167 QKA393167 QTW393167 RDS393167 RNO393167 RXK393167 SHG393167 SRC393167 TAY393167 TKU393167 TUQ393167 UEM393167 UOI393167 UYE393167 VIA393167 VRW393167 WBS393167 WLO393167 WVK393167 C458703 IY458703 SU458703 ACQ458703 AMM458703 AWI458703 BGE458703 BQA458703 BZW458703 CJS458703 CTO458703 DDK458703 DNG458703 DXC458703 EGY458703 EQU458703 FAQ458703 FKM458703 FUI458703 GEE458703 GOA458703 GXW458703 HHS458703 HRO458703 IBK458703 ILG458703 IVC458703 JEY458703 JOU458703 JYQ458703 KIM458703 KSI458703 LCE458703 LMA458703 LVW458703 MFS458703 MPO458703 MZK458703 NJG458703 NTC458703 OCY458703 OMU458703 OWQ458703 PGM458703 PQI458703 QAE458703 QKA458703 QTW458703 RDS458703 RNO458703 RXK458703 SHG458703 SRC458703 TAY458703 TKU458703 TUQ458703 UEM458703 UOI458703 UYE458703 VIA458703 VRW458703 WBS458703 WLO458703 WVK458703 C524239 IY524239 SU524239 ACQ524239 AMM524239 AWI524239 BGE524239 BQA524239 BZW524239 CJS524239 CTO524239 DDK524239 DNG524239 DXC524239 EGY524239 EQU524239 FAQ524239 FKM524239 FUI524239 GEE524239 GOA524239 GXW524239 HHS524239 HRO524239 IBK524239 ILG524239 IVC524239 JEY524239 JOU524239 JYQ524239 KIM524239 KSI524239 LCE524239 LMA524239 LVW524239 MFS524239 MPO524239 MZK524239 NJG524239 NTC524239 OCY524239 OMU524239 OWQ524239 PGM524239 PQI524239 QAE524239 QKA524239 QTW524239 RDS524239 RNO524239 RXK524239 SHG524239 SRC524239 TAY524239 TKU524239 TUQ524239 UEM524239 UOI524239 UYE524239 VIA524239 VRW524239 WBS524239 WLO524239 WVK524239 C589775 IY589775 SU589775 ACQ589775 AMM589775 AWI589775 BGE589775 BQA589775 BZW589775 CJS589775 CTO589775 DDK589775 DNG589775 DXC589775 EGY589775 EQU589775 FAQ589775 FKM589775 FUI589775 GEE589775 GOA589775 GXW589775 HHS589775 HRO589775 IBK589775 ILG589775 IVC589775 JEY589775 JOU589775 JYQ589775 KIM589775 KSI589775 LCE589775 LMA589775 LVW589775 MFS589775 MPO589775 MZK589775 NJG589775 NTC589775 OCY589775 OMU589775 OWQ589775 PGM589775 PQI589775 QAE589775 QKA589775 QTW589775 RDS589775 RNO589775 RXK589775 SHG589775 SRC589775 TAY589775 TKU589775 TUQ589775 UEM589775 UOI589775 UYE589775 VIA589775 VRW589775 WBS589775 WLO589775 WVK589775 C655311 IY655311 SU655311 ACQ655311 AMM655311 AWI655311 BGE655311 BQA655311 BZW655311 CJS655311 CTO655311 DDK655311 DNG655311 DXC655311 EGY655311 EQU655311 FAQ655311 FKM655311 FUI655311 GEE655311 GOA655311 GXW655311 HHS655311 HRO655311 IBK655311 ILG655311 IVC655311 JEY655311 JOU655311 JYQ655311 KIM655311 KSI655311 LCE655311 LMA655311 LVW655311 MFS655311 MPO655311 MZK655311 NJG655311 NTC655311 OCY655311 OMU655311 OWQ655311 PGM655311 PQI655311 QAE655311 QKA655311 QTW655311 RDS655311 RNO655311 RXK655311 SHG655311 SRC655311 TAY655311 TKU655311 TUQ655311 UEM655311 UOI655311 UYE655311 VIA655311 VRW655311 WBS655311 WLO655311 WVK655311 C720847 IY720847 SU720847 ACQ720847 AMM720847 AWI720847 BGE720847 BQA720847 BZW720847 CJS720847 CTO720847 DDK720847 DNG720847 DXC720847 EGY720847 EQU720847 FAQ720847 FKM720847 FUI720847 GEE720847 GOA720847 GXW720847 HHS720847 HRO720847 IBK720847 ILG720847 IVC720847 JEY720847 JOU720847 JYQ720847 KIM720847 KSI720847 LCE720847 LMA720847 LVW720847 MFS720847 MPO720847 MZK720847 NJG720847 NTC720847 OCY720847 OMU720847 OWQ720847 PGM720847 PQI720847 QAE720847 QKA720847 QTW720847 RDS720847 RNO720847 RXK720847 SHG720847 SRC720847 TAY720847 TKU720847 TUQ720847 UEM720847 UOI720847 UYE720847 VIA720847 VRW720847 WBS720847 WLO720847 WVK720847 C786383 IY786383 SU786383 ACQ786383 AMM786383 AWI786383 BGE786383 BQA786383 BZW786383 CJS786383 CTO786383 DDK786383 DNG786383 DXC786383 EGY786383 EQU786383 FAQ786383 FKM786383 FUI786383 GEE786383 GOA786383 GXW786383 HHS786383 HRO786383 IBK786383 ILG786383 IVC786383 JEY786383 JOU786383 JYQ786383 KIM786383 KSI786383 LCE786383 LMA786383 LVW786383 MFS786383 MPO786383 MZK786383 NJG786383 NTC786383 OCY786383 OMU786383 OWQ786383 PGM786383 PQI786383 QAE786383 QKA786383 QTW786383 RDS786383 RNO786383 RXK786383 SHG786383 SRC786383 TAY786383 TKU786383 TUQ786383 UEM786383 UOI786383 UYE786383 VIA786383 VRW786383 WBS786383 WLO786383 WVK786383 C851919 IY851919 SU851919 ACQ851919 AMM851919 AWI851919 BGE851919 BQA851919 BZW851919 CJS851919 CTO851919 DDK851919 DNG851919 DXC851919 EGY851919 EQU851919 FAQ851919 FKM851919 FUI851919 GEE851919 GOA851919 GXW851919 HHS851919 HRO851919 IBK851919 ILG851919 IVC851919 JEY851919 JOU851919 JYQ851919 KIM851919 KSI851919 LCE851919 LMA851919 LVW851919 MFS851919 MPO851919 MZK851919 NJG851919 NTC851919 OCY851919 OMU851919 OWQ851919 PGM851919 PQI851919 QAE851919 QKA851919 QTW851919 RDS851919 RNO851919 RXK851919 SHG851919 SRC851919 TAY851919 TKU851919 TUQ851919 UEM851919 UOI851919 UYE851919 VIA851919 VRW851919 WBS851919 WLO851919 WVK851919 C917455 IY917455 SU917455 ACQ917455 AMM917455 AWI917455 BGE917455 BQA917455 BZW917455 CJS917455 CTO917455 DDK917455 DNG917455 DXC917455 EGY917455 EQU917455 FAQ917455 FKM917455 FUI917455 GEE917455 GOA917455 GXW917455 HHS917455 HRO917455 IBK917455 ILG917455 IVC917455 JEY917455 JOU917455 JYQ917455 KIM917455 KSI917455 LCE917455 LMA917455 LVW917455 MFS917455 MPO917455 MZK917455 NJG917455 NTC917455 OCY917455 OMU917455 OWQ917455 PGM917455 PQI917455 QAE917455 QKA917455 QTW917455 RDS917455 RNO917455 RXK917455 SHG917455 SRC917455 TAY917455 TKU917455 TUQ917455 UEM917455 UOI917455 UYE917455 VIA917455 VRW917455 WBS917455 WLO917455 WVK917455 C982991 IY982991 SU982991 ACQ982991 AMM982991 AWI982991 BGE982991 BQA982991 BZW982991 CJS982991 CTO982991 DDK982991 DNG982991 DXC982991 EGY982991 EQU982991 FAQ982991 FKM982991 FUI982991 GEE982991 GOA982991 GXW982991 HHS982991 HRO982991 IBK982991 ILG982991 IVC982991 JEY982991 JOU982991 JYQ982991 KIM982991 KSI982991 LCE982991 LMA982991 LVW982991 MFS982991 MPO982991 MZK982991 NJG982991 NTC982991 OCY982991 OMU982991 OWQ982991 PGM982991 PQI982991 QAE982991 QKA982991 QTW982991 RDS982991 RNO982991 RXK982991 SHG982991 SRC982991 TAY982991 TKU982991 TUQ982991 UEM982991 UOI982991 UYE982991 VIA982991 VRW982991 WBS982991 WLO982991 WVK982991"/>
    <dataValidation allowBlank="1" showInputMessage="1" showErrorMessage="1" prompt="Corresponde al nombre o descripción de la cuenta de acuerdo al Plan de Cuentas emitido por el CONAC."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487 IX65487 ST65487 ACP65487 AML65487 AWH65487 BGD65487 BPZ65487 BZV65487 CJR65487 CTN65487 DDJ65487 DNF65487 DXB65487 EGX65487 EQT65487 FAP65487 FKL65487 FUH65487 GED65487 GNZ65487 GXV65487 HHR65487 HRN65487 IBJ65487 ILF65487 IVB65487 JEX65487 JOT65487 JYP65487 KIL65487 KSH65487 LCD65487 LLZ65487 LVV65487 MFR65487 MPN65487 MZJ65487 NJF65487 NTB65487 OCX65487 OMT65487 OWP65487 PGL65487 PQH65487 QAD65487 QJZ65487 QTV65487 RDR65487 RNN65487 RXJ65487 SHF65487 SRB65487 TAX65487 TKT65487 TUP65487 UEL65487 UOH65487 UYD65487 VHZ65487 VRV65487 WBR65487 WLN65487 WVJ65487 B131023 IX131023 ST131023 ACP131023 AML131023 AWH131023 BGD131023 BPZ131023 BZV131023 CJR131023 CTN131023 DDJ131023 DNF131023 DXB131023 EGX131023 EQT131023 FAP131023 FKL131023 FUH131023 GED131023 GNZ131023 GXV131023 HHR131023 HRN131023 IBJ131023 ILF131023 IVB131023 JEX131023 JOT131023 JYP131023 KIL131023 KSH131023 LCD131023 LLZ131023 LVV131023 MFR131023 MPN131023 MZJ131023 NJF131023 NTB131023 OCX131023 OMT131023 OWP131023 PGL131023 PQH131023 QAD131023 QJZ131023 QTV131023 RDR131023 RNN131023 RXJ131023 SHF131023 SRB131023 TAX131023 TKT131023 TUP131023 UEL131023 UOH131023 UYD131023 VHZ131023 VRV131023 WBR131023 WLN131023 WVJ131023 B196559 IX196559 ST196559 ACP196559 AML196559 AWH196559 BGD196559 BPZ196559 BZV196559 CJR196559 CTN196559 DDJ196559 DNF196559 DXB196559 EGX196559 EQT196559 FAP196559 FKL196559 FUH196559 GED196559 GNZ196559 GXV196559 HHR196559 HRN196559 IBJ196559 ILF196559 IVB196559 JEX196559 JOT196559 JYP196559 KIL196559 KSH196559 LCD196559 LLZ196559 LVV196559 MFR196559 MPN196559 MZJ196559 NJF196559 NTB196559 OCX196559 OMT196559 OWP196559 PGL196559 PQH196559 QAD196559 QJZ196559 QTV196559 RDR196559 RNN196559 RXJ196559 SHF196559 SRB196559 TAX196559 TKT196559 TUP196559 UEL196559 UOH196559 UYD196559 VHZ196559 VRV196559 WBR196559 WLN196559 WVJ196559 B262095 IX262095 ST262095 ACP262095 AML262095 AWH262095 BGD262095 BPZ262095 BZV262095 CJR262095 CTN262095 DDJ262095 DNF262095 DXB262095 EGX262095 EQT262095 FAP262095 FKL262095 FUH262095 GED262095 GNZ262095 GXV262095 HHR262095 HRN262095 IBJ262095 ILF262095 IVB262095 JEX262095 JOT262095 JYP262095 KIL262095 KSH262095 LCD262095 LLZ262095 LVV262095 MFR262095 MPN262095 MZJ262095 NJF262095 NTB262095 OCX262095 OMT262095 OWP262095 PGL262095 PQH262095 QAD262095 QJZ262095 QTV262095 RDR262095 RNN262095 RXJ262095 SHF262095 SRB262095 TAX262095 TKT262095 TUP262095 UEL262095 UOH262095 UYD262095 VHZ262095 VRV262095 WBR262095 WLN262095 WVJ262095 B327631 IX327631 ST327631 ACP327631 AML327631 AWH327631 BGD327631 BPZ327631 BZV327631 CJR327631 CTN327631 DDJ327631 DNF327631 DXB327631 EGX327631 EQT327631 FAP327631 FKL327631 FUH327631 GED327631 GNZ327631 GXV327631 HHR327631 HRN327631 IBJ327631 ILF327631 IVB327631 JEX327631 JOT327631 JYP327631 KIL327631 KSH327631 LCD327631 LLZ327631 LVV327631 MFR327631 MPN327631 MZJ327631 NJF327631 NTB327631 OCX327631 OMT327631 OWP327631 PGL327631 PQH327631 QAD327631 QJZ327631 QTV327631 RDR327631 RNN327631 RXJ327631 SHF327631 SRB327631 TAX327631 TKT327631 TUP327631 UEL327631 UOH327631 UYD327631 VHZ327631 VRV327631 WBR327631 WLN327631 WVJ327631 B393167 IX393167 ST393167 ACP393167 AML393167 AWH393167 BGD393167 BPZ393167 BZV393167 CJR393167 CTN393167 DDJ393167 DNF393167 DXB393167 EGX393167 EQT393167 FAP393167 FKL393167 FUH393167 GED393167 GNZ393167 GXV393167 HHR393167 HRN393167 IBJ393167 ILF393167 IVB393167 JEX393167 JOT393167 JYP393167 KIL393167 KSH393167 LCD393167 LLZ393167 LVV393167 MFR393167 MPN393167 MZJ393167 NJF393167 NTB393167 OCX393167 OMT393167 OWP393167 PGL393167 PQH393167 QAD393167 QJZ393167 QTV393167 RDR393167 RNN393167 RXJ393167 SHF393167 SRB393167 TAX393167 TKT393167 TUP393167 UEL393167 UOH393167 UYD393167 VHZ393167 VRV393167 WBR393167 WLN393167 WVJ393167 B458703 IX458703 ST458703 ACP458703 AML458703 AWH458703 BGD458703 BPZ458703 BZV458703 CJR458703 CTN458703 DDJ458703 DNF458703 DXB458703 EGX458703 EQT458703 FAP458703 FKL458703 FUH458703 GED458703 GNZ458703 GXV458703 HHR458703 HRN458703 IBJ458703 ILF458703 IVB458703 JEX458703 JOT458703 JYP458703 KIL458703 KSH458703 LCD458703 LLZ458703 LVV458703 MFR458703 MPN458703 MZJ458703 NJF458703 NTB458703 OCX458703 OMT458703 OWP458703 PGL458703 PQH458703 QAD458703 QJZ458703 QTV458703 RDR458703 RNN458703 RXJ458703 SHF458703 SRB458703 TAX458703 TKT458703 TUP458703 UEL458703 UOH458703 UYD458703 VHZ458703 VRV458703 WBR458703 WLN458703 WVJ458703 B524239 IX524239 ST524239 ACP524239 AML524239 AWH524239 BGD524239 BPZ524239 BZV524239 CJR524239 CTN524239 DDJ524239 DNF524239 DXB524239 EGX524239 EQT524239 FAP524239 FKL524239 FUH524239 GED524239 GNZ524239 GXV524239 HHR524239 HRN524239 IBJ524239 ILF524239 IVB524239 JEX524239 JOT524239 JYP524239 KIL524239 KSH524239 LCD524239 LLZ524239 LVV524239 MFR524239 MPN524239 MZJ524239 NJF524239 NTB524239 OCX524239 OMT524239 OWP524239 PGL524239 PQH524239 QAD524239 QJZ524239 QTV524239 RDR524239 RNN524239 RXJ524239 SHF524239 SRB524239 TAX524239 TKT524239 TUP524239 UEL524239 UOH524239 UYD524239 VHZ524239 VRV524239 WBR524239 WLN524239 WVJ524239 B589775 IX589775 ST589775 ACP589775 AML589775 AWH589775 BGD589775 BPZ589775 BZV589775 CJR589775 CTN589775 DDJ589775 DNF589775 DXB589775 EGX589775 EQT589775 FAP589775 FKL589775 FUH589775 GED589775 GNZ589775 GXV589775 HHR589775 HRN589775 IBJ589775 ILF589775 IVB589775 JEX589775 JOT589775 JYP589775 KIL589775 KSH589775 LCD589775 LLZ589775 LVV589775 MFR589775 MPN589775 MZJ589775 NJF589775 NTB589775 OCX589775 OMT589775 OWP589775 PGL589775 PQH589775 QAD589775 QJZ589775 QTV589775 RDR589775 RNN589775 RXJ589775 SHF589775 SRB589775 TAX589775 TKT589775 TUP589775 UEL589775 UOH589775 UYD589775 VHZ589775 VRV589775 WBR589775 WLN589775 WVJ589775 B655311 IX655311 ST655311 ACP655311 AML655311 AWH655311 BGD655311 BPZ655311 BZV655311 CJR655311 CTN655311 DDJ655311 DNF655311 DXB655311 EGX655311 EQT655311 FAP655311 FKL655311 FUH655311 GED655311 GNZ655311 GXV655311 HHR655311 HRN655311 IBJ655311 ILF655311 IVB655311 JEX655311 JOT655311 JYP655311 KIL655311 KSH655311 LCD655311 LLZ655311 LVV655311 MFR655311 MPN655311 MZJ655311 NJF655311 NTB655311 OCX655311 OMT655311 OWP655311 PGL655311 PQH655311 QAD655311 QJZ655311 QTV655311 RDR655311 RNN655311 RXJ655311 SHF655311 SRB655311 TAX655311 TKT655311 TUP655311 UEL655311 UOH655311 UYD655311 VHZ655311 VRV655311 WBR655311 WLN655311 WVJ655311 B720847 IX720847 ST720847 ACP720847 AML720847 AWH720847 BGD720847 BPZ720847 BZV720847 CJR720847 CTN720847 DDJ720847 DNF720847 DXB720847 EGX720847 EQT720847 FAP720847 FKL720847 FUH720847 GED720847 GNZ720847 GXV720847 HHR720847 HRN720847 IBJ720847 ILF720847 IVB720847 JEX720847 JOT720847 JYP720847 KIL720847 KSH720847 LCD720847 LLZ720847 LVV720847 MFR720847 MPN720847 MZJ720847 NJF720847 NTB720847 OCX720847 OMT720847 OWP720847 PGL720847 PQH720847 QAD720847 QJZ720847 QTV720847 RDR720847 RNN720847 RXJ720847 SHF720847 SRB720847 TAX720847 TKT720847 TUP720847 UEL720847 UOH720847 UYD720847 VHZ720847 VRV720847 WBR720847 WLN720847 WVJ720847 B786383 IX786383 ST786383 ACP786383 AML786383 AWH786383 BGD786383 BPZ786383 BZV786383 CJR786383 CTN786383 DDJ786383 DNF786383 DXB786383 EGX786383 EQT786383 FAP786383 FKL786383 FUH786383 GED786383 GNZ786383 GXV786383 HHR786383 HRN786383 IBJ786383 ILF786383 IVB786383 JEX786383 JOT786383 JYP786383 KIL786383 KSH786383 LCD786383 LLZ786383 LVV786383 MFR786383 MPN786383 MZJ786383 NJF786383 NTB786383 OCX786383 OMT786383 OWP786383 PGL786383 PQH786383 QAD786383 QJZ786383 QTV786383 RDR786383 RNN786383 RXJ786383 SHF786383 SRB786383 TAX786383 TKT786383 TUP786383 UEL786383 UOH786383 UYD786383 VHZ786383 VRV786383 WBR786383 WLN786383 WVJ786383 B851919 IX851919 ST851919 ACP851919 AML851919 AWH851919 BGD851919 BPZ851919 BZV851919 CJR851919 CTN851919 DDJ851919 DNF851919 DXB851919 EGX851919 EQT851919 FAP851919 FKL851919 FUH851919 GED851919 GNZ851919 GXV851919 HHR851919 HRN851919 IBJ851919 ILF851919 IVB851919 JEX851919 JOT851919 JYP851919 KIL851919 KSH851919 LCD851919 LLZ851919 LVV851919 MFR851919 MPN851919 MZJ851919 NJF851919 NTB851919 OCX851919 OMT851919 OWP851919 PGL851919 PQH851919 QAD851919 QJZ851919 QTV851919 RDR851919 RNN851919 RXJ851919 SHF851919 SRB851919 TAX851919 TKT851919 TUP851919 UEL851919 UOH851919 UYD851919 VHZ851919 VRV851919 WBR851919 WLN851919 WVJ851919 B917455 IX917455 ST917455 ACP917455 AML917455 AWH917455 BGD917455 BPZ917455 BZV917455 CJR917455 CTN917455 DDJ917455 DNF917455 DXB917455 EGX917455 EQT917455 FAP917455 FKL917455 FUH917455 GED917455 GNZ917455 GXV917455 HHR917455 HRN917455 IBJ917455 ILF917455 IVB917455 JEX917455 JOT917455 JYP917455 KIL917455 KSH917455 LCD917455 LLZ917455 LVV917455 MFR917455 MPN917455 MZJ917455 NJF917455 NTB917455 OCX917455 OMT917455 OWP917455 PGL917455 PQH917455 QAD917455 QJZ917455 QTV917455 RDR917455 RNN917455 RXJ917455 SHF917455 SRB917455 TAX917455 TKT917455 TUP917455 UEL917455 UOH917455 UYD917455 VHZ917455 VRV917455 WBR917455 WLN917455 WVJ917455 B982991 IX982991 ST982991 ACP982991 AML982991 AWH982991 BGD982991 BPZ982991 BZV982991 CJR982991 CTN982991 DDJ982991 DNF982991 DXB982991 EGX982991 EQT982991 FAP982991 FKL982991 FUH982991 GED982991 GNZ982991 GXV982991 HHR982991 HRN982991 IBJ982991 ILF982991 IVB982991 JEX982991 JOT982991 JYP982991 KIL982991 KSH982991 LCD982991 LLZ982991 LVV982991 MFR982991 MPN982991 MZJ982991 NJF982991 NTB982991 OCX982991 OMT982991 OWP982991 PGL982991 PQH982991 QAD982991 QJZ982991 QTV982991 RDR982991 RNN982991 RXJ982991 SHF982991 SRB982991 TAX982991 TKT982991 TUP982991 UEL982991 UOH982991 UYD982991 VHZ982991 VRV982991 WBR982991 WLN982991 WVJ982991"/>
    <dataValidation allowBlank="1" showInputMessage="1" showErrorMessage="1" prompt="Corresponde al número de la cuenta de acuerdo al Plan de Cuentas emitido por el CONAC (DOF 22/11/2010)."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487 IW65487 SS65487 ACO65487 AMK65487 AWG65487 BGC65487 BPY65487 BZU65487 CJQ65487 CTM65487 DDI65487 DNE65487 DXA65487 EGW65487 EQS65487 FAO65487 FKK65487 FUG65487 GEC65487 GNY65487 GXU65487 HHQ65487 HRM65487 IBI65487 ILE65487 IVA65487 JEW65487 JOS65487 JYO65487 KIK65487 KSG65487 LCC65487 LLY65487 LVU65487 MFQ65487 MPM65487 MZI65487 NJE65487 NTA65487 OCW65487 OMS65487 OWO65487 PGK65487 PQG65487 QAC65487 QJY65487 QTU65487 RDQ65487 RNM65487 RXI65487 SHE65487 SRA65487 TAW65487 TKS65487 TUO65487 UEK65487 UOG65487 UYC65487 VHY65487 VRU65487 WBQ65487 WLM65487 WVI65487 A131023 IW131023 SS131023 ACO131023 AMK131023 AWG131023 BGC131023 BPY131023 BZU131023 CJQ131023 CTM131023 DDI131023 DNE131023 DXA131023 EGW131023 EQS131023 FAO131023 FKK131023 FUG131023 GEC131023 GNY131023 GXU131023 HHQ131023 HRM131023 IBI131023 ILE131023 IVA131023 JEW131023 JOS131023 JYO131023 KIK131023 KSG131023 LCC131023 LLY131023 LVU131023 MFQ131023 MPM131023 MZI131023 NJE131023 NTA131023 OCW131023 OMS131023 OWO131023 PGK131023 PQG131023 QAC131023 QJY131023 QTU131023 RDQ131023 RNM131023 RXI131023 SHE131023 SRA131023 TAW131023 TKS131023 TUO131023 UEK131023 UOG131023 UYC131023 VHY131023 VRU131023 WBQ131023 WLM131023 WVI131023 A196559 IW196559 SS196559 ACO196559 AMK196559 AWG196559 BGC196559 BPY196559 BZU196559 CJQ196559 CTM196559 DDI196559 DNE196559 DXA196559 EGW196559 EQS196559 FAO196559 FKK196559 FUG196559 GEC196559 GNY196559 GXU196559 HHQ196559 HRM196559 IBI196559 ILE196559 IVA196559 JEW196559 JOS196559 JYO196559 KIK196559 KSG196559 LCC196559 LLY196559 LVU196559 MFQ196559 MPM196559 MZI196559 NJE196559 NTA196559 OCW196559 OMS196559 OWO196559 PGK196559 PQG196559 QAC196559 QJY196559 QTU196559 RDQ196559 RNM196559 RXI196559 SHE196559 SRA196559 TAW196559 TKS196559 TUO196559 UEK196559 UOG196559 UYC196559 VHY196559 VRU196559 WBQ196559 WLM196559 WVI196559 A262095 IW262095 SS262095 ACO262095 AMK262095 AWG262095 BGC262095 BPY262095 BZU262095 CJQ262095 CTM262095 DDI262095 DNE262095 DXA262095 EGW262095 EQS262095 FAO262095 FKK262095 FUG262095 GEC262095 GNY262095 GXU262095 HHQ262095 HRM262095 IBI262095 ILE262095 IVA262095 JEW262095 JOS262095 JYO262095 KIK262095 KSG262095 LCC262095 LLY262095 LVU262095 MFQ262095 MPM262095 MZI262095 NJE262095 NTA262095 OCW262095 OMS262095 OWO262095 PGK262095 PQG262095 QAC262095 QJY262095 QTU262095 RDQ262095 RNM262095 RXI262095 SHE262095 SRA262095 TAW262095 TKS262095 TUO262095 UEK262095 UOG262095 UYC262095 VHY262095 VRU262095 WBQ262095 WLM262095 WVI262095 A327631 IW327631 SS327631 ACO327631 AMK327631 AWG327631 BGC327631 BPY327631 BZU327631 CJQ327631 CTM327631 DDI327631 DNE327631 DXA327631 EGW327631 EQS327631 FAO327631 FKK327631 FUG327631 GEC327631 GNY327631 GXU327631 HHQ327631 HRM327631 IBI327631 ILE327631 IVA327631 JEW327631 JOS327631 JYO327631 KIK327631 KSG327631 LCC327631 LLY327631 LVU327631 MFQ327631 MPM327631 MZI327631 NJE327631 NTA327631 OCW327631 OMS327631 OWO327631 PGK327631 PQG327631 QAC327631 QJY327631 QTU327631 RDQ327631 RNM327631 RXI327631 SHE327631 SRA327631 TAW327631 TKS327631 TUO327631 UEK327631 UOG327631 UYC327631 VHY327631 VRU327631 WBQ327631 WLM327631 WVI327631 A393167 IW393167 SS393167 ACO393167 AMK393167 AWG393167 BGC393167 BPY393167 BZU393167 CJQ393167 CTM393167 DDI393167 DNE393167 DXA393167 EGW393167 EQS393167 FAO393167 FKK393167 FUG393167 GEC393167 GNY393167 GXU393167 HHQ393167 HRM393167 IBI393167 ILE393167 IVA393167 JEW393167 JOS393167 JYO393167 KIK393167 KSG393167 LCC393167 LLY393167 LVU393167 MFQ393167 MPM393167 MZI393167 NJE393167 NTA393167 OCW393167 OMS393167 OWO393167 PGK393167 PQG393167 QAC393167 QJY393167 QTU393167 RDQ393167 RNM393167 RXI393167 SHE393167 SRA393167 TAW393167 TKS393167 TUO393167 UEK393167 UOG393167 UYC393167 VHY393167 VRU393167 WBQ393167 WLM393167 WVI393167 A458703 IW458703 SS458703 ACO458703 AMK458703 AWG458703 BGC458703 BPY458703 BZU458703 CJQ458703 CTM458703 DDI458703 DNE458703 DXA458703 EGW458703 EQS458703 FAO458703 FKK458703 FUG458703 GEC458703 GNY458703 GXU458703 HHQ458703 HRM458703 IBI458703 ILE458703 IVA458703 JEW458703 JOS458703 JYO458703 KIK458703 KSG458703 LCC458703 LLY458703 LVU458703 MFQ458703 MPM458703 MZI458703 NJE458703 NTA458703 OCW458703 OMS458703 OWO458703 PGK458703 PQG458703 QAC458703 QJY458703 QTU458703 RDQ458703 RNM458703 RXI458703 SHE458703 SRA458703 TAW458703 TKS458703 TUO458703 UEK458703 UOG458703 UYC458703 VHY458703 VRU458703 WBQ458703 WLM458703 WVI458703 A524239 IW524239 SS524239 ACO524239 AMK524239 AWG524239 BGC524239 BPY524239 BZU524239 CJQ524239 CTM524239 DDI524239 DNE524239 DXA524239 EGW524239 EQS524239 FAO524239 FKK524239 FUG524239 GEC524239 GNY524239 GXU524239 HHQ524239 HRM524239 IBI524239 ILE524239 IVA524239 JEW524239 JOS524239 JYO524239 KIK524239 KSG524239 LCC524239 LLY524239 LVU524239 MFQ524239 MPM524239 MZI524239 NJE524239 NTA524239 OCW524239 OMS524239 OWO524239 PGK524239 PQG524239 QAC524239 QJY524239 QTU524239 RDQ524239 RNM524239 RXI524239 SHE524239 SRA524239 TAW524239 TKS524239 TUO524239 UEK524239 UOG524239 UYC524239 VHY524239 VRU524239 WBQ524239 WLM524239 WVI524239 A589775 IW589775 SS589775 ACO589775 AMK589775 AWG589775 BGC589775 BPY589775 BZU589775 CJQ589775 CTM589775 DDI589775 DNE589775 DXA589775 EGW589775 EQS589775 FAO589775 FKK589775 FUG589775 GEC589775 GNY589775 GXU589775 HHQ589775 HRM589775 IBI589775 ILE589775 IVA589775 JEW589775 JOS589775 JYO589775 KIK589775 KSG589775 LCC589775 LLY589775 LVU589775 MFQ589775 MPM589775 MZI589775 NJE589775 NTA589775 OCW589775 OMS589775 OWO589775 PGK589775 PQG589775 QAC589775 QJY589775 QTU589775 RDQ589775 RNM589775 RXI589775 SHE589775 SRA589775 TAW589775 TKS589775 TUO589775 UEK589775 UOG589775 UYC589775 VHY589775 VRU589775 WBQ589775 WLM589775 WVI589775 A655311 IW655311 SS655311 ACO655311 AMK655311 AWG655311 BGC655311 BPY655311 BZU655311 CJQ655311 CTM655311 DDI655311 DNE655311 DXA655311 EGW655311 EQS655311 FAO655311 FKK655311 FUG655311 GEC655311 GNY655311 GXU655311 HHQ655311 HRM655311 IBI655311 ILE655311 IVA655311 JEW655311 JOS655311 JYO655311 KIK655311 KSG655311 LCC655311 LLY655311 LVU655311 MFQ655311 MPM655311 MZI655311 NJE655311 NTA655311 OCW655311 OMS655311 OWO655311 PGK655311 PQG655311 QAC655311 QJY655311 QTU655311 RDQ655311 RNM655311 RXI655311 SHE655311 SRA655311 TAW655311 TKS655311 TUO655311 UEK655311 UOG655311 UYC655311 VHY655311 VRU655311 WBQ655311 WLM655311 WVI655311 A720847 IW720847 SS720847 ACO720847 AMK720847 AWG720847 BGC720847 BPY720847 BZU720847 CJQ720847 CTM720847 DDI720847 DNE720847 DXA720847 EGW720847 EQS720847 FAO720847 FKK720847 FUG720847 GEC720847 GNY720847 GXU720847 HHQ720847 HRM720847 IBI720847 ILE720847 IVA720847 JEW720847 JOS720847 JYO720847 KIK720847 KSG720847 LCC720847 LLY720847 LVU720847 MFQ720847 MPM720847 MZI720847 NJE720847 NTA720847 OCW720847 OMS720847 OWO720847 PGK720847 PQG720847 QAC720847 QJY720847 QTU720847 RDQ720847 RNM720847 RXI720847 SHE720847 SRA720847 TAW720847 TKS720847 TUO720847 UEK720847 UOG720847 UYC720847 VHY720847 VRU720847 WBQ720847 WLM720847 WVI720847 A786383 IW786383 SS786383 ACO786383 AMK786383 AWG786383 BGC786383 BPY786383 BZU786383 CJQ786383 CTM786383 DDI786383 DNE786383 DXA786383 EGW786383 EQS786383 FAO786383 FKK786383 FUG786383 GEC786383 GNY786383 GXU786383 HHQ786383 HRM786383 IBI786383 ILE786383 IVA786383 JEW786383 JOS786383 JYO786383 KIK786383 KSG786383 LCC786383 LLY786383 LVU786383 MFQ786383 MPM786383 MZI786383 NJE786383 NTA786383 OCW786383 OMS786383 OWO786383 PGK786383 PQG786383 QAC786383 QJY786383 QTU786383 RDQ786383 RNM786383 RXI786383 SHE786383 SRA786383 TAW786383 TKS786383 TUO786383 UEK786383 UOG786383 UYC786383 VHY786383 VRU786383 WBQ786383 WLM786383 WVI786383 A851919 IW851919 SS851919 ACO851919 AMK851919 AWG851919 BGC851919 BPY851919 BZU851919 CJQ851919 CTM851919 DDI851919 DNE851919 DXA851919 EGW851919 EQS851919 FAO851919 FKK851919 FUG851919 GEC851919 GNY851919 GXU851919 HHQ851919 HRM851919 IBI851919 ILE851919 IVA851919 JEW851919 JOS851919 JYO851919 KIK851919 KSG851919 LCC851919 LLY851919 LVU851919 MFQ851919 MPM851919 MZI851919 NJE851919 NTA851919 OCW851919 OMS851919 OWO851919 PGK851919 PQG851919 QAC851919 QJY851919 QTU851919 RDQ851919 RNM851919 RXI851919 SHE851919 SRA851919 TAW851919 TKS851919 TUO851919 UEK851919 UOG851919 UYC851919 VHY851919 VRU851919 WBQ851919 WLM851919 WVI851919 A917455 IW917455 SS917455 ACO917455 AMK917455 AWG917455 BGC917455 BPY917455 BZU917455 CJQ917455 CTM917455 DDI917455 DNE917455 DXA917455 EGW917455 EQS917455 FAO917455 FKK917455 FUG917455 GEC917455 GNY917455 GXU917455 HHQ917455 HRM917455 IBI917455 ILE917455 IVA917455 JEW917455 JOS917455 JYO917455 KIK917455 KSG917455 LCC917455 LLY917455 LVU917455 MFQ917455 MPM917455 MZI917455 NJE917455 NTA917455 OCW917455 OMS917455 OWO917455 PGK917455 PQG917455 QAC917455 QJY917455 QTU917455 RDQ917455 RNM917455 RXI917455 SHE917455 SRA917455 TAW917455 TKS917455 TUO917455 UEK917455 UOG917455 UYC917455 VHY917455 VRU917455 WBQ917455 WLM917455 WVI917455 A982991 IW982991 SS982991 ACO982991 AMK982991 AWG982991 BGC982991 BPY982991 BZU982991 CJQ982991 CTM982991 DDI982991 DNE982991 DXA982991 EGW982991 EQS982991 FAO982991 FKK982991 FUG982991 GEC982991 GNY982991 GXU982991 HHQ982991 HRM982991 IBI982991 ILE982991 IVA982991 JEW982991 JOS982991 JYO982991 KIK982991 KSG982991 LCC982991 LLY982991 LVU982991 MFQ982991 MPM982991 MZI982991 NJE982991 NTA982991 OCW982991 OMS982991 OWO982991 PGK982991 PQG982991 QAC982991 QJY982991 QTU982991 RDQ982991 RNM982991 RXI982991 SHE982991 SRA982991 TAW982991 TKS982991 TUO982991 UEK982991 UOG982991 UYC982991 VHY982991 VRU982991 WBQ982991 WLM982991 WVI982991"/>
  </dataValidations>
  <printOptions horizontalCentered="1"/>
  <pageMargins left="0.78740157480314965" right="0.39370078740157483" top="1.1811023622047245" bottom="0.98425196850393704" header="0" footer="0"/>
  <pageSetup scale="80" orientation="landscape" r:id="rId1"/>
  <headerFooter alignWithMargins="0"/>
  <ignoredErrors>
    <ignoredError sqref="B3:G201" unlocked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workbookViewId="0">
      <selection activeCell="F25" sqref="F24:F25"/>
    </sheetView>
  </sheetViews>
  <sheetFormatPr baseColWidth="10" defaultColWidth="9.28515625" defaultRowHeight="11.25"/>
  <cols>
    <col min="1" max="1" width="1.42578125" style="4" customWidth="1"/>
    <col min="2" max="2" width="13.140625" style="4" customWidth="1"/>
    <col min="3" max="4" width="9.28515625" style="4" customWidth="1"/>
    <col min="5" max="5" width="18" style="4" customWidth="1"/>
    <col min="6" max="6" width="39.5703125" style="4" customWidth="1"/>
    <col min="7" max="8" width="13.140625" style="4" customWidth="1"/>
    <col min="9" max="9" width="13.140625" style="225" customWidth="1"/>
    <col min="10" max="256" width="9.28515625" style="4"/>
    <col min="257" max="257" width="1.42578125" style="4" customWidth="1"/>
    <col min="258" max="258" width="13.140625" style="4" customWidth="1"/>
    <col min="259" max="260" width="9.28515625" style="4" customWidth="1"/>
    <col min="261" max="261" width="18" style="4" customWidth="1"/>
    <col min="262" max="262" width="39.5703125" style="4" customWidth="1"/>
    <col min="263" max="265" width="13.140625" style="4" customWidth="1"/>
    <col min="266" max="512" width="9.28515625" style="4"/>
    <col min="513" max="513" width="1.42578125" style="4" customWidth="1"/>
    <col min="514" max="514" width="13.140625" style="4" customWidth="1"/>
    <col min="515" max="516" width="9.28515625" style="4" customWidth="1"/>
    <col min="517" max="517" width="18" style="4" customWidth="1"/>
    <col min="518" max="518" width="39.5703125" style="4" customWidth="1"/>
    <col min="519" max="521" width="13.140625" style="4" customWidth="1"/>
    <col min="522" max="768" width="9.28515625" style="4"/>
    <col min="769" max="769" width="1.42578125" style="4" customWidth="1"/>
    <col min="770" max="770" width="13.140625" style="4" customWidth="1"/>
    <col min="771" max="772" width="9.28515625" style="4" customWidth="1"/>
    <col min="773" max="773" width="18" style="4" customWidth="1"/>
    <col min="774" max="774" width="39.5703125" style="4" customWidth="1"/>
    <col min="775" max="777" width="13.140625" style="4" customWidth="1"/>
    <col min="778" max="1024" width="9.28515625" style="4"/>
    <col min="1025" max="1025" width="1.42578125" style="4" customWidth="1"/>
    <col min="1026" max="1026" width="13.140625" style="4" customWidth="1"/>
    <col min="1027" max="1028" width="9.28515625" style="4" customWidth="1"/>
    <col min="1029" max="1029" width="18" style="4" customWidth="1"/>
    <col min="1030" max="1030" width="39.5703125" style="4" customWidth="1"/>
    <col min="1031" max="1033" width="13.140625" style="4" customWidth="1"/>
    <col min="1034" max="1280" width="9.28515625" style="4"/>
    <col min="1281" max="1281" width="1.42578125" style="4" customWidth="1"/>
    <col min="1282" max="1282" width="13.140625" style="4" customWidth="1"/>
    <col min="1283" max="1284" width="9.28515625" style="4" customWidth="1"/>
    <col min="1285" max="1285" width="18" style="4" customWidth="1"/>
    <col min="1286" max="1286" width="39.5703125" style="4" customWidth="1"/>
    <col min="1287" max="1289" width="13.140625" style="4" customWidth="1"/>
    <col min="1290" max="1536" width="9.28515625" style="4"/>
    <col min="1537" max="1537" width="1.42578125" style="4" customWidth="1"/>
    <col min="1538" max="1538" width="13.140625" style="4" customWidth="1"/>
    <col min="1539" max="1540" width="9.28515625" style="4" customWidth="1"/>
    <col min="1541" max="1541" width="18" style="4" customWidth="1"/>
    <col min="1542" max="1542" width="39.5703125" style="4" customWidth="1"/>
    <col min="1543" max="1545" width="13.140625" style="4" customWidth="1"/>
    <col min="1546" max="1792" width="9.28515625" style="4"/>
    <col min="1793" max="1793" width="1.42578125" style="4" customWidth="1"/>
    <col min="1794" max="1794" width="13.140625" style="4" customWidth="1"/>
    <col min="1795" max="1796" width="9.28515625" style="4" customWidth="1"/>
    <col min="1797" max="1797" width="18" style="4" customWidth="1"/>
    <col min="1798" max="1798" width="39.5703125" style="4" customWidth="1"/>
    <col min="1799" max="1801" width="13.140625" style="4" customWidth="1"/>
    <col min="1802" max="2048" width="9.28515625" style="4"/>
    <col min="2049" max="2049" width="1.42578125" style="4" customWidth="1"/>
    <col min="2050" max="2050" width="13.140625" style="4" customWidth="1"/>
    <col min="2051" max="2052" width="9.28515625" style="4" customWidth="1"/>
    <col min="2053" max="2053" width="18" style="4" customWidth="1"/>
    <col min="2054" max="2054" width="39.5703125" style="4" customWidth="1"/>
    <col min="2055" max="2057" width="13.140625" style="4" customWidth="1"/>
    <col min="2058" max="2304" width="9.28515625" style="4"/>
    <col min="2305" max="2305" width="1.42578125" style="4" customWidth="1"/>
    <col min="2306" max="2306" width="13.140625" style="4" customWidth="1"/>
    <col min="2307" max="2308" width="9.28515625" style="4" customWidth="1"/>
    <col min="2309" max="2309" width="18" style="4" customWidth="1"/>
    <col min="2310" max="2310" width="39.5703125" style="4" customWidth="1"/>
    <col min="2311" max="2313" width="13.140625" style="4" customWidth="1"/>
    <col min="2314" max="2560" width="9.28515625" style="4"/>
    <col min="2561" max="2561" width="1.42578125" style="4" customWidth="1"/>
    <col min="2562" max="2562" width="13.140625" style="4" customWidth="1"/>
    <col min="2563" max="2564" width="9.28515625" style="4" customWidth="1"/>
    <col min="2565" max="2565" width="18" style="4" customWidth="1"/>
    <col min="2566" max="2566" width="39.5703125" style="4" customWidth="1"/>
    <col min="2567" max="2569" width="13.140625" style="4" customWidth="1"/>
    <col min="2570" max="2816" width="9.28515625" style="4"/>
    <col min="2817" max="2817" width="1.42578125" style="4" customWidth="1"/>
    <col min="2818" max="2818" width="13.140625" style="4" customWidth="1"/>
    <col min="2819" max="2820" width="9.28515625" style="4" customWidth="1"/>
    <col min="2821" max="2821" width="18" style="4" customWidth="1"/>
    <col min="2822" max="2822" width="39.5703125" style="4" customWidth="1"/>
    <col min="2823" max="2825" width="13.140625" style="4" customWidth="1"/>
    <col min="2826" max="3072" width="9.28515625" style="4"/>
    <col min="3073" max="3073" width="1.42578125" style="4" customWidth="1"/>
    <col min="3074" max="3074" width="13.140625" style="4" customWidth="1"/>
    <col min="3075" max="3076" width="9.28515625" style="4" customWidth="1"/>
    <col min="3077" max="3077" width="18" style="4" customWidth="1"/>
    <col min="3078" max="3078" width="39.5703125" style="4" customWidth="1"/>
    <col min="3079" max="3081" width="13.140625" style="4" customWidth="1"/>
    <col min="3082" max="3328" width="9.28515625" style="4"/>
    <col min="3329" max="3329" width="1.42578125" style="4" customWidth="1"/>
    <col min="3330" max="3330" width="13.140625" style="4" customWidth="1"/>
    <col min="3331" max="3332" width="9.28515625" style="4" customWidth="1"/>
    <col min="3333" max="3333" width="18" style="4" customWidth="1"/>
    <col min="3334" max="3334" width="39.5703125" style="4" customWidth="1"/>
    <col min="3335" max="3337" width="13.140625" style="4" customWidth="1"/>
    <col min="3338" max="3584" width="9.28515625" style="4"/>
    <col min="3585" max="3585" width="1.42578125" style="4" customWidth="1"/>
    <col min="3586" max="3586" width="13.140625" style="4" customWidth="1"/>
    <col min="3587" max="3588" width="9.28515625" style="4" customWidth="1"/>
    <col min="3589" max="3589" width="18" style="4" customWidth="1"/>
    <col min="3590" max="3590" width="39.5703125" style="4" customWidth="1"/>
    <col min="3591" max="3593" width="13.140625" style="4" customWidth="1"/>
    <col min="3594" max="3840" width="9.28515625" style="4"/>
    <col min="3841" max="3841" width="1.42578125" style="4" customWidth="1"/>
    <col min="3842" max="3842" width="13.140625" style="4" customWidth="1"/>
    <col min="3843" max="3844" width="9.28515625" style="4" customWidth="1"/>
    <col min="3845" max="3845" width="18" style="4" customWidth="1"/>
    <col min="3846" max="3846" width="39.5703125" style="4" customWidth="1"/>
    <col min="3847" max="3849" width="13.140625" style="4" customWidth="1"/>
    <col min="3850" max="4096" width="9.28515625" style="4"/>
    <col min="4097" max="4097" width="1.42578125" style="4" customWidth="1"/>
    <col min="4098" max="4098" width="13.140625" style="4" customWidth="1"/>
    <col min="4099" max="4100" width="9.28515625" style="4" customWidth="1"/>
    <col min="4101" max="4101" width="18" style="4" customWidth="1"/>
    <col min="4102" max="4102" width="39.5703125" style="4" customWidth="1"/>
    <col min="4103" max="4105" width="13.140625" style="4" customWidth="1"/>
    <col min="4106" max="4352" width="9.28515625" style="4"/>
    <col min="4353" max="4353" width="1.42578125" style="4" customWidth="1"/>
    <col min="4354" max="4354" width="13.140625" style="4" customWidth="1"/>
    <col min="4355" max="4356" width="9.28515625" style="4" customWidth="1"/>
    <col min="4357" max="4357" width="18" style="4" customWidth="1"/>
    <col min="4358" max="4358" width="39.5703125" style="4" customWidth="1"/>
    <col min="4359" max="4361" width="13.140625" style="4" customWidth="1"/>
    <col min="4362" max="4608" width="9.28515625" style="4"/>
    <col min="4609" max="4609" width="1.42578125" style="4" customWidth="1"/>
    <col min="4610" max="4610" width="13.140625" style="4" customWidth="1"/>
    <col min="4611" max="4612" width="9.28515625" style="4" customWidth="1"/>
    <col min="4613" max="4613" width="18" style="4" customWidth="1"/>
    <col min="4614" max="4614" width="39.5703125" style="4" customWidth="1"/>
    <col min="4615" max="4617" width="13.140625" style="4" customWidth="1"/>
    <col min="4618" max="4864" width="9.28515625" style="4"/>
    <col min="4865" max="4865" width="1.42578125" style="4" customWidth="1"/>
    <col min="4866" max="4866" width="13.140625" style="4" customWidth="1"/>
    <col min="4867" max="4868" width="9.28515625" style="4" customWidth="1"/>
    <col min="4869" max="4869" width="18" style="4" customWidth="1"/>
    <col min="4870" max="4870" width="39.5703125" style="4" customWidth="1"/>
    <col min="4871" max="4873" width="13.140625" style="4" customWidth="1"/>
    <col min="4874" max="5120" width="9.28515625" style="4"/>
    <col min="5121" max="5121" width="1.42578125" style="4" customWidth="1"/>
    <col min="5122" max="5122" width="13.140625" style="4" customWidth="1"/>
    <col min="5123" max="5124" width="9.28515625" style="4" customWidth="1"/>
    <col min="5125" max="5125" width="18" style="4" customWidth="1"/>
    <col min="5126" max="5126" width="39.5703125" style="4" customWidth="1"/>
    <col min="5127" max="5129" width="13.140625" style="4" customWidth="1"/>
    <col min="5130" max="5376" width="9.28515625" style="4"/>
    <col min="5377" max="5377" width="1.42578125" style="4" customWidth="1"/>
    <col min="5378" max="5378" width="13.140625" style="4" customWidth="1"/>
    <col min="5379" max="5380" width="9.28515625" style="4" customWidth="1"/>
    <col min="5381" max="5381" width="18" style="4" customWidth="1"/>
    <col min="5382" max="5382" width="39.5703125" style="4" customWidth="1"/>
    <col min="5383" max="5385" width="13.140625" style="4" customWidth="1"/>
    <col min="5386" max="5632" width="9.28515625" style="4"/>
    <col min="5633" max="5633" width="1.42578125" style="4" customWidth="1"/>
    <col min="5634" max="5634" width="13.140625" style="4" customWidth="1"/>
    <col min="5635" max="5636" width="9.28515625" style="4" customWidth="1"/>
    <col min="5637" max="5637" width="18" style="4" customWidth="1"/>
    <col min="5638" max="5638" width="39.5703125" style="4" customWidth="1"/>
    <col min="5639" max="5641" width="13.140625" style="4" customWidth="1"/>
    <col min="5642" max="5888" width="9.28515625" style="4"/>
    <col min="5889" max="5889" width="1.42578125" style="4" customWidth="1"/>
    <col min="5890" max="5890" width="13.140625" style="4" customWidth="1"/>
    <col min="5891" max="5892" width="9.28515625" style="4" customWidth="1"/>
    <col min="5893" max="5893" width="18" style="4" customWidth="1"/>
    <col min="5894" max="5894" width="39.5703125" style="4" customWidth="1"/>
    <col min="5895" max="5897" width="13.140625" style="4" customWidth="1"/>
    <col min="5898" max="6144" width="9.28515625" style="4"/>
    <col min="6145" max="6145" width="1.42578125" style="4" customWidth="1"/>
    <col min="6146" max="6146" width="13.140625" style="4" customWidth="1"/>
    <col min="6147" max="6148" width="9.28515625" style="4" customWidth="1"/>
    <col min="6149" max="6149" width="18" style="4" customWidth="1"/>
    <col min="6150" max="6150" width="39.5703125" style="4" customWidth="1"/>
    <col min="6151" max="6153" width="13.140625" style="4" customWidth="1"/>
    <col min="6154" max="6400" width="9.28515625" style="4"/>
    <col min="6401" max="6401" width="1.42578125" style="4" customWidth="1"/>
    <col min="6402" max="6402" width="13.140625" style="4" customWidth="1"/>
    <col min="6403" max="6404" width="9.28515625" style="4" customWidth="1"/>
    <col min="6405" max="6405" width="18" style="4" customWidth="1"/>
    <col min="6406" max="6406" width="39.5703125" style="4" customWidth="1"/>
    <col min="6407" max="6409" width="13.140625" style="4" customWidth="1"/>
    <col min="6410" max="6656" width="9.28515625" style="4"/>
    <col min="6657" max="6657" width="1.42578125" style="4" customWidth="1"/>
    <col min="6658" max="6658" width="13.140625" style="4" customWidth="1"/>
    <col min="6659" max="6660" width="9.28515625" style="4" customWidth="1"/>
    <col min="6661" max="6661" width="18" style="4" customWidth="1"/>
    <col min="6662" max="6662" width="39.5703125" style="4" customWidth="1"/>
    <col min="6663" max="6665" width="13.140625" style="4" customWidth="1"/>
    <col min="6666" max="6912" width="9.28515625" style="4"/>
    <col min="6913" max="6913" width="1.42578125" style="4" customWidth="1"/>
    <col min="6914" max="6914" width="13.140625" style="4" customWidth="1"/>
    <col min="6915" max="6916" width="9.28515625" style="4" customWidth="1"/>
    <col min="6917" max="6917" width="18" style="4" customWidth="1"/>
    <col min="6918" max="6918" width="39.5703125" style="4" customWidth="1"/>
    <col min="6919" max="6921" width="13.140625" style="4" customWidth="1"/>
    <col min="6922" max="7168" width="9.28515625" style="4"/>
    <col min="7169" max="7169" width="1.42578125" style="4" customWidth="1"/>
    <col min="7170" max="7170" width="13.140625" style="4" customWidth="1"/>
    <col min="7171" max="7172" width="9.28515625" style="4" customWidth="1"/>
    <col min="7173" max="7173" width="18" style="4" customWidth="1"/>
    <col min="7174" max="7174" width="39.5703125" style="4" customWidth="1"/>
    <col min="7175" max="7177" width="13.140625" style="4" customWidth="1"/>
    <col min="7178" max="7424" width="9.28515625" style="4"/>
    <col min="7425" max="7425" width="1.42578125" style="4" customWidth="1"/>
    <col min="7426" max="7426" width="13.140625" style="4" customWidth="1"/>
    <col min="7427" max="7428" width="9.28515625" style="4" customWidth="1"/>
    <col min="7429" max="7429" width="18" style="4" customWidth="1"/>
    <col min="7430" max="7430" width="39.5703125" style="4" customWidth="1"/>
    <col min="7431" max="7433" width="13.140625" style="4" customWidth="1"/>
    <col min="7434" max="7680" width="9.28515625" style="4"/>
    <col min="7681" max="7681" width="1.42578125" style="4" customWidth="1"/>
    <col min="7682" max="7682" width="13.140625" style="4" customWidth="1"/>
    <col min="7683" max="7684" width="9.28515625" style="4" customWidth="1"/>
    <col min="7685" max="7685" width="18" style="4" customWidth="1"/>
    <col min="7686" max="7686" width="39.5703125" style="4" customWidth="1"/>
    <col min="7687" max="7689" width="13.140625" style="4" customWidth="1"/>
    <col min="7690" max="7936" width="9.28515625" style="4"/>
    <col min="7937" max="7937" width="1.42578125" style="4" customWidth="1"/>
    <col min="7938" max="7938" width="13.140625" style="4" customWidth="1"/>
    <col min="7939" max="7940" width="9.28515625" style="4" customWidth="1"/>
    <col min="7941" max="7941" width="18" style="4" customWidth="1"/>
    <col min="7942" max="7942" width="39.5703125" style="4" customWidth="1"/>
    <col min="7943" max="7945" width="13.140625" style="4" customWidth="1"/>
    <col min="7946" max="8192" width="9.28515625" style="4"/>
    <col min="8193" max="8193" width="1.42578125" style="4" customWidth="1"/>
    <col min="8194" max="8194" width="13.140625" style="4" customWidth="1"/>
    <col min="8195" max="8196" width="9.28515625" style="4" customWidth="1"/>
    <col min="8197" max="8197" width="18" style="4" customWidth="1"/>
    <col min="8198" max="8198" width="39.5703125" style="4" customWidth="1"/>
    <col min="8199" max="8201" width="13.140625" style="4" customWidth="1"/>
    <col min="8202" max="8448" width="9.28515625" style="4"/>
    <col min="8449" max="8449" width="1.42578125" style="4" customWidth="1"/>
    <col min="8450" max="8450" width="13.140625" style="4" customWidth="1"/>
    <col min="8451" max="8452" width="9.28515625" style="4" customWidth="1"/>
    <col min="8453" max="8453" width="18" style="4" customWidth="1"/>
    <col min="8454" max="8454" width="39.5703125" style="4" customWidth="1"/>
    <col min="8455" max="8457" width="13.140625" style="4" customWidth="1"/>
    <col min="8458" max="8704" width="9.28515625" style="4"/>
    <col min="8705" max="8705" width="1.42578125" style="4" customWidth="1"/>
    <col min="8706" max="8706" width="13.140625" style="4" customWidth="1"/>
    <col min="8707" max="8708" width="9.28515625" style="4" customWidth="1"/>
    <col min="8709" max="8709" width="18" style="4" customWidth="1"/>
    <col min="8710" max="8710" width="39.5703125" style="4" customWidth="1"/>
    <col min="8711" max="8713" width="13.140625" style="4" customWidth="1"/>
    <col min="8714" max="8960" width="9.28515625" style="4"/>
    <col min="8961" max="8961" width="1.42578125" style="4" customWidth="1"/>
    <col min="8962" max="8962" width="13.140625" style="4" customWidth="1"/>
    <col min="8963" max="8964" width="9.28515625" style="4" customWidth="1"/>
    <col min="8965" max="8965" width="18" style="4" customWidth="1"/>
    <col min="8966" max="8966" width="39.5703125" style="4" customWidth="1"/>
    <col min="8967" max="8969" width="13.140625" style="4" customWidth="1"/>
    <col min="8970" max="9216" width="9.28515625" style="4"/>
    <col min="9217" max="9217" width="1.42578125" style="4" customWidth="1"/>
    <col min="9218" max="9218" width="13.140625" style="4" customWidth="1"/>
    <col min="9219" max="9220" width="9.28515625" style="4" customWidth="1"/>
    <col min="9221" max="9221" width="18" style="4" customWidth="1"/>
    <col min="9222" max="9222" width="39.5703125" style="4" customWidth="1"/>
    <col min="9223" max="9225" width="13.140625" style="4" customWidth="1"/>
    <col min="9226" max="9472" width="9.28515625" style="4"/>
    <col min="9473" max="9473" width="1.42578125" style="4" customWidth="1"/>
    <col min="9474" max="9474" width="13.140625" style="4" customWidth="1"/>
    <col min="9475" max="9476" width="9.28515625" style="4" customWidth="1"/>
    <col min="9477" max="9477" width="18" style="4" customWidth="1"/>
    <col min="9478" max="9478" width="39.5703125" style="4" customWidth="1"/>
    <col min="9479" max="9481" width="13.140625" style="4" customWidth="1"/>
    <col min="9482" max="9728" width="9.28515625" style="4"/>
    <col min="9729" max="9729" width="1.42578125" style="4" customWidth="1"/>
    <col min="9730" max="9730" width="13.140625" style="4" customWidth="1"/>
    <col min="9731" max="9732" width="9.28515625" style="4" customWidth="1"/>
    <col min="9733" max="9733" width="18" style="4" customWidth="1"/>
    <col min="9734" max="9734" width="39.5703125" style="4" customWidth="1"/>
    <col min="9735" max="9737" width="13.140625" style="4" customWidth="1"/>
    <col min="9738" max="9984" width="9.28515625" style="4"/>
    <col min="9985" max="9985" width="1.42578125" style="4" customWidth="1"/>
    <col min="9986" max="9986" width="13.140625" style="4" customWidth="1"/>
    <col min="9987" max="9988" width="9.28515625" style="4" customWidth="1"/>
    <col min="9989" max="9989" width="18" style="4" customWidth="1"/>
    <col min="9990" max="9990" width="39.5703125" style="4" customWidth="1"/>
    <col min="9991" max="9993" width="13.140625" style="4" customWidth="1"/>
    <col min="9994" max="10240" width="9.28515625" style="4"/>
    <col min="10241" max="10241" width="1.42578125" style="4" customWidth="1"/>
    <col min="10242" max="10242" width="13.140625" style="4" customWidth="1"/>
    <col min="10243" max="10244" width="9.28515625" style="4" customWidth="1"/>
    <col min="10245" max="10245" width="18" style="4" customWidth="1"/>
    <col min="10246" max="10246" width="39.5703125" style="4" customWidth="1"/>
    <col min="10247" max="10249" width="13.140625" style="4" customWidth="1"/>
    <col min="10250" max="10496" width="9.28515625" style="4"/>
    <col min="10497" max="10497" width="1.42578125" style="4" customWidth="1"/>
    <col min="10498" max="10498" width="13.140625" style="4" customWidth="1"/>
    <col min="10499" max="10500" width="9.28515625" style="4" customWidth="1"/>
    <col min="10501" max="10501" width="18" style="4" customWidth="1"/>
    <col min="10502" max="10502" width="39.5703125" style="4" customWidth="1"/>
    <col min="10503" max="10505" width="13.140625" style="4" customWidth="1"/>
    <col min="10506" max="10752" width="9.28515625" style="4"/>
    <col min="10753" max="10753" width="1.42578125" style="4" customWidth="1"/>
    <col min="10754" max="10754" width="13.140625" style="4" customWidth="1"/>
    <col min="10755" max="10756" width="9.28515625" style="4" customWidth="1"/>
    <col min="10757" max="10757" width="18" style="4" customWidth="1"/>
    <col min="10758" max="10758" width="39.5703125" style="4" customWidth="1"/>
    <col min="10759" max="10761" width="13.140625" style="4" customWidth="1"/>
    <col min="10762" max="11008" width="9.28515625" style="4"/>
    <col min="11009" max="11009" width="1.42578125" style="4" customWidth="1"/>
    <col min="11010" max="11010" width="13.140625" style="4" customWidth="1"/>
    <col min="11011" max="11012" width="9.28515625" style="4" customWidth="1"/>
    <col min="11013" max="11013" width="18" style="4" customWidth="1"/>
    <col min="11014" max="11014" width="39.5703125" style="4" customWidth="1"/>
    <col min="11015" max="11017" width="13.140625" style="4" customWidth="1"/>
    <col min="11018" max="11264" width="9.28515625" style="4"/>
    <col min="11265" max="11265" width="1.42578125" style="4" customWidth="1"/>
    <col min="11266" max="11266" width="13.140625" style="4" customWidth="1"/>
    <col min="11267" max="11268" width="9.28515625" style="4" customWidth="1"/>
    <col min="11269" max="11269" width="18" style="4" customWidth="1"/>
    <col min="11270" max="11270" width="39.5703125" style="4" customWidth="1"/>
    <col min="11271" max="11273" width="13.140625" style="4" customWidth="1"/>
    <col min="11274" max="11520" width="9.28515625" style="4"/>
    <col min="11521" max="11521" width="1.42578125" style="4" customWidth="1"/>
    <col min="11522" max="11522" width="13.140625" style="4" customWidth="1"/>
    <col min="11523" max="11524" width="9.28515625" style="4" customWidth="1"/>
    <col min="11525" max="11525" width="18" style="4" customWidth="1"/>
    <col min="11526" max="11526" width="39.5703125" style="4" customWidth="1"/>
    <col min="11527" max="11529" width="13.140625" style="4" customWidth="1"/>
    <col min="11530" max="11776" width="9.28515625" style="4"/>
    <col min="11777" max="11777" width="1.42578125" style="4" customWidth="1"/>
    <col min="11778" max="11778" width="13.140625" style="4" customWidth="1"/>
    <col min="11779" max="11780" width="9.28515625" style="4" customWidth="1"/>
    <col min="11781" max="11781" width="18" style="4" customWidth="1"/>
    <col min="11782" max="11782" width="39.5703125" style="4" customWidth="1"/>
    <col min="11783" max="11785" width="13.140625" style="4" customWidth="1"/>
    <col min="11786" max="12032" width="9.28515625" style="4"/>
    <col min="12033" max="12033" width="1.42578125" style="4" customWidth="1"/>
    <col min="12034" max="12034" width="13.140625" style="4" customWidth="1"/>
    <col min="12035" max="12036" width="9.28515625" style="4" customWidth="1"/>
    <col min="12037" max="12037" width="18" style="4" customWidth="1"/>
    <col min="12038" max="12038" width="39.5703125" style="4" customWidth="1"/>
    <col min="12039" max="12041" width="13.140625" style="4" customWidth="1"/>
    <col min="12042" max="12288" width="9.28515625" style="4"/>
    <col min="12289" max="12289" width="1.42578125" style="4" customWidth="1"/>
    <col min="12290" max="12290" width="13.140625" style="4" customWidth="1"/>
    <col min="12291" max="12292" width="9.28515625" style="4" customWidth="1"/>
    <col min="12293" max="12293" width="18" style="4" customWidth="1"/>
    <col min="12294" max="12294" width="39.5703125" style="4" customWidth="1"/>
    <col min="12295" max="12297" width="13.140625" style="4" customWidth="1"/>
    <col min="12298" max="12544" width="9.28515625" style="4"/>
    <col min="12545" max="12545" width="1.42578125" style="4" customWidth="1"/>
    <col min="12546" max="12546" width="13.140625" style="4" customWidth="1"/>
    <col min="12547" max="12548" width="9.28515625" style="4" customWidth="1"/>
    <col min="12549" max="12549" width="18" style="4" customWidth="1"/>
    <col min="12550" max="12550" width="39.5703125" style="4" customWidth="1"/>
    <col min="12551" max="12553" width="13.140625" style="4" customWidth="1"/>
    <col min="12554" max="12800" width="9.28515625" style="4"/>
    <col min="12801" max="12801" width="1.42578125" style="4" customWidth="1"/>
    <col min="12802" max="12802" width="13.140625" style="4" customWidth="1"/>
    <col min="12803" max="12804" width="9.28515625" style="4" customWidth="1"/>
    <col min="12805" max="12805" width="18" style="4" customWidth="1"/>
    <col min="12806" max="12806" width="39.5703125" style="4" customWidth="1"/>
    <col min="12807" max="12809" width="13.140625" style="4" customWidth="1"/>
    <col min="12810" max="13056" width="9.28515625" style="4"/>
    <col min="13057" max="13057" width="1.42578125" style="4" customWidth="1"/>
    <col min="13058" max="13058" width="13.140625" style="4" customWidth="1"/>
    <col min="13059" max="13060" width="9.28515625" style="4" customWidth="1"/>
    <col min="13061" max="13061" width="18" style="4" customWidth="1"/>
    <col min="13062" max="13062" width="39.5703125" style="4" customWidth="1"/>
    <col min="13063" max="13065" width="13.140625" style="4" customWidth="1"/>
    <col min="13066" max="13312" width="9.28515625" style="4"/>
    <col min="13313" max="13313" width="1.42578125" style="4" customWidth="1"/>
    <col min="13314" max="13314" width="13.140625" style="4" customWidth="1"/>
    <col min="13315" max="13316" width="9.28515625" style="4" customWidth="1"/>
    <col min="13317" max="13317" width="18" style="4" customWidth="1"/>
    <col min="13318" max="13318" width="39.5703125" style="4" customWidth="1"/>
    <col min="13319" max="13321" width="13.140625" style="4" customWidth="1"/>
    <col min="13322" max="13568" width="9.28515625" style="4"/>
    <col min="13569" max="13569" width="1.42578125" style="4" customWidth="1"/>
    <col min="13570" max="13570" width="13.140625" style="4" customWidth="1"/>
    <col min="13571" max="13572" width="9.28515625" style="4" customWidth="1"/>
    <col min="13573" max="13573" width="18" style="4" customWidth="1"/>
    <col min="13574" max="13574" width="39.5703125" style="4" customWidth="1"/>
    <col min="13575" max="13577" width="13.140625" style="4" customWidth="1"/>
    <col min="13578" max="13824" width="9.28515625" style="4"/>
    <col min="13825" max="13825" width="1.42578125" style="4" customWidth="1"/>
    <col min="13826" max="13826" width="13.140625" style="4" customWidth="1"/>
    <col min="13827" max="13828" width="9.28515625" style="4" customWidth="1"/>
    <col min="13829" max="13829" width="18" style="4" customWidth="1"/>
    <col min="13830" max="13830" width="39.5703125" style="4" customWidth="1"/>
    <col min="13831" max="13833" width="13.140625" style="4" customWidth="1"/>
    <col min="13834" max="14080" width="9.28515625" style="4"/>
    <col min="14081" max="14081" width="1.42578125" style="4" customWidth="1"/>
    <col min="14082" max="14082" width="13.140625" style="4" customWidth="1"/>
    <col min="14083" max="14084" width="9.28515625" style="4" customWidth="1"/>
    <col min="14085" max="14085" width="18" style="4" customWidth="1"/>
    <col min="14086" max="14086" width="39.5703125" style="4" customWidth="1"/>
    <col min="14087" max="14089" width="13.140625" style="4" customWidth="1"/>
    <col min="14090" max="14336" width="9.28515625" style="4"/>
    <col min="14337" max="14337" width="1.42578125" style="4" customWidth="1"/>
    <col min="14338" max="14338" width="13.140625" style="4" customWidth="1"/>
    <col min="14339" max="14340" width="9.28515625" style="4" customWidth="1"/>
    <col min="14341" max="14341" width="18" style="4" customWidth="1"/>
    <col min="14342" max="14342" width="39.5703125" style="4" customWidth="1"/>
    <col min="14343" max="14345" width="13.140625" style="4" customWidth="1"/>
    <col min="14346" max="14592" width="9.28515625" style="4"/>
    <col min="14593" max="14593" width="1.42578125" style="4" customWidth="1"/>
    <col min="14594" max="14594" width="13.140625" style="4" customWidth="1"/>
    <col min="14595" max="14596" width="9.28515625" style="4" customWidth="1"/>
    <col min="14597" max="14597" width="18" style="4" customWidth="1"/>
    <col min="14598" max="14598" width="39.5703125" style="4" customWidth="1"/>
    <col min="14599" max="14601" width="13.140625" style="4" customWidth="1"/>
    <col min="14602" max="14848" width="9.28515625" style="4"/>
    <col min="14849" max="14849" width="1.42578125" style="4" customWidth="1"/>
    <col min="14850" max="14850" width="13.140625" style="4" customWidth="1"/>
    <col min="14851" max="14852" width="9.28515625" style="4" customWidth="1"/>
    <col min="14853" max="14853" width="18" style="4" customWidth="1"/>
    <col min="14854" max="14854" width="39.5703125" style="4" customWidth="1"/>
    <col min="14855" max="14857" width="13.140625" style="4" customWidth="1"/>
    <col min="14858" max="15104" width="9.28515625" style="4"/>
    <col min="15105" max="15105" width="1.42578125" style="4" customWidth="1"/>
    <col min="15106" max="15106" width="13.140625" style="4" customWidth="1"/>
    <col min="15107" max="15108" width="9.28515625" style="4" customWidth="1"/>
    <col min="15109" max="15109" width="18" style="4" customWidth="1"/>
    <col min="15110" max="15110" width="39.5703125" style="4" customWidth="1"/>
    <col min="15111" max="15113" width="13.140625" style="4" customWidth="1"/>
    <col min="15114" max="15360" width="9.28515625" style="4"/>
    <col min="15361" max="15361" width="1.42578125" style="4" customWidth="1"/>
    <col min="15362" max="15362" width="13.140625" style="4" customWidth="1"/>
    <col min="15363" max="15364" width="9.28515625" style="4" customWidth="1"/>
    <col min="15365" max="15365" width="18" style="4" customWidth="1"/>
    <col min="15366" max="15366" width="39.5703125" style="4" customWidth="1"/>
    <col min="15367" max="15369" width="13.140625" style="4" customWidth="1"/>
    <col min="15370" max="15616" width="9.28515625" style="4"/>
    <col min="15617" max="15617" width="1.42578125" style="4" customWidth="1"/>
    <col min="15618" max="15618" width="13.140625" style="4" customWidth="1"/>
    <col min="15619" max="15620" width="9.28515625" style="4" customWidth="1"/>
    <col min="15621" max="15621" width="18" style="4" customWidth="1"/>
    <col min="15622" max="15622" width="39.5703125" style="4" customWidth="1"/>
    <col min="15623" max="15625" width="13.140625" style="4" customWidth="1"/>
    <col min="15626" max="15872" width="9.28515625" style="4"/>
    <col min="15873" max="15873" width="1.42578125" style="4" customWidth="1"/>
    <col min="15874" max="15874" width="13.140625" style="4" customWidth="1"/>
    <col min="15875" max="15876" width="9.28515625" style="4" customWidth="1"/>
    <col min="15877" max="15877" width="18" style="4" customWidth="1"/>
    <col min="15878" max="15878" width="39.5703125" style="4" customWidth="1"/>
    <col min="15879" max="15881" width="13.140625" style="4" customWidth="1"/>
    <col min="15882" max="16128" width="9.28515625" style="4"/>
    <col min="16129" max="16129" width="1.42578125" style="4" customWidth="1"/>
    <col min="16130" max="16130" width="13.140625" style="4" customWidth="1"/>
    <col min="16131" max="16132" width="9.28515625" style="4" customWidth="1"/>
    <col min="16133" max="16133" width="18" style="4" customWidth="1"/>
    <col min="16134" max="16134" width="39.5703125" style="4" customWidth="1"/>
    <col min="16135" max="16137" width="13.140625" style="4" customWidth="1"/>
    <col min="16138" max="16384" width="9.28515625" style="4"/>
  </cols>
  <sheetData>
    <row r="1" spans="1:9" ht="35.1" customHeight="1">
      <c r="A1" s="308"/>
      <c r="B1" s="1002" t="s">
        <v>1577</v>
      </c>
      <c r="C1" s="1002"/>
      <c r="D1" s="1002"/>
      <c r="E1" s="1002"/>
      <c r="F1" s="1002"/>
      <c r="G1" s="1002"/>
      <c r="H1" s="1002"/>
      <c r="I1" s="1003"/>
    </row>
    <row r="2" spans="1:9" ht="22.5">
      <c r="A2" s="308"/>
      <c r="B2" s="309" t="s">
        <v>71</v>
      </c>
      <c r="C2" s="573" t="s">
        <v>725</v>
      </c>
      <c r="D2" s="573" t="s">
        <v>726</v>
      </c>
      <c r="E2" s="573" t="s">
        <v>727</v>
      </c>
      <c r="F2" s="573" t="s">
        <v>728</v>
      </c>
      <c r="G2" s="573" t="s">
        <v>729</v>
      </c>
      <c r="H2" s="573" t="s">
        <v>730</v>
      </c>
      <c r="I2" s="574" t="s">
        <v>731</v>
      </c>
    </row>
    <row r="3" spans="1:9">
      <c r="A3" s="244"/>
      <c r="B3" s="310" t="s">
        <v>381</v>
      </c>
      <c r="C3" s="310"/>
      <c r="D3" s="310"/>
      <c r="E3" s="310"/>
      <c r="F3" s="310"/>
      <c r="G3" s="310"/>
      <c r="H3" s="296"/>
      <c r="I3" s="297"/>
    </row>
    <row r="4" spans="1:9">
      <c r="A4" s="246"/>
      <c r="B4" s="311"/>
      <c r="C4" s="311"/>
      <c r="D4" s="311"/>
      <c r="E4" s="311"/>
      <c r="F4" s="311"/>
      <c r="G4" s="311"/>
      <c r="H4" s="299"/>
      <c r="I4" s="259"/>
    </row>
    <row r="5" spans="1:9">
      <c r="A5" s="246"/>
      <c r="B5" s="311"/>
      <c r="C5" s="311"/>
      <c r="D5" s="311"/>
      <c r="E5" s="311"/>
      <c r="F5" s="311"/>
      <c r="G5" s="311"/>
      <c r="H5" s="299"/>
      <c r="I5" s="259"/>
    </row>
    <row r="6" spans="1:9">
      <c r="A6" s="246"/>
      <c r="B6" s="311"/>
      <c r="C6" s="311"/>
      <c r="D6" s="311"/>
      <c r="E6" s="311"/>
      <c r="F6" s="311"/>
      <c r="G6" s="311"/>
      <c r="H6" s="299"/>
      <c r="I6" s="259"/>
    </row>
    <row r="7" spans="1:9">
      <c r="A7" s="246"/>
      <c r="B7" s="311"/>
      <c r="C7" s="311"/>
      <c r="D7" s="311"/>
      <c r="E7" s="311"/>
      <c r="F7" s="311"/>
      <c r="G7" s="311"/>
      <c r="H7" s="299"/>
      <c r="I7" s="259"/>
    </row>
    <row r="8" spans="1:9">
      <c r="A8" s="246"/>
      <c r="B8" s="311"/>
      <c r="C8" s="311"/>
      <c r="D8" s="311"/>
      <c r="E8" s="311"/>
      <c r="F8" s="311"/>
      <c r="G8" s="311"/>
      <c r="H8" s="299"/>
      <c r="I8" s="259"/>
    </row>
    <row r="9" spans="1:9">
      <c r="A9" s="246"/>
      <c r="B9" s="311"/>
      <c r="C9" s="311"/>
      <c r="D9" s="311"/>
      <c r="E9" s="311"/>
      <c r="F9" s="311"/>
      <c r="G9" s="311"/>
      <c r="H9" s="299"/>
      <c r="I9" s="259"/>
    </row>
    <row r="10" spans="1:9">
      <c r="A10" s="246"/>
      <c r="B10" s="311"/>
      <c r="C10" s="311"/>
      <c r="D10" s="311"/>
      <c r="E10" s="311"/>
      <c r="F10" s="311"/>
      <c r="G10" s="311"/>
      <c r="H10" s="299"/>
      <c r="I10" s="259"/>
    </row>
    <row r="11" spans="1:9">
      <c r="A11" s="246"/>
      <c r="B11" s="311"/>
      <c r="C11" s="311"/>
      <c r="D11" s="311"/>
      <c r="E11" s="311"/>
      <c r="F11" s="311"/>
      <c r="G11" s="311"/>
      <c r="H11" s="299"/>
      <c r="I11" s="259"/>
    </row>
    <row r="12" spans="1:9">
      <c r="A12" s="246"/>
      <c r="B12" s="311"/>
      <c r="C12" s="311"/>
      <c r="D12" s="311"/>
      <c r="E12" s="311"/>
      <c r="F12" s="311"/>
      <c r="G12" s="311"/>
      <c r="H12" s="299"/>
      <c r="I12" s="259"/>
    </row>
    <row r="13" spans="1:9">
      <c r="A13" s="246"/>
      <c r="B13" s="311"/>
      <c r="C13" s="311"/>
      <c r="D13" s="311"/>
      <c r="E13" s="311"/>
      <c r="F13" s="311"/>
      <c r="G13" s="311"/>
      <c r="H13" s="299"/>
      <c r="I13" s="259"/>
    </row>
    <row r="14" spans="1:9">
      <c r="A14" s="246"/>
      <c r="B14" s="311"/>
      <c r="C14" s="311"/>
      <c r="D14" s="311"/>
      <c r="E14" s="311"/>
      <c r="F14" s="311"/>
      <c r="G14" s="311"/>
      <c r="H14" s="299"/>
      <c r="I14" s="259"/>
    </row>
    <row r="15" spans="1:9">
      <c r="A15" s="246"/>
      <c r="B15" s="311"/>
      <c r="C15" s="311"/>
      <c r="D15" s="311"/>
      <c r="E15" s="311"/>
      <c r="F15" s="311"/>
      <c r="G15" s="311"/>
      <c r="H15" s="299"/>
      <c r="I15" s="259"/>
    </row>
    <row r="16" spans="1:9">
      <c r="A16" s="246"/>
      <c r="B16" s="311"/>
      <c r="C16" s="311"/>
      <c r="D16" s="311"/>
      <c r="E16" s="311"/>
      <c r="F16" s="311"/>
      <c r="G16" s="311"/>
      <c r="H16" s="299"/>
      <c r="I16" s="259"/>
    </row>
    <row r="17" spans="1:9">
      <c r="A17" s="246"/>
      <c r="B17" s="311"/>
      <c r="C17" s="311"/>
      <c r="D17" s="311"/>
      <c r="E17" s="311"/>
      <c r="F17" s="311"/>
      <c r="G17" s="311"/>
      <c r="H17" s="299"/>
      <c r="I17" s="259"/>
    </row>
    <row r="18" spans="1:9">
      <c r="A18" s="246"/>
      <c r="B18" s="311"/>
      <c r="C18" s="311"/>
      <c r="D18" s="311"/>
      <c r="E18" s="311"/>
      <c r="F18" s="311"/>
      <c r="G18" s="311"/>
      <c r="H18" s="299"/>
      <c r="I18" s="259"/>
    </row>
    <row r="19" spans="1:9">
      <c r="A19" s="246"/>
      <c r="B19" s="311"/>
      <c r="C19" s="311"/>
      <c r="D19" s="311"/>
      <c r="E19" s="311"/>
      <c r="F19" s="311"/>
      <c r="G19" s="311"/>
      <c r="H19" s="299"/>
      <c r="I19" s="259"/>
    </row>
    <row r="20" spans="1:9">
      <c r="A20" s="246"/>
      <c r="B20" s="312"/>
      <c r="C20" s="312"/>
      <c r="D20" s="312"/>
      <c r="E20" s="312"/>
      <c r="F20" s="312"/>
      <c r="G20" s="312"/>
      <c r="H20" s="299"/>
      <c r="I20" s="259"/>
    </row>
    <row r="21" spans="1:9">
      <c r="A21" s="246"/>
      <c r="B21" s="312"/>
      <c r="C21" s="312"/>
      <c r="D21" s="312"/>
      <c r="E21" s="312"/>
      <c r="F21" s="312"/>
      <c r="G21" s="312"/>
      <c r="H21" s="299"/>
      <c r="I21" s="259"/>
    </row>
    <row r="22" spans="1:9">
      <c r="A22" s="246"/>
      <c r="B22" s="311"/>
      <c r="C22" s="311"/>
      <c r="D22" s="311"/>
      <c r="E22" s="311"/>
      <c r="F22" s="311"/>
      <c r="G22" s="311"/>
      <c r="H22" s="299"/>
      <c r="I22" s="259"/>
    </row>
    <row r="23" spans="1:9">
      <c r="A23" s="246"/>
      <c r="B23" s="312"/>
      <c r="C23" s="312"/>
      <c r="D23" s="312"/>
      <c r="E23" s="312"/>
      <c r="F23" s="312"/>
      <c r="G23" s="312"/>
      <c r="H23" s="299"/>
      <c r="I23" s="259"/>
    </row>
    <row r="24" spans="1:9">
      <c r="A24" s="246"/>
      <c r="B24" s="312"/>
      <c r="C24" s="312"/>
      <c r="D24" s="312"/>
      <c r="E24" s="312"/>
      <c r="F24" s="312"/>
      <c r="G24" s="312"/>
      <c r="H24" s="299"/>
      <c r="I24" s="259"/>
    </row>
    <row r="25" spans="1:9">
      <c r="A25" s="246"/>
      <c r="B25" s="311"/>
      <c r="C25" s="311"/>
      <c r="D25" s="311"/>
      <c r="E25" s="311"/>
      <c r="F25" s="311"/>
      <c r="G25" s="311"/>
      <c r="H25" s="299"/>
      <c r="I25" s="259"/>
    </row>
    <row r="26" spans="1:9">
      <c r="A26" s="246"/>
      <c r="B26" s="311"/>
      <c r="C26" s="311"/>
      <c r="D26" s="311"/>
      <c r="E26" s="311"/>
      <c r="F26" s="311"/>
      <c r="G26" s="311"/>
      <c r="H26" s="299"/>
      <c r="I26" s="259"/>
    </row>
    <row r="27" spans="1:9">
      <c r="A27" s="246"/>
      <c r="B27" s="311"/>
      <c r="C27" s="311"/>
      <c r="D27" s="311"/>
      <c r="E27" s="311"/>
      <c r="F27" s="311"/>
      <c r="G27" s="311"/>
      <c r="H27" s="301"/>
      <c r="I27" s="259"/>
    </row>
    <row r="28" spans="1:9">
      <c r="A28" s="246"/>
      <c r="B28" s="311"/>
      <c r="C28" s="311"/>
      <c r="D28" s="311"/>
      <c r="E28" s="311"/>
      <c r="F28" s="311"/>
      <c r="G28" s="311"/>
      <c r="H28" s="299"/>
      <c r="I28" s="259"/>
    </row>
    <row r="29" spans="1:9">
      <c r="A29" s="246"/>
      <c r="B29" s="311"/>
      <c r="C29" s="311"/>
      <c r="D29" s="311"/>
      <c r="E29" s="311"/>
      <c r="F29" s="311"/>
      <c r="G29" s="311"/>
      <c r="H29" s="299"/>
      <c r="I29" s="259"/>
    </row>
    <row r="30" spans="1:9">
      <c r="A30" s="313">
        <v>900001</v>
      </c>
      <c r="B30" s="314" t="s">
        <v>290</v>
      </c>
      <c r="C30" s="315"/>
      <c r="D30" s="315"/>
      <c r="E30" s="315"/>
      <c r="F30" s="315"/>
      <c r="G30" s="315"/>
      <c r="H30" s="316"/>
      <c r="I30" s="317">
        <f>SUM(I3:I29)</f>
        <v>0</v>
      </c>
    </row>
  </sheetData>
  <sheetProtection formatCells="0" formatColumns="0" formatRows="0" insertRows="0" deleteRows="0" autoFilter="0"/>
  <mergeCells count="1">
    <mergeCell ref="B1:I1"/>
  </mergeCells>
  <dataValidations count="7">
    <dataValidation allowBlank="1" showInputMessage="1" showErrorMessage="1" prompt="Para efectos de este apartado se relacionan a los subsidios con el sector económico y a las ayudas con el social."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prompt="Identificar el número y nombre de la partida genérica del Clasificador por Objeto del Gasto."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 allowBlank="1" showInputMessage="1" showErrorMessage="1" prompt="Indicar con una “X” el tipo de sector que se ha beneficiado otorgando subsidios o ayudas, para efectos de este apartado se relacionan a los subsidios con el sector económico y a las ayudas con el social." sqref="C2:D2 IY2:IZ2 SU2:SV2 ACQ2:ACR2 AMM2:AMN2 AWI2:AWJ2 BGE2:BGF2 BQA2:BQB2 BZW2:BZX2 CJS2:CJT2 CTO2:CTP2 DDK2:DDL2 DNG2:DNH2 DXC2:DXD2 EGY2:EGZ2 EQU2:EQV2 FAQ2:FAR2 FKM2:FKN2 FUI2:FUJ2 GEE2:GEF2 GOA2:GOB2 GXW2:GXX2 HHS2:HHT2 HRO2:HRP2 IBK2:IBL2 ILG2:ILH2 IVC2:IVD2 JEY2:JEZ2 JOU2:JOV2 JYQ2:JYR2 KIM2:KIN2 KSI2:KSJ2 LCE2:LCF2 LMA2:LMB2 LVW2:LVX2 MFS2:MFT2 MPO2:MPP2 MZK2:MZL2 NJG2:NJH2 NTC2:NTD2 OCY2:OCZ2 OMU2:OMV2 OWQ2:OWR2 PGM2:PGN2 PQI2:PQJ2 QAE2:QAF2 QKA2:QKB2 QTW2:QTX2 RDS2:RDT2 RNO2:RNP2 RXK2:RXL2 SHG2:SHH2 SRC2:SRD2 TAY2:TAZ2 TKU2:TKV2 TUQ2:TUR2 UEM2:UEN2 UOI2:UOJ2 UYE2:UYF2 VIA2:VIB2 VRW2:VRX2 WBS2:WBT2 WLO2:WLP2 WVK2:WVL2 C65538:D65538 IY65538:IZ65538 SU65538:SV65538 ACQ65538:ACR65538 AMM65538:AMN65538 AWI65538:AWJ65538 BGE65538:BGF65538 BQA65538:BQB65538 BZW65538:BZX65538 CJS65538:CJT65538 CTO65538:CTP65538 DDK65538:DDL65538 DNG65538:DNH65538 DXC65538:DXD65538 EGY65538:EGZ65538 EQU65538:EQV65538 FAQ65538:FAR65538 FKM65538:FKN65538 FUI65538:FUJ65538 GEE65538:GEF65538 GOA65538:GOB65538 GXW65538:GXX65538 HHS65538:HHT65538 HRO65538:HRP65538 IBK65538:IBL65538 ILG65538:ILH65538 IVC65538:IVD65538 JEY65538:JEZ65538 JOU65538:JOV65538 JYQ65538:JYR65538 KIM65538:KIN65538 KSI65538:KSJ65538 LCE65538:LCF65538 LMA65538:LMB65538 LVW65538:LVX65538 MFS65538:MFT65538 MPO65538:MPP65538 MZK65538:MZL65538 NJG65538:NJH65538 NTC65538:NTD65538 OCY65538:OCZ65538 OMU65538:OMV65538 OWQ65538:OWR65538 PGM65538:PGN65538 PQI65538:PQJ65538 QAE65538:QAF65538 QKA65538:QKB65538 QTW65538:QTX65538 RDS65538:RDT65538 RNO65538:RNP65538 RXK65538:RXL65538 SHG65538:SHH65538 SRC65538:SRD65538 TAY65538:TAZ65538 TKU65538:TKV65538 TUQ65538:TUR65538 UEM65538:UEN65538 UOI65538:UOJ65538 UYE65538:UYF65538 VIA65538:VIB65538 VRW65538:VRX65538 WBS65538:WBT65538 WLO65538:WLP65538 WVK65538:WVL65538 C131074:D131074 IY131074:IZ131074 SU131074:SV131074 ACQ131074:ACR131074 AMM131074:AMN131074 AWI131074:AWJ131074 BGE131074:BGF131074 BQA131074:BQB131074 BZW131074:BZX131074 CJS131074:CJT131074 CTO131074:CTP131074 DDK131074:DDL131074 DNG131074:DNH131074 DXC131074:DXD131074 EGY131074:EGZ131074 EQU131074:EQV131074 FAQ131074:FAR131074 FKM131074:FKN131074 FUI131074:FUJ131074 GEE131074:GEF131074 GOA131074:GOB131074 GXW131074:GXX131074 HHS131074:HHT131074 HRO131074:HRP131074 IBK131074:IBL131074 ILG131074:ILH131074 IVC131074:IVD131074 JEY131074:JEZ131074 JOU131074:JOV131074 JYQ131074:JYR131074 KIM131074:KIN131074 KSI131074:KSJ131074 LCE131074:LCF131074 LMA131074:LMB131074 LVW131074:LVX131074 MFS131074:MFT131074 MPO131074:MPP131074 MZK131074:MZL131074 NJG131074:NJH131074 NTC131074:NTD131074 OCY131074:OCZ131074 OMU131074:OMV131074 OWQ131074:OWR131074 PGM131074:PGN131074 PQI131074:PQJ131074 QAE131074:QAF131074 QKA131074:QKB131074 QTW131074:QTX131074 RDS131074:RDT131074 RNO131074:RNP131074 RXK131074:RXL131074 SHG131074:SHH131074 SRC131074:SRD131074 TAY131074:TAZ131074 TKU131074:TKV131074 TUQ131074:TUR131074 UEM131074:UEN131074 UOI131074:UOJ131074 UYE131074:UYF131074 VIA131074:VIB131074 VRW131074:VRX131074 WBS131074:WBT131074 WLO131074:WLP131074 WVK131074:WVL131074 C196610:D196610 IY196610:IZ196610 SU196610:SV196610 ACQ196610:ACR196610 AMM196610:AMN196610 AWI196610:AWJ196610 BGE196610:BGF196610 BQA196610:BQB196610 BZW196610:BZX196610 CJS196610:CJT196610 CTO196610:CTP196610 DDK196610:DDL196610 DNG196610:DNH196610 DXC196610:DXD196610 EGY196610:EGZ196610 EQU196610:EQV196610 FAQ196610:FAR196610 FKM196610:FKN196610 FUI196610:FUJ196610 GEE196610:GEF196610 GOA196610:GOB196610 GXW196610:GXX196610 HHS196610:HHT196610 HRO196610:HRP196610 IBK196610:IBL196610 ILG196610:ILH196610 IVC196610:IVD196610 JEY196610:JEZ196610 JOU196610:JOV196610 JYQ196610:JYR196610 KIM196610:KIN196610 KSI196610:KSJ196610 LCE196610:LCF196610 LMA196610:LMB196610 LVW196610:LVX196610 MFS196610:MFT196610 MPO196610:MPP196610 MZK196610:MZL196610 NJG196610:NJH196610 NTC196610:NTD196610 OCY196610:OCZ196610 OMU196610:OMV196610 OWQ196610:OWR196610 PGM196610:PGN196610 PQI196610:PQJ196610 QAE196610:QAF196610 QKA196610:QKB196610 QTW196610:QTX196610 RDS196610:RDT196610 RNO196610:RNP196610 RXK196610:RXL196610 SHG196610:SHH196610 SRC196610:SRD196610 TAY196610:TAZ196610 TKU196610:TKV196610 TUQ196610:TUR196610 UEM196610:UEN196610 UOI196610:UOJ196610 UYE196610:UYF196610 VIA196610:VIB196610 VRW196610:VRX196610 WBS196610:WBT196610 WLO196610:WLP196610 WVK196610:WVL196610 C262146:D262146 IY262146:IZ262146 SU262146:SV262146 ACQ262146:ACR262146 AMM262146:AMN262146 AWI262146:AWJ262146 BGE262146:BGF262146 BQA262146:BQB262146 BZW262146:BZX262146 CJS262146:CJT262146 CTO262146:CTP262146 DDK262146:DDL262146 DNG262146:DNH262146 DXC262146:DXD262146 EGY262146:EGZ262146 EQU262146:EQV262146 FAQ262146:FAR262146 FKM262146:FKN262146 FUI262146:FUJ262146 GEE262146:GEF262146 GOA262146:GOB262146 GXW262146:GXX262146 HHS262146:HHT262146 HRO262146:HRP262146 IBK262146:IBL262146 ILG262146:ILH262146 IVC262146:IVD262146 JEY262146:JEZ262146 JOU262146:JOV262146 JYQ262146:JYR262146 KIM262146:KIN262146 KSI262146:KSJ262146 LCE262146:LCF262146 LMA262146:LMB262146 LVW262146:LVX262146 MFS262146:MFT262146 MPO262146:MPP262146 MZK262146:MZL262146 NJG262146:NJH262146 NTC262146:NTD262146 OCY262146:OCZ262146 OMU262146:OMV262146 OWQ262146:OWR262146 PGM262146:PGN262146 PQI262146:PQJ262146 QAE262146:QAF262146 QKA262146:QKB262146 QTW262146:QTX262146 RDS262146:RDT262146 RNO262146:RNP262146 RXK262146:RXL262146 SHG262146:SHH262146 SRC262146:SRD262146 TAY262146:TAZ262146 TKU262146:TKV262146 TUQ262146:TUR262146 UEM262146:UEN262146 UOI262146:UOJ262146 UYE262146:UYF262146 VIA262146:VIB262146 VRW262146:VRX262146 WBS262146:WBT262146 WLO262146:WLP262146 WVK262146:WVL262146 C327682:D327682 IY327682:IZ327682 SU327682:SV327682 ACQ327682:ACR327682 AMM327682:AMN327682 AWI327682:AWJ327682 BGE327682:BGF327682 BQA327682:BQB327682 BZW327682:BZX327682 CJS327682:CJT327682 CTO327682:CTP327682 DDK327682:DDL327682 DNG327682:DNH327682 DXC327682:DXD327682 EGY327682:EGZ327682 EQU327682:EQV327682 FAQ327682:FAR327682 FKM327682:FKN327682 FUI327682:FUJ327682 GEE327682:GEF327682 GOA327682:GOB327682 GXW327682:GXX327682 HHS327682:HHT327682 HRO327682:HRP327682 IBK327682:IBL327682 ILG327682:ILH327682 IVC327682:IVD327682 JEY327682:JEZ327682 JOU327682:JOV327682 JYQ327682:JYR327682 KIM327682:KIN327682 KSI327682:KSJ327682 LCE327682:LCF327682 LMA327682:LMB327682 LVW327682:LVX327682 MFS327682:MFT327682 MPO327682:MPP327682 MZK327682:MZL327682 NJG327682:NJH327682 NTC327682:NTD327682 OCY327682:OCZ327682 OMU327682:OMV327682 OWQ327682:OWR327682 PGM327682:PGN327682 PQI327682:PQJ327682 QAE327682:QAF327682 QKA327682:QKB327682 QTW327682:QTX327682 RDS327682:RDT327682 RNO327682:RNP327682 RXK327682:RXL327682 SHG327682:SHH327682 SRC327682:SRD327682 TAY327682:TAZ327682 TKU327682:TKV327682 TUQ327682:TUR327682 UEM327682:UEN327682 UOI327682:UOJ327682 UYE327682:UYF327682 VIA327682:VIB327682 VRW327682:VRX327682 WBS327682:WBT327682 WLO327682:WLP327682 WVK327682:WVL327682 C393218:D393218 IY393218:IZ393218 SU393218:SV393218 ACQ393218:ACR393218 AMM393218:AMN393218 AWI393218:AWJ393218 BGE393218:BGF393218 BQA393218:BQB393218 BZW393218:BZX393218 CJS393218:CJT393218 CTO393218:CTP393218 DDK393218:DDL393218 DNG393218:DNH393218 DXC393218:DXD393218 EGY393218:EGZ393218 EQU393218:EQV393218 FAQ393218:FAR393218 FKM393218:FKN393218 FUI393218:FUJ393218 GEE393218:GEF393218 GOA393218:GOB393218 GXW393218:GXX393218 HHS393218:HHT393218 HRO393218:HRP393218 IBK393218:IBL393218 ILG393218:ILH393218 IVC393218:IVD393218 JEY393218:JEZ393218 JOU393218:JOV393218 JYQ393218:JYR393218 KIM393218:KIN393218 KSI393218:KSJ393218 LCE393218:LCF393218 LMA393218:LMB393218 LVW393218:LVX393218 MFS393218:MFT393218 MPO393218:MPP393218 MZK393218:MZL393218 NJG393218:NJH393218 NTC393218:NTD393218 OCY393218:OCZ393218 OMU393218:OMV393218 OWQ393218:OWR393218 PGM393218:PGN393218 PQI393218:PQJ393218 QAE393218:QAF393218 QKA393218:QKB393218 QTW393218:QTX393218 RDS393218:RDT393218 RNO393218:RNP393218 RXK393218:RXL393218 SHG393218:SHH393218 SRC393218:SRD393218 TAY393218:TAZ393218 TKU393218:TKV393218 TUQ393218:TUR393218 UEM393218:UEN393218 UOI393218:UOJ393218 UYE393218:UYF393218 VIA393218:VIB393218 VRW393218:VRX393218 WBS393218:WBT393218 WLO393218:WLP393218 WVK393218:WVL393218 C458754:D458754 IY458754:IZ458754 SU458754:SV458754 ACQ458754:ACR458754 AMM458754:AMN458754 AWI458754:AWJ458754 BGE458754:BGF458754 BQA458754:BQB458754 BZW458754:BZX458754 CJS458754:CJT458754 CTO458754:CTP458754 DDK458754:DDL458754 DNG458754:DNH458754 DXC458754:DXD458754 EGY458754:EGZ458754 EQU458754:EQV458754 FAQ458754:FAR458754 FKM458754:FKN458754 FUI458754:FUJ458754 GEE458754:GEF458754 GOA458754:GOB458754 GXW458754:GXX458754 HHS458754:HHT458754 HRO458754:HRP458754 IBK458754:IBL458754 ILG458754:ILH458754 IVC458754:IVD458754 JEY458754:JEZ458754 JOU458754:JOV458754 JYQ458754:JYR458754 KIM458754:KIN458754 KSI458754:KSJ458754 LCE458754:LCF458754 LMA458754:LMB458754 LVW458754:LVX458754 MFS458754:MFT458754 MPO458754:MPP458754 MZK458754:MZL458754 NJG458754:NJH458754 NTC458754:NTD458754 OCY458754:OCZ458754 OMU458754:OMV458754 OWQ458754:OWR458754 PGM458754:PGN458754 PQI458754:PQJ458754 QAE458754:QAF458754 QKA458754:QKB458754 QTW458754:QTX458754 RDS458754:RDT458754 RNO458754:RNP458754 RXK458754:RXL458754 SHG458754:SHH458754 SRC458754:SRD458754 TAY458754:TAZ458754 TKU458754:TKV458754 TUQ458754:TUR458754 UEM458754:UEN458754 UOI458754:UOJ458754 UYE458754:UYF458754 VIA458754:VIB458754 VRW458754:VRX458754 WBS458754:WBT458754 WLO458754:WLP458754 WVK458754:WVL458754 C524290:D524290 IY524290:IZ524290 SU524290:SV524290 ACQ524290:ACR524290 AMM524290:AMN524290 AWI524290:AWJ524290 BGE524290:BGF524290 BQA524290:BQB524290 BZW524290:BZX524290 CJS524290:CJT524290 CTO524290:CTP524290 DDK524290:DDL524290 DNG524290:DNH524290 DXC524290:DXD524290 EGY524290:EGZ524290 EQU524290:EQV524290 FAQ524290:FAR524290 FKM524290:FKN524290 FUI524290:FUJ524290 GEE524290:GEF524290 GOA524290:GOB524290 GXW524290:GXX524290 HHS524290:HHT524290 HRO524290:HRP524290 IBK524290:IBL524290 ILG524290:ILH524290 IVC524290:IVD524290 JEY524290:JEZ524290 JOU524290:JOV524290 JYQ524290:JYR524290 KIM524290:KIN524290 KSI524290:KSJ524290 LCE524290:LCF524290 LMA524290:LMB524290 LVW524290:LVX524290 MFS524290:MFT524290 MPO524290:MPP524290 MZK524290:MZL524290 NJG524290:NJH524290 NTC524290:NTD524290 OCY524290:OCZ524290 OMU524290:OMV524290 OWQ524290:OWR524290 PGM524290:PGN524290 PQI524290:PQJ524290 QAE524290:QAF524290 QKA524290:QKB524290 QTW524290:QTX524290 RDS524290:RDT524290 RNO524290:RNP524290 RXK524290:RXL524290 SHG524290:SHH524290 SRC524290:SRD524290 TAY524290:TAZ524290 TKU524290:TKV524290 TUQ524290:TUR524290 UEM524290:UEN524290 UOI524290:UOJ524290 UYE524290:UYF524290 VIA524290:VIB524290 VRW524290:VRX524290 WBS524290:WBT524290 WLO524290:WLP524290 WVK524290:WVL524290 C589826:D589826 IY589826:IZ589826 SU589826:SV589826 ACQ589826:ACR589826 AMM589826:AMN589826 AWI589826:AWJ589826 BGE589826:BGF589826 BQA589826:BQB589826 BZW589826:BZX589826 CJS589826:CJT589826 CTO589826:CTP589826 DDK589826:DDL589826 DNG589826:DNH589826 DXC589826:DXD589826 EGY589826:EGZ589826 EQU589826:EQV589826 FAQ589826:FAR589826 FKM589826:FKN589826 FUI589826:FUJ589826 GEE589826:GEF589826 GOA589826:GOB589826 GXW589826:GXX589826 HHS589826:HHT589826 HRO589826:HRP589826 IBK589826:IBL589826 ILG589826:ILH589826 IVC589826:IVD589826 JEY589826:JEZ589826 JOU589826:JOV589826 JYQ589826:JYR589826 KIM589826:KIN589826 KSI589826:KSJ589826 LCE589826:LCF589826 LMA589826:LMB589826 LVW589826:LVX589826 MFS589826:MFT589826 MPO589826:MPP589826 MZK589826:MZL589826 NJG589826:NJH589826 NTC589826:NTD589826 OCY589826:OCZ589826 OMU589826:OMV589826 OWQ589826:OWR589826 PGM589826:PGN589826 PQI589826:PQJ589826 QAE589826:QAF589826 QKA589826:QKB589826 QTW589826:QTX589826 RDS589826:RDT589826 RNO589826:RNP589826 RXK589826:RXL589826 SHG589826:SHH589826 SRC589826:SRD589826 TAY589826:TAZ589826 TKU589826:TKV589826 TUQ589826:TUR589826 UEM589826:UEN589826 UOI589826:UOJ589826 UYE589826:UYF589826 VIA589826:VIB589826 VRW589826:VRX589826 WBS589826:WBT589826 WLO589826:WLP589826 WVK589826:WVL589826 C655362:D655362 IY655362:IZ655362 SU655362:SV655362 ACQ655362:ACR655362 AMM655362:AMN655362 AWI655362:AWJ655362 BGE655362:BGF655362 BQA655362:BQB655362 BZW655362:BZX655362 CJS655362:CJT655362 CTO655362:CTP655362 DDK655362:DDL655362 DNG655362:DNH655362 DXC655362:DXD655362 EGY655362:EGZ655362 EQU655362:EQV655362 FAQ655362:FAR655362 FKM655362:FKN655362 FUI655362:FUJ655362 GEE655362:GEF655362 GOA655362:GOB655362 GXW655362:GXX655362 HHS655362:HHT655362 HRO655362:HRP655362 IBK655362:IBL655362 ILG655362:ILH655362 IVC655362:IVD655362 JEY655362:JEZ655362 JOU655362:JOV655362 JYQ655362:JYR655362 KIM655362:KIN655362 KSI655362:KSJ655362 LCE655362:LCF655362 LMA655362:LMB655362 LVW655362:LVX655362 MFS655362:MFT655362 MPO655362:MPP655362 MZK655362:MZL655362 NJG655362:NJH655362 NTC655362:NTD655362 OCY655362:OCZ655362 OMU655362:OMV655362 OWQ655362:OWR655362 PGM655362:PGN655362 PQI655362:PQJ655362 QAE655362:QAF655362 QKA655362:QKB655362 QTW655362:QTX655362 RDS655362:RDT655362 RNO655362:RNP655362 RXK655362:RXL655362 SHG655362:SHH655362 SRC655362:SRD655362 TAY655362:TAZ655362 TKU655362:TKV655362 TUQ655362:TUR655362 UEM655362:UEN655362 UOI655362:UOJ655362 UYE655362:UYF655362 VIA655362:VIB655362 VRW655362:VRX655362 WBS655362:WBT655362 WLO655362:WLP655362 WVK655362:WVL655362 C720898:D720898 IY720898:IZ720898 SU720898:SV720898 ACQ720898:ACR720898 AMM720898:AMN720898 AWI720898:AWJ720898 BGE720898:BGF720898 BQA720898:BQB720898 BZW720898:BZX720898 CJS720898:CJT720898 CTO720898:CTP720898 DDK720898:DDL720898 DNG720898:DNH720898 DXC720898:DXD720898 EGY720898:EGZ720898 EQU720898:EQV720898 FAQ720898:FAR720898 FKM720898:FKN720898 FUI720898:FUJ720898 GEE720898:GEF720898 GOA720898:GOB720898 GXW720898:GXX720898 HHS720898:HHT720898 HRO720898:HRP720898 IBK720898:IBL720898 ILG720898:ILH720898 IVC720898:IVD720898 JEY720898:JEZ720898 JOU720898:JOV720898 JYQ720898:JYR720898 KIM720898:KIN720898 KSI720898:KSJ720898 LCE720898:LCF720898 LMA720898:LMB720898 LVW720898:LVX720898 MFS720898:MFT720898 MPO720898:MPP720898 MZK720898:MZL720898 NJG720898:NJH720898 NTC720898:NTD720898 OCY720898:OCZ720898 OMU720898:OMV720898 OWQ720898:OWR720898 PGM720898:PGN720898 PQI720898:PQJ720898 QAE720898:QAF720898 QKA720898:QKB720898 QTW720898:QTX720898 RDS720898:RDT720898 RNO720898:RNP720898 RXK720898:RXL720898 SHG720898:SHH720898 SRC720898:SRD720898 TAY720898:TAZ720898 TKU720898:TKV720898 TUQ720898:TUR720898 UEM720898:UEN720898 UOI720898:UOJ720898 UYE720898:UYF720898 VIA720898:VIB720898 VRW720898:VRX720898 WBS720898:WBT720898 WLO720898:WLP720898 WVK720898:WVL720898 C786434:D786434 IY786434:IZ786434 SU786434:SV786434 ACQ786434:ACR786434 AMM786434:AMN786434 AWI786434:AWJ786434 BGE786434:BGF786434 BQA786434:BQB786434 BZW786434:BZX786434 CJS786434:CJT786434 CTO786434:CTP786434 DDK786434:DDL786434 DNG786434:DNH786434 DXC786434:DXD786434 EGY786434:EGZ786434 EQU786434:EQV786434 FAQ786434:FAR786434 FKM786434:FKN786434 FUI786434:FUJ786434 GEE786434:GEF786434 GOA786434:GOB786434 GXW786434:GXX786434 HHS786434:HHT786434 HRO786434:HRP786434 IBK786434:IBL786434 ILG786434:ILH786434 IVC786434:IVD786434 JEY786434:JEZ786434 JOU786434:JOV786434 JYQ786434:JYR786434 KIM786434:KIN786434 KSI786434:KSJ786434 LCE786434:LCF786434 LMA786434:LMB786434 LVW786434:LVX786434 MFS786434:MFT786434 MPO786434:MPP786434 MZK786434:MZL786434 NJG786434:NJH786434 NTC786434:NTD786434 OCY786434:OCZ786434 OMU786434:OMV786434 OWQ786434:OWR786434 PGM786434:PGN786434 PQI786434:PQJ786434 QAE786434:QAF786434 QKA786434:QKB786434 QTW786434:QTX786434 RDS786434:RDT786434 RNO786434:RNP786434 RXK786434:RXL786434 SHG786434:SHH786434 SRC786434:SRD786434 TAY786434:TAZ786434 TKU786434:TKV786434 TUQ786434:TUR786434 UEM786434:UEN786434 UOI786434:UOJ786434 UYE786434:UYF786434 VIA786434:VIB786434 VRW786434:VRX786434 WBS786434:WBT786434 WLO786434:WLP786434 WVK786434:WVL786434 C851970:D851970 IY851970:IZ851970 SU851970:SV851970 ACQ851970:ACR851970 AMM851970:AMN851970 AWI851970:AWJ851970 BGE851970:BGF851970 BQA851970:BQB851970 BZW851970:BZX851970 CJS851970:CJT851970 CTO851970:CTP851970 DDK851970:DDL851970 DNG851970:DNH851970 DXC851970:DXD851970 EGY851970:EGZ851970 EQU851970:EQV851970 FAQ851970:FAR851970 FKM851970:FKN851970 FUI851970:FUJ851970 GEE851970:GEF851970 GOA851970:GOB851970 GXW851970:GXX851970 HHS851970:HHT851970 HRO851970:HRP851970 IBK851970:IBL851970 ILG851970:ILH851970 IVC851970:IVD851970 JEY851970:JEZ851970 JOU851970:JOV851970 JYQ851970:JYR851970 KIM851970:KIN851970 KSI851970:KSJ851970 LCE851970:LCF851970 LMA851970:LMB851970 LVW851970:LVX851970 MFS851970:MFT851970 MPO851970:MPP851970 MZK851970:MZL851970 NJG851970:NJH851970 NTC851970:NTD851970 OCY851970:OCZ851970 OMU851970:OMV851970 OWQ851970:OWR851970 PGM851970:PGN851970 PQI851970:PQJ851970 QAE851970:QAF851970 QKA851970:QKB851970 QTW851970:QTX851970 RDS851970:RDT851970 RNO851970:RNP851970 RXK851970:RXL851970 SHG851970:SHH851970 SRC851970:SRD851970 TAY851970:TAZ851970 TKU851970:TKV851970 TUQ851970:TUR851970 UEM851970:UEN851970 UOI851970:UOJ851970 UYE851970:UYF851970 VIA851970:VIB851970 VRW851970:VRX851970 WBS851970:WBT851970 WLO851970:WLP851970 WVK851970:WVL851970 C917506:D917506 IY917506:IZ917506 SU917506:SV917506 ACQ917506:ACR917506 AMM917506:AMN917506 AWI917506:AWJ917506 BGE917506:BGF917506 BQA917506:BQB917506 BZW917506:BZX917506 CJS917506:CJT917506 CTO917506:CTP917506 DDK917506:DDL917506 DNG917506:DNH917506 DXC917506:DXD917506 EGY917506:EGZ917506 EQU917506:EQV917506 FAQ917506:FAR917506 FKM917506:FKN917506 FUI917506:FUJ917506 GEE917506:GEF917506 GOA917506:GOB917506 GXW917506:GXX917506 HHS917506:HHT917506 HRO917506:HRP917506 IBK917506:IBL917506 ILG917506:ILH917506 IVC917506:IVD917506 JEY917506:JEZ917506 JOU917506:JOV917506 JYQ917506:JYR917506 KIM917506:KIN917506 KSI917506:KSJ917506 LCE917506:LCF917506 LMA917506:LMB917506 LVW917506:LVX917506 MFS917506:MFT917506 MPO917506:MPP917506 MZK917506:MZL917506 NJG917506:NJH917506 NTC917506:NTD917506 OCY917506:OCZ917506 OMU917506:OMV917506 OWQ917506:OWR917506 PGM917506:PGN917506 PQI917506:PQJ917506 QAE917506:QAF917506 QKA917506:QKB917506 QTW917506:QTX917506 RDS917506:RDT917506 RNO917506:RNP917506 RXK917506:RXL917506 SHG917506:SHH917506 SRC917506:SRD917506 TAY917506:TAZ917506 TKU917506:TKV917506 TUQ917506:TUR917506 UEM917506:UEN917506 UOI917506:UOJ917506 UYE917506:UYF917506 VIA917506:VIB917506 VRW917506:VRX917506 WBS917506:WBT917506 WLO917506:WLP917506 WVK917506:WVL917506 C983042:D983042 IY983042:IZ983042 SU983042:SV983042 ACQ983042:ACR983042 AMM983042:AMN983042 AWI983042:AWJ983042 BGE983042:BGF983042 BQA983042:BQB983042 BZW983042:BZX983042 CJS983042:CJT983042 CTO983042:CTP983042 DDK983042:DDL983042 DNG983042:DNH983042 DXC983042:DXD983042 EGY983042:EGZ983042 EQU983042:EQV983042 FAQ983042:FAR983042 FKM983042:FKN983042 FUI983042:FUJ983042 GEE983042:GEF983042 GOA983042:GOB983042 GXW983042:GXX983042 HHS983042:HHT983042 HRO983042:HRP983042 IBK983042:IBL983042 ILG983042:ILH983042 IVC983042:IVD983042 JEY983042:JEZ983042 JOU983042:JOV983042 JYQ983042:JYR983042 KIM983042:KIN983042 KSI983042:KSJ983042 LCE983042:LCF983042 LMA983042:LMB983042 LVW983042:LVX983042 MFS983042:MFT983042 MPO983042:MPP983042 MZK983042:MZL983042 NJG983042:NJH983042 NTC983042:NTD983042 OCY983042:OCZ983042 OMU983042:OMV983042 OWQ983042:OWR983042 PGM983042:PGN983042 PQI983042:PQJ983042 QAE983042:QAF983042 QKA983042:QKB983042 QTW983042:QTX983042 RDS983042:RDT983042 RNO983042:RNP983042 RXK983042:RXL983042 SHG983042:SHH983042 SRC983042:SRD983042 TAY983042:TAZ983042 TKU983042:TKV983042 TUQ983042:TUR983042 UEM983042:UEN983042 UOI983042:UOJ983042 UYE983042:UYF983042 VIA983042:VIB983042 VRW983042:VRX983042 WBS983042:WBT983042 WLO983042:WLP983042 WVK983042:WVL983042"/>
    <dataValidation allowBlank="1" showInputMessage="1" showErrorMessage="1" prompt="Nombre completo del beneficiario."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dataValidation allowBlank="1" showInputMessage="1" showErrorMessage="1" prompt="Clave Única de Registro de Población, cuando el beneficiario de la ayuda o subsidio sea una persona física."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dataValidation allowBlank="1" showInputMessage="1" showErrorMessage="1" prompt="Registro Federal de Contribuyentes con Homoclave cuando el beneficiario de la ayuda o subsidio sea una persona moral o persona física con actividad empresarial y profesional." sqref="H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H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dataValidation allowBlank="1" showInputMessage="1" showErrorMessage="1" prompt="Recursos efectivamente pagados al beneficiario del subsidio o ayuda, realizado por medio de transferencia electrónica, cheque, etc." sqref="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I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I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I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I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I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I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I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I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I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I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I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I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I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I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election sqref="A1:C2"/>
    </sheetView>
  </sheetViews>
  <sheetFormatPr baseColWidth="10" defaultColWidth="9.28515625" defaultRowHeight="11.25"/>
  <cols>
    <col min="1" max="1" width="55.140625" style="4" customWidth="1"/>
    <col min="2" max="2" width="30.28515625" style="4" customWidth="1"/>
    <col min="3" max="3" width="31.7109375" style="4" customWidth="1"/>
    <col min="4" max="256" width="9.28515625" style="4"/>
    <col min="257" max="257" width="55.140625" style="4" customWidth="1"/>
    <col min="258" max="258" width="30.28515625" style="4" customWidth="1"/>
    <col min="259" max="259" width="31.7109375" style="4" customWidth="1"/>
    <col min="260" max="512" width="9.28515625" style="4"/>
    <col min="513" max="513" width="55.140625" style="4" customWidth="1"/>
    <col min="514" max="514" width="30.28515625" style="4" customWidth="1"/>
    <col min="515" max="515" width="31.7109375" style="4" customWidth="1"/>
    <col min="516" max="768" width="9.28515625" style="4"/>
    <col min="769" max="769" width="55.140625" style="4" customWidth="1"/>
    <col min="770" max="770" width="30.28515625" style="4" customWidth="1"/>
    <col min="771" max="771" width="31.7109375" style="4" customWidth="1"/>
    <col min="772" max="1024" width="9.28515625" style="4"/>
    <col min="1025" max="1025" width="55.140625" style="4" customWidth="1"/>
    <col min="1026" max="1026" width="30.28515625" style="4" customWidth="1"/>
    <col min="1027" max="1027" width="31.7109375" style="4" customWidth="1"/>
    <col min="1028" max="1280" width="9.28515625" style="4"/>
    <col min="1281" max="1281" width="55.140625" style="4" customWidth="1"/>
    <col min="1282" max="1282" width="30.28515625" style="4" customWidth="1"/>
    <col min="1283" max="1283" width="31.7109375" style="4" customWidth="1"/>
    <col min="1284" max="1536" width="9.28515625" style="4"/>
    <col min="1537" max="1537" width="55.140625" style="4" customWidth="1"/>
    <col min="1538" max="1538" width="30.28515625" style="4" customWidth="1"/>
    <col min="1539" max="1539" width="31.7109375" style="4" customWidth="1"/>
    <col min="1540" max="1792" width="9.28515625" style="4"/>
    <col min="1793" max="1793" width="55.140625" style="4" customWidth="1"/>
    <col min="1794" max="1794" width="30.28515625" style="4" customWidth="1"/>
    <col min="1795" max="1795" width="31.7109375" style="4" customWidth="1"/>
    <col min="1796" max="2048" width="9.28515625" style="4"/>
    <col min="2049" max="2049" width="55.140625" style="4" customWidth="1"/>
    <col min="2050" max="2050" width="30.28515625" style="4" customWidth="1"/>
    <col min="2051" max="2051" width="31.7109375" style="4" customWidth="1"/>
    <col min="2052" max="2304" width="9.28515625" style="4"/>
    <col min="2305" max="2305" width="55.140625" style="4" customWidth="1"/>
    <col min="2306" max="2306" width="30.28515625" style="4" customWidth="1"/>
    <col min="2307" max="2307" width="31.7109375" style="4" customWidth="1"/>
    <col min="2308" max="2560" width="9.28515625" style="4"/>
    <col min="2561" max="2561" width="55.140625" style="4" customWidth="1"/>
    <col min="2562" max="2562" width="30.28515625" style="4" customWidth="1"/>
    <col min="2563" max="2563" width="31.7109375" style="4" customWidth="1"/>
    <col min="2564" max="2816" width="9.28515625" style="4"/>
    <col min="2817" max="2817" width="55.140625" style="4" customWidth="1"/>
    <col min="2818" max="2818" width="30.28515625" style="4" customWidth="1"/>
    <col min="2819" max="2819" width="31.7109375" style="4" customWidth="1"/>
    <col min="2820" max="3072" width="9.28515625" style="4"/>
    <col min="3073" max="3073" width="55.140625" style="4" customWidth="1"/>
    <col min="3074" max="3074" width="30.28515625" style="4" customWidth="1"/>
    <col min="3075" max="3075" width="31.7109375" style="4" customWidth="1"/>
    <col min="3076" max="3328" width="9.28515625" style="4"/>
    <col min="3329" max="3329" width="55.140625" style="4" customWidth="1"/>
    <col min="3330" max="3330" width="30.28515625" style="4" customWidth="1"/>
    <col min="3331" max="3331" width="31.7109375" style="4" customWidth="1"/>
    <col min="3332" max="3584" width="9.28515625" style="4"/>
    <col min="3585" max="3585" width="55.140625" style="4" customWidth="1"/>
    <col min="3586" max="3586" width="30.28515625" style="4" customWidth="1"/>
    <col min="3587" max="3587" width="31.7109375" style="4" customWidth="1"/>
    <col min="3588" max="3840" width="9.28515625" style="4"/>
    <col min="3841" max="3841" width="55.140625" style="4" customWidth="1"/>
    <col min="3842" max="3842" width="30.28515625" style="4" customWidth="1"/>
    <col min="3843" max="3843" width="31.7109375" style="4" customWidth="1"/>
    <col min="3844" max="4096" width="9.28515625" style="4"/>
    <col min="4097" max="4097" width="55.140625" style="4" customWidth="1"/>
    <col min="4098" max="4098" width="30.28515625" style="4" customWidth="1"/>
    <col min="4099" max="4099" width="31.7109375" style="4" customWidth="1"/>
    <col min="4100" max="4352" width="9.28515625" style="4"/>
    <col min="4353" max="4353" width="55.140625" style="4" customWidth="1"/>
    <col min="4354" max="4354" width="30.28515625" style="4" customWidth="1"/>
    <col min="4355" max="4355" width="31.7109375" style="4" customWidth="1"/>
    <col min="4356" max="4608" width="9.28515625" style="4"/>
    <col min="4609" max="4609" width="55.140625" style="4" customWidth="1"/>
    <col min="4610" max="4610" width="30.28515625" style="4" customWidth="1"/>
    <col min="4611" max="4611" width="31.7109375" style="4" customWidth="1"/>
    <col min="4612" max="4864" width="9.28515625" style="4"/>
    <col min="4865" max="4865" width="55.140625" style="4" customWidth="1"/>
    <col min="4866" max="4866" width="30.28515625" style="4" customWidth="1"/>
    <col min="4867" max="4867" width="31.7109375" style="4" customWidth="1"/>
    <col min="4868" max="5120" width="9.28515625" style="4"/>
    <col min="5121" max="5121" width="55.140625" style="4" customWidth="1"/>
    <col min="5122" max="5122" width="30.28515625" style="4" customWidth="1"/>
    <col min="5123" max="5123" width="31.7109375" style="4" customWidth="1"/>
    <col min="5124" max="5376" width="9.28515625" style="4"/>
    <col min="5377" max="5377" width="55.140625" style="4" customWidth="1"/>
    <col min="5378" max="5378" width="30.28515625" style="4" customWidth="1"/>
    <col min="5379" max="5379" width="31.7109375" style="4" customWidth="1"/>
    <col min="5380" max="5632" width="9.28515625" style="4"/>
    <col min="5633" max="5633" width="55.140625" style="4" customWidth="1"/>
    <col min="5634" max="5634" width="30.28515625" style="4" customWidth="1"/>
    <col min="5635" max="5635" width="31.7109375" style="4" customWidth="1"/>
    <col min="5636" max="5888" width="9.28515625" style="4"/>
    <col min="5889" max="5889" width="55.140625" style="4" customWidth="1"/>
    <col min="5890" max="5890" width="30.28515625" style="4" customWidth="1"/>
    <col min="5891" max="5891" width="31.7109375" style="4" customWidth="1"/>
    <col min="5892" max="6144" width="9.28515625" style="4"/>
    <col min="6145" max="6145" width="55.140625" style="4" customWidth="1"/>
    <col min="6146" max="6146" width="30.28515625" style="4" customWidth="1"/>
    <col min="6147" max="6147" width="31.7109375" style="4" customWidth="1"/>
    <col min="6148" max="6400" width="9.28515625" style="4"/>
    <col min="6401" max="6401" width="55.140625" style="4" customWidth="1"/>
    <col min="6402" max="6402" width="30.28515625" style="4" customWidth="1"/>
    <col min="6403" max="6403" width="31.7109375" style="4" customWidth="1"/>
    <col min="6404" max="6656" width="9.28515625" style="4"/>
    <col min="6657" max="6657" width="55.140625" style="4" customWidth="1"/>
    <col min="6658" max="6658" width="30.28515625" style="4" customWidth="1"/>
    <col min="6659" max="6659" width="31.7109375" style="4" customWidth="1"/>
    <col min="6660" max="6912" width="9.28515625" style="4"/>
    <col min="6913" max="6913" width="55.140625" style="4" customWidth="1"/>
    <col min="6914" max="6914" width="30.28515625" style="4" customWidth="1"/>
    <col min="6915" max="6915" width="31.7109375" style="4" customWidth="1"/>
    <col min="6916" max="7168" width="9.28515625" style="4"/>
    <col min="7169" max="7169" width="55.140625" style="4" customWidth="1"/>
    <col min="7170" max="7170" width="30.28515625" style="4" customWidth="1"/>
    <col min="7171" max="7171" width="31.7109375" style="4" customWidth="1"/>
    <col min="7172" max="7424" width="9.28515625" style="4"/>
    <col min="7425" max="7425" width="55.140625" style="4" customWidth="1"/>
    <col min="7426" max="7426" width="30.28515625" style="4" customWidth="1"/>
    <col min="7427" max="7427" width="31.7109375" style="4" customWidth="1"/>
    <col min="7428" max="7680" width="9.28515625" style="4"/>
    <col min="7681" max="7681" width="55.140625" style="4" customWidth="1"/>
    <col min="7682" max="7682" width="30.28515625" style="4" customWidth="1"/>
    <col min="7683" max="7683" width="31.7109375" style="4" customWidth="1"/>
    <col min="7684" max="7936" width="9.28515625" style="4"/>
    <col min="7937" max="7937" width="55.140625" style="4" customWidth="1"/>
    <col min="7938" max="7938" width="30.28515625" style="4" customWidth="1"/>
    <col min="7939" max="7939" width="31.7109375" style="4" customWidth="1"/>
    <col min="7940" max="8192" width="9.28515625" style="4"/>
    <col min="8193" max="8193" width="55.140625" style="4" customWidth="1"/>
    <col min="8194" max="8194" width="30.28515625" style="4" customWidth="1"/>
    <col min="8195" max="8195" width="31.7109375" style="4" customWidth="1"/>
    <col min="8196" max="8448" width="9.28515625" style="4"/>
    <col min="8449" max="8449" width="55.140625" style="4" customWidth="1"/>
    <col min="8450" max="8450" width="30.28515625" style="4" customWidth="1"/>
    <col min="8451" max="8451" width="31.7109375" style="4" customWidth="1"/>
    <col min="8452" max="8704" width="9.28515625" style="4"/>
    <col min="8705" max="8705" width="55.140625" style="4" customWidth="1"/>
    <col min="8706" max="8706" width="30.28515625" style="4" customWidth="1"/>
    <col min="8707" max="8707" width="31.7109375" style="4" customWidth="1"/>
    <col min="8708" max="8960" width="9.28515625" style="4"/>
    <col min="8961" max="8961" width="55.140625" style="4" customWidth="1"/>
    <col min="8962" max="8962" width="30.28515625" style="4" customWidth="1"/>
    <col min="8963" max="8963" width="31.7109375" style="4" customWidth="1"/>
    <col min="8964" max="9216" width="9.28515625" style="4"/>
    <col min="9217" max="9217" width="55.140625" style="4" customWidth="1"/>
    <col min="9218" max="9218" width="30.28515625" style="4" customWidth="1"/>
    <col min="9219" max="9219" width="31.7109375" style="4" customWidth="1"/>
    <col min="9220" max="9472" width="9.28515625" style="4"/>
    <col min="9473" max="9473" width="55.140625" style="4" customWidth="1"/>
    <col min="9474" max="9474" width="30.28515625" style="4" customWidth="1"/>
    <col min="9475" max="9475" width="31.7109375" style="4" customWidth="1"/>
    <col min="9476" max="9728" width="9.28515625" style="4"/>
    <col min="9729" max="9729" width="55.140625" style="4" customWidth="1"/>
    <col min="9730" max="9730" width="30.28515625" style="4" customWidth="1"/>
    <col min="9731" max="9731" width="31.7109375" style="4" customWidth="1"/>
    <col min="9732" max="9984" width="9.28515625" style="4"/>
    <col min="9985" max="9985" width="55.140625" style="4" customWidth="1"/>
    <col min="9986" max="9986" width="30.28515625" style="4" customWidth="1"/>
    <col min="9987" max="9987" width="31.7109375" style="4" customWidth="1"/>
    <col min="9988" max="10240" width="9.28515625" style="4"/>
    <col min="10241" max="10241" width="55.140625" style="4" customWidth="1"/>
    <col min="10242" max="10242" width="30.28515625" style="4" customWidth="1"/>
    <col min="10243" max="10243" width="31.7109375" style="4" customWidth="1"/>
    <col min="10244" max="10496" width="9.28515625" style="4"/>
    <col min="10497" max="10497" width="55.140625" style="4" customWidth="1"/>
    <col min="10498" max="10498" width="30.28515625" style="4" customWidth="1"/>
    <col min="10499" max="10499" width="31.7109375" style="4" customWidth="1"/>
    <col min="10500" max="10752" width="9.28515625" style="4"/>
    <col min="10753" max="10753" width="55.140625" style="4" customWidth="1"/>
    <col min="10754" max="10754" width="30.28515625" style="4" customWidth="1"/>
    <col min="10755" max="10755" width="31.7109375" style="4" customWidth="1"/>
    <col min="10756" max="11008" width="9.28515625" style="4"/>
    <col min="11009" max="11009" width="55.140625" style="4" customWidth="1"/>
    <col min="11010" max="11010" width="30.28515625" style="4" customWidth="1"/>
    <col min="11011" max="11011" width="31.7109375" style="4" customWidth="1"/>
    <col min="11012" max="11264" width="9.28515625" style="4"/>
    <col min="11265" max="11265" width="55.140625" style="4" customWidth="1"/>
    <col min="11266" max="11266" width="30.28515625" style="4" customWidth="1"/>
    <col min="11267" max="11267" width="31.7109375" style="4" customWidth="1"/>
    <col min="11268" max="11520" width="9.28515625" style="4"/>
    <col min="11521" max="11521" width="55.140625" style="4" customWidth="1"/>
    <col min="11522" max="11522" width="30.28515625" style="4" customWidth="1"/>
    <col min="11523" max="11523" width="31.7109375" style="4" customWidth="1"/>
    <col min="11524" max="11776" width="9.28515625" style="4"/>
    <col min="11777" max="11777" width="55.140625" style="4" customWidth="1"/>
    <col min="11778" max="11778" width="30.28515625" style="4" customWidth="1"/>
    <col min="11779" max="11779" width="31.7109375" style="4" customWidth="1"/>
    <col min="11780" max="12032" width="9.28515625" style="4"/>
    <col min="12033" max="12033" width="55.140625" style="4" customWidth="1"/>
    <col min="12034" max="12034" width="30.28515625" style="4" customWidth="1"/>
    <col min="12035" max="12035" width="31.7109375" style="4" customWidth="1"/>
    <col min="12036" max="12288" width="9.28515625" style="4"/>
    <col min="12289" max="12289" width="55.140625" style="4" customWidth="1"/>
    <col min="12290" max="12290" width="30.28515625" style="4" customWidth="1"/>
    <col min="12291" max="12291" width="31.7109375" style="4" customWidth="1"/>
    <col min="12292" max="12544" width="9.28515625" style="4"/>
    <col min="12545" max="12545" width="55.140625" style="4" customWidth="1"/>
    <col min="12546" max="12546" width="30.28515625" style="4" customWidth="1"/>
    <col min="12547" max="12547" width="31.7109375" style="4" customWidth="1"/>
    <col min="12548" max="12800" width="9.28515625" style="4"/>
    <col min="12801" max="12801" width="55.140625" style="4" customWidth="1"/>
    <col min="12802" max="12802" width="30.28515625" style="4" customWidth="1"/>
    <col min="12803" max="12803" width="31.7109375" style="4" customWidth="1"/>
    <col min="12804" max="13056" width="9.28515625" style="4"/>
    <col min="13057" max="13057" width="55.140625" style="4" customWidth="1"/>
    <col min="13058" max="13058" width="30.28515625" style="4" customWidth="1"/>
    <col min="13059" max="13059" width="31.7109375" style="4" customWidth="1"/>
    <col min="13060" max="13312" width="9.28515625" style="4"/>
    <col min="13313" max="13313" width="55.140625" style="4" customWidth="1"/>
    <col min="13314" max="13314" width="30.28515625" style="4" customWidth="1"/>
    <col min="13315" max="13315" width="31.7109375" style="4" customWidth="1"/>
    <col min="13316" max="13568" width="9.28515625" style="4"/>
    <col min="13569" max="13569" width="55.140625" style="4" customWidth="1"/>
    <col min="13570" max="13570" width="30.28515625" style="4" customWidth="1"/>
    <col min="13571" max="13571" width="31.7109375" style="4" customWidth="1"/>
    <col min="13572" max="13824" width="9.28515625" style="4"/>
    <col min="13825" max="13825" width="55.140625" style="4" customWidth="1"/>
    <col min="13826" max="13826" width="30.28515625" style="4" customWidth="1"/>
    <col min="13827" max="13827" width="31.7109375" style="4" customWidth="1"/>
    <col min="13828" max="14080" width="9.28515625" style="4"/>
    <col min="14081" max="14081" width="55.140625" style="4" customWidth="1"/>
    <col min="14082" max="14082" width="30.28515625" style="4" customWidth="1"/>
    <col min="14083" max="14083" width="31.7109375" style="4" customWidth="1"/>
    <col min="14084" max="14336" width="9.28515625" style="4"/>
    <col min="14337" max="14337" width="55.140625" style="4" customWidth="1"/>
    <col min="14338" max="14338" width="30.28515625" style="4" customWidth="1"/>
    <col min="14339" max="14339" width="31.7109375" style="4" customWidth="1"/>
    <col min="14340" max="14592" width="9.28515625" style="4"/>
    <col min="14593" max="14593" width="55.140625" style="4" customWidth="1"/>
    <col min="14594" max="14594" width="30.28515625" style="4" customWidth="1"/>
    <col min="14595" max="14595" width="31.7109375" style="4" customWidth="1"/>
    <col min="14596" max="14848" width="9.28515625" style="4"/>
    <col min="14849" max="14849" width="55.140625" style="4" customWidth="1"/>
    <col min="14850" max="14850" width="30.28515625" style="4" customWidth="1"/>
    <col min="14851" max="14851" width="31.7109375" style="4" customWidth="1"/>
    <col min="14852" max="15104" width="9.28515625" style="4"/>
    <col min="15105" max="15105" width="55.140625" style="4" customWidth="1"/>
    <col min="15106" max="15106" width="30.28515625" style="4" customWidth="1"/>
    <col min="15107" max="15107" width="31.7109375" style="4" customWidth="1"/>
    <col min="15108" max="15360" width="9.28515625" style="4"/>
    <col min="15361" max="15361" width="55.140625" style="4" customWidth="1"/>
    <col min="15362" max="15362" width="30.28515625" style="4" customWidth="1"/>
    <col min="15363" max="15363" width="31.7109375" style="4" customWidth="1"/>
    <col min="15364" max="15616" width="9.28515625" style="4"/>
    <col min="15617" max="15617" width="55.140625" style="4" customWidth="1"/>
    <col min="15618" max="15618" width="30.28515625" style="4" customWidth="1"/>
    <col min="15619" max="15619" width="31.7109375" style="4" customWidth="1"/>
    <col min="15620" max="15872" width="9.28515625" style="4"/>
    <col min="15873" max="15873" width="55.140625" style="4" customWidth="1"/>
    <col min="15874" max="15874" width="30.28515625" style="4" customWidth="1"/>
    <col min="15875" max="15875" width="31.7109375" style="4" customWidth="1"/>
    <col min="15876" max="16128" width="9.28515625" style="4"/>
    <col min="16129" max="16129" width="55.140625" style="4" customWidth="1"/>
    <col min="16130" max="16130" width="30.28515625" style="4" customWidth="1"/>
    <col min="16131" max="16131" width="31.7109375" style="4" customWidth="1"/>
    <col min="16132" max="16384" width="9.28515625" style="4"/>
  </cols>
  <sheetData>
    <row r="1" spans="1:3" ht="35.1" customHeight="1">
      <c r="A1" s="1001" t="s">
        <v>1578</v>
      </c>
      <c r="B1" s="1002"/>
      <c r="C1" s="1003"/>
    </row>
    <row r="2" spans="1:3" ht="15" customHeight="1">
      <c r="A2" s="573" t="s">
        <v>732</v>
      </c>
      <c r="B2" s="573" t="s">
        <v>733</v>
      </c>
      <c r="C2" s="573" t="s">
        <v>734</v>
      </c>
    </row>
    <row r="3" spans="1:3">
      <c r="A3" s="310" t="s">
        <v>381</v>
      </c>
      <c r="B3" s="296"/>
      <c r="C3" s="318"/>
    </row>
    <row r="4" spans="1:3">
      <c r="A4" s="298"/>
      <c r="B4" s="299"/>
      <c r="C4" s="319"/>
    </row>
    <row r="5" spans="1:3">
      <c r="A5" s="298"/>
      <c r="B5" s="299"/>
      <c r="C5" s="319"/>
    </row>
    <row r="6" spans="1:3">
      <c r="A6" s="298"/>
      <c r="B6" s="299"/>
      <c r="C6" s="319"/>
    </row>
    <row r="7" spans="1:3">
      <c r="A7" s="298"/>
      <c r="B7" s="299"/>
      <c r="C7" s="319"/>
    </row>
    <row r="8" spans="1:3">
      <c r="A8" s="298"/>
      <c r="B8" s="299"/>
      <c r="C8" s="319"/>
    </row>
    <row r="9" spans="1:3">
      <c r="A9" s="298"/>
      <c r="B9" s="299"/>
      <c r="C9" s="319"/>
    </row>
    <row r="10" spans="1:3">
      <c r="A10" s="298"/>
      <c r="B10" s="299"/>
      <c r="C10" s="319"/>
    </row>
    <row r="11" spans="1:3">
      <c r="A11" s="298"/>
      <c r="B11" s="299"/>
      <c r="C11" s="319"/>
    </row>
    <row r="12" spans="1:3">
      <c r="A12" s="298"/>
      <c r="B12" s="299"/>
      <c r="C12" s="319"/>
    </row>
    <row r="13" spans="1:3">
      <c r="A13" s="298"/>
      <c r="B13" s="299"/>
      <c r="C13" s="319"/>
    </row>
    <row r="14" spans="1:3">
      <c r="A14" s="298"/>
      <c r="B14" s="299"/>
      <c r="C14" s="319"/>
    </row>
    <row r="15" spans="1:3">
      <c r="A15" s="298"/>
      <c r="B15" s="299"/>
      <c r="C15" s="319"/>
    </row>
    <row r="16" spans="1:3">
      <c r="A16" s="298"/>
      <c r="B16" s="299"/>
      <c r="C16" s="319"/>
    </row>
    <row r="17" spans="1:3">
      <c r="A17" s="298"/>
      <c r="B17" s="299"/>
      <c r="C17" s="319"/>
    </row>
    <row r="18" spans="1:3">
      <c r="A18" s="298"/>
      <c r="B18" s="299"/>
      <c r="C18" s="319"/>
    </row>
    <row r="19" spans="1:3">
      <c r="A19" s="298"/>
      <c r="B19" s="299"/>
      <c r="C19" s="319"/>
    </row>
    <row r="20" spans="1:3">
      <c r="A20" s="300"/>
      <c r="B20" s="299"/>
      <c r="C20" s="319"/>
    </row>
    <row r="21" spans="1:3">
      <c r="A21" s="300"/>
      <c r="B21" s="299"/>
      <c r="C21" s="319"/>
    </row>
    <row r="22" spans="1:3">
      <c r="A22" s="298"/>
      <c r="B22" s="299"/>
      <c r="C22" s="319"/>
    </row>
    <row r="23" spans="1:3">
      <c r="A23" s="300"/>
      <c r="B23" s="299"/>
      <c r="C23" s="319"/>
    </row>
    <row r="24" spans="1:3">
      <c r="A24" s="300"/>
      <c r="B24" s="299"/>
      <c r="C24" s="319"/>
    </row>
    <row r="25" spans="1:3">
      <c r="A25" s="298"/>
      <c r="B25" s="299"/>
      <c r="C25" s="319"/>
    </row>
    <row r="26" spans="1:3">
      <c r="A26" s="298"/>
      <c r="B26" s="299"/>
      <c r="C26" s="319"/>
    </row>
    <row r="27" spans="1:3">
      <c r="A27" s="298"/>
      <c r="B27" s="301"/>
      <c r="C27" s="319"/>
    </row>
    <row r="28" spans="1:3">
      <c r="A28" s="298"/>
      <c r="B28" s="299"/>
      <c r="C28" s="319"/>
    </row>
    <row r="29" spans="1:3">
      <c r="A29" s="298"/>
      <c r="B29" s="299"/>
      <c r="C29" s="319"/>
    </row>
    <row r="30" spans="1:3">
      <c r="A30" s="304"/>
      <c r="B30" s="320"/>
      <c r="C30" s="321"/>
    </row>
  </sheetData>
  <sheetProtection formatCells="0" formatColumns="0" formatRows="0" insertRows="0" deleteRows="0" autoFilter="0"/>
  <mergeCells count="1">
    <mergeCell ref="A1:C1"/>
  </mergeCells>
  <dataValidations count="3">
    <dataValidation allowBlank="1" showInputMessage="1" showErrorMessage="1" prompt="Número y tipo de cuenta bancaria en la que se depositan los recursos federales."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Detalle de la institución financiera, en la que se depositan los recursos federales."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 allowBlank="1" showInputMessage="1" showErrorMessage="1" prompt="Detalle del Fondo o Programa (clave y nombre completo)."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A2" sqref="A2"/>
    </sheetView>
  </sheetViews>
  <sheetFormatPr baseColWidth="10" defaultColWidth="9.28515625" defaultRowHeight="11.25"/>
  <cols>
    <col min="1" max="1" width="15.7109375" style="322" bestFit="1" customWidth="1"/>
    <col min="2" max="2" width="27.5703125" style="322" customWidth="1"/>
    <col min="3" max="5" width="16.28515625" style="225" customWidth="1"/>
    <col min="6" max="256" width="9.28515625" style="4"/>
    <col min="257" max="257" width="15.7109375" style="4" bestFit="1" customWidth="1"/>
    <col min="258" max="258" width="27.5703125" style="4" customWidth="1"/>
    <col min="259" max="261" width="16.28515625" style="4" customWidth="1"/>
    <col min="262" max="512" width="9.28515625" style="4"/>
    <col min="513" max="513" width="15.7109375" style="4" bestFit="1" customWidth="1"/>
    <col min="514" max="514" width="27.5703125" style="4" customWidth="1"/>
    <col min="515" max="517" width="16.28515625" style="4" customWidth="1"/>
    <col min="518" max="768" width="9.28515625" style="4"/>
    <col min="769" max="769" width="15.7109375" style="4" bestFit="1" customWidth="1"/>
    <col min="770" max="770" width="27.5703125" style="4" customWidth="1"/>
    <col min="771" max="773" width="16.28515625" style="4" customWidth="1"/>
    <col min="774" max="1024" width="9.28515625" style="4"/>
    <col min="1025" max="1025" width="15.7109375" style="4" bestFit="1" customWidth="1"/>
    <col min="1026" max="1026" width="27.5703125" style="4" customWidth="1"/>
    <col min="1027" max="1029" width="16.28515625" style="4" customWidth="1"/>
    <col min="1030" max="1280" width="9.28515625" style="4"/>
    <col min="1281" max="1281" width="15.7109375" style="4" bestFit="1" customWidth="1"/>
    <col min="1282" max="1282" width="27.5703125" style="4" customWidth="1"/>
    <col min="1283" max="1285" width="16.28515625" style="4" customWidth="1"/>
    <col min="1286" max="1536" width="9.28515625" style="4"/>
    <col min="1537" max="1537" width="15.7109375" style="4" bestFit="1" customWidth="1"/>
    <col min="1538" max="1538" width="27.5703125" style="4" customWidth="1"/>
    <col min="1539" max="1541" width="16.28515625" style="4" customWidth="1"/>
    <col min="1542" max="1792" width="9.28515625" style="4"/>
    <col min="1793" max="1793" width="15.7109375" style="4" bestFit="1" customWidth="1"/>
    <col min="1794" max="1794" width="27.5703125" style="4" customWidth="1"/>
    <col min="1795" max="1797" width="16.28515625" style="4" customWidth="1"/>
    <col min="1798" max="2048" width="9.28515625" style="4"/>
    <col min="2049" max="2049" width="15.7109375" style="4" bestFit="1" customWidth="1"/>
    <col min="2050" max="2050" width="27.5703125" style="4" customWidth="1"/>
    <col min="2051" max="2053" width="16.28515625" style="4" customWidth="1"/>
    <col min="2054" max="2304" width="9.28515625" style="4"/>
    <col min="2305" max="2305" width="15.7109375" style="4" bestFit="1" customWidth="1"/>
    <col min="2306" max="2306" width="27.5703125" style="4" customWidth="1"/>
    <col min="2307" max="2309" width="16.28515625" style="4" customWidth="1"/>
    <col min="2310" max="2560" width="9.28515625" style="4"/>
    <col min="2561" max="2561" width="15.7109375" style="4" bestFit="1" customWidth="1"/>
    <col min="2562" max="2562" width="27.5703125" style="4" customWidth="1"/>
    <col min="2563" max="2565" width="16.28515625" style="4" customWidth="1"/>
    <col min="2566" max="2816" width="9.28515625" style="4"/>
    <col min="2817" max="2817" width="15.7109375" style="4" bestFit="1" customWidth="1"/>
    <col min="2818" max="2818" width="27.5703125" style="4" customWidth="1"/>
    <col min="2819" max="2821" width="16.28515625" style="4" customWidth="1"/>
    <col min="2822" max="3072" width="9.28515625" style="4"/>
    <col min="3073" max="3073" width="15.7109375" style="4" bestFit="1" customWidth="1"/>
    <col min="3074" max="3074" width="27.5703125" style="4" customWidth="1"/>
    <col min="3075" max="3077" width="16.28515625" style="4" customWidth="1"/>
    <col min="3078" max="3328" width="9.28515625" style="4"/>
    <col min="3329" max="3329" width="15.7109375" style="4" bestFit="1" customWidth="1"/>
    <col min="3330" max="3330" width="27.5703125" style="4" customWidth="1"/>
    <col min="3331" max="3333" width="16.28515625" style="4" customWidth="1"/>
    <col min="3334" max="3584" width="9.28515625" style="4"/>
    <col min="3585" max="3585" width="15.7109375" style="4" bestFit="1" customWidth="1"/>
    <col min="3586" max="3586" width="27.5703125" style="4" customWidth="1"/>
    <col min="3587" max="3589" width="16.28515625" style="4" customWidth="1"/>
    <col min="3590" max="3840" width="9.28515625" style="4"/>
    <col min="3841" max="3841" width="15.7109375" style="4" bestFit="1" customWidth="1"/>
    <col min="3842" max="3842" width="27.5703125" style="4" customWidth="1"/>
    <col min="3843" max="3845" width="16.28515625" style="4" customWidth="1"/>
    <col min="3846" max="4096" width="9.28515625" style="4"/>
    <col min="4097" max="4097" width="15.7109375" style="4" bestFit="1" customWidth="1"/>
    <col min="4098" max="4098" width="27.5703125" style="4" customWidth="1"/>
    <col min="4099" max="4101" width="16.28515625" style="4" customWidth="1"/>
    <col min="4102" max="4352" width="9.28515625" style="4"/>
    <col min="4353" max="4353" width="15.7109375" style="4" bestFit="1" customWidth="1"/>
    <col min="4354" max="4354" width="27.5703125" style="4" customWidth="1"/>
    <col min="4355" max="4357" width="16.28515625" style="4" customWidth="1"/>
    <col min="4358" max="4608" width="9.28515625" style="4"/>
    <col min="4609" max="4609" width="15.7109375" style="4" bestFit="1" customWidth="1"/>
    <col min="4610" max="4610" width="27.5703125" style="4" customWidth="1"/>
    <col min="4611" max="4613" width="16.28515625" style="4" customWidth="1"/>
    <col min="4614" max="4864" width="9.28515625" style="4"/>
    <col min="4865" max="4865" width="15.7109375" style="4" bestFit="1" customWidth="1"/>
    <col min="4866" max="4866" width="27.5703125" style="4" customWidth="1"/>
    <col min="4867" max="4869" width="16.28515625" style="4" customWidth="1"/>
    <col min="4870" max="5120" width="9.28515625" style="4"/>
    <col min="5121" max="5121" width="15.7109375" style="4" bestFit="1" customWidth="1"/>
    <col min="5122" max="5122" width="27.5703125" style="4" customWidth="1"/>
    <col min="5123" max="5125" width="16.28515625" style="4" customWidth="1"/>
    <col min="5126" max="5376" width="9.28515625" style="4"/>
    <col min="5377" max="5377" width="15.7109375" style="4" bestFit="1" customWidth="1"/>
    <col min="5378" max="5378" width="27.5703125" style="4" customWidth="1"/>
    <col min="5379" max="5381" width="16.28515625" style="4" customWidth="1"/>
    <col min="5382" max="5632" width="9.28515625" style="4"/>
    <col min="5633" max="5633" width="15.7109375" style="4" bestFit="1" customWidth="1"/>
    <col min="5634" max="5634" width="27.5703125" style="4" customWidth="1"/>
    <col min="5635" max="5637" width="16.28515625" style="4" customWidth="1"/>
    <col min="5638" max="5888" width="9.28515625" style="4"/>
    <col min="5889" max="5889" width="15.7109375" style="4" bestFit="1" customWidth="1"/>
    <col min="5890" max="5890" width="27.5703125" style="4" customWidth="1"/>
    <col min="5891" max="5893" width="16.28515625" style="4" customWidth="1"/>
    <col min="5894" max="6144" width="9.28515625" style="4"/>
    <col min="6145" max="6145" width="15.7109375" style="4" bestFit="1" customWidth="1"/>
    <col min="6146" max="6146" width="27.5703125" style="4" customWidth="1"/>
    <col min="6147" max="6149" width="16.28515625" style="4" customWidth="1"/>
    <col min="6150" max="6400" width="9.28515625" style="4"/>
    <col min="6401" max="6401" width="15.7109375" style="4" bestFit="1" customWidth="1"/>
    <col min="6402" max="6402" width="27.5703125" style="4" customWidth="1"/>
    <col min="6403" max="6405" width="16.28515625" style="4" customWidth="1"/>
    <col min="6406" max="6656" width="9.28515625" style="4"/>
    <col min="6657" max="6657" width="15.7109375" style="4" bestFit="1" customWidth="1"/>
    <col min="6658" max="6658" width="27.5703125" style="4" customWidth="1"/>
    <col min="6659" max="6661" width="16.28515625" style="4" customWidth="1"/>
    <col min="6662" max="6912" width="9.28515625" style="4"/>
    <col min="6913" max="6913" width="15.7109375" style="4" bestFit="1" customWidth="1"/>
    <col min="6914" max="6914" width="27.5703125" style="4" customWidth="1"/>
    <col min="6915" max="6917" width="16.28515625" style="4" customWidth="1"/>
    <col min="6918" max="7168" width="9.28515625" style="4"/>
    <col min="7169" max="7169" width="15.7109375" style="4" bestFit="1" customWidth="1"/>
    <col min="7170" max="7170" width="27.5703125" style="4" customWidth="1"/>
    <col min="7171" max="7173" width="16.28515625" style="4" customWidth="1"/>
    <col min="7174" max="7424" width="9.28515625" style="4"/>
    <col min="7425" max="7425" width="15.7109375" style="4" bestFit="1" customWidth="1"/>
    <col min="7426" max="7426" width="27.5703125" style="4" customWidth="1"/>
    <col min="7427" max="7429" width="16.28515625" style="4" customWidth="1"/>
    <col min="7430" max="7680" width="9.28515625" style="4"/>
    <col min="7681" max="7681" width="15.7109375" style="4" bestFit="1" customWidth="1"/>
    <col min="7682" max="7682" width="27.5703125" style="4" customWidth="1"/>
    <col min="7683" max="7685" width="16.28515625" style="4" customWidth="1"/>
    <col min="7686" max="7936" width="9.28515625" style="4"/>
    <col min="7937" max="7937" width="15.7109375" style="4" bestFit="1" customWidth="1"/>
    <col min="7938" max="7938" width="27.5703125" style="4" customWidth="1"/>
    <col min="7939" max="7941" width="16.28515625" style="4" customWidth="1"/>
    <col min="7942" max="8192" width="9.28515625" style="4"/>
    <col min="8193" max="8193" width="15.7109375" style="4" bestFit="1" customWidth="1"/>
    <col min="8194" max="8194" width="27.5703125" style="4" customWidth="1"/>
    <col min="8195" max="8197" width="16.28515625" style="4" customWidth="1"/>
    <col min="8198" max="8448" width="9.28515625" style="4"/>
    <col min="8449" max="8449" width="15.7109375" style="4" bestFit="1" customWidth="1"/>
    <col min="8450" max="8450" width="27.5703125" style="4" customWidth="1"/>
    <col min="8451" max="8453" width="16.28515625" style="4" customWidth="1"/>
    <col min="8454" max="8704" width="9.28515625" style="4"/>
    <col min="8705" max="8705" width="15.7109375" style="4" bestFit="1" customWidth="1"/>
    <col min="8706" max="8706" width="27.5703125" style="4" customWidth="1"/>
    <col min="8707" max="8709" width="16.28515625" style="4" customWidth="1"/>
    <col min="8710" max="8960" width="9.28515625" style="4"/>
    <col min="8961" max="8961" width="15.7109375" style="4" bestFit="1" customWidth="1"/>
    <col min="8962" max="8962" width="27.5703125" style="4" customWidth="1"/>
    <col min="8963" max="8965" width="16.28515625" style="4" customWidth="1"/>
    <col min="8966" max="9216" width="9.28515625" style="4"/>
    <col min="9217" max="9217" width="15.7109375" style="4" bestFit="1" customWidth="1"/>
    <col min="9218" max="9218" width="27.5703125" style="4" customWidth="1"/>
    <col min="9219" max="9221" width="16.28515625" style="4" customWidth="1"/>
    <col min="9222" max="9472" width="9.28515625" style="4"/>
    <col min="9473" max="9473" width="15.7109375" style="4" bestFit="1" customWidth="1"/>
    <col min="9474" max="9474" width="27.5703125" style="4" customWidth="1"/>
    <col min="9475" max="9477" width="16.28515625" style="4" customWidth="1"/>
    <col min="9478" max="9728" width="9.28515625" style="4"/>
    <col min="9729" max="9729" width="15.7109375" style="4" bestFit="1" customWidth="1"/>
    <col min="9730" max="9730" width="27.5703125" style="4" customWidth="1"/>
    <col min="9731" max="9733" width="16.28515625" style="4" customWidth="1"/>
    <col min="9734" max="9984" width="9.28515625" style="4"/>
    <col min="9985" max="9985" width="15.7109375" style="4" bestFit="1" customWidth="1"/>
    <col min="9986" max="9986" width="27.5703125" style="4" customWidth="1"/>
    <col min="9987" max="9989" width="16.28515625" style="4" customWidth="1"/>
    <col min="9990" max="10240" width="9.28515625" style="4"/>
    <col min="10241" max="10241" width="15.7109375" style="4" bestFit="1" customWidth="1"/>
    <col min="10242" max="10242" width="27.5703125" style="4" customWidth="1"/>
    <col min="10243" max="10245" width="16.28515625" style="4" customWidth="1"/>
    <col min="10246" max="10496" width="9.28515625" style="4"/>
    <col min="10497" max="10497" width="15.7109375" style="4" bestFit="1" customWidth="1"/>
    <col min="10498" max="10498" width="27.5703125" style="4" customWidth="1"/>
    <col min="10499" max="10501" width="16.28515625" style="4" customWidth="1"/>
    <col min="10502" max="10752" width="9.28515625" style="4"/>
    <col min="10753" max="10753" width="15.7109375" style="4" bestFit="1" customWidth="1"/>
    <col min="10754" max="10754" width="27.5703125" style="4" customWidth="1"/>
    <col min="10755" max="10757" width="16.28515625" style="4" customWidth="1"/>
    <col min="10758" max="11008" width="9.28515625" style="4"/>
    <col min="11009" max="11009" width="15.7109375" style="4" bestFit="1" customWidth="1"/>
    <col min="11010" max="11010" width="27.5703125" style="4" customWidth="1"/>
    <col min="11011" max="11013" width="16.28515625" style="4" customWidth="1"/>
    <col min="11014" max="11264" width="9.28515625" style="4"/>
    <col min="11265" max="11265" width="15.7109375" style="4" bestFit="1" customWidth="1"/>
    <col min="11266" max="11266" width="27.5703125" style="4" customWidth="1"/>
    <col min="11267" max="11269" width="16.28515625" style="4" customWidth="1"/>
    <col min="11270" max="11520" width="9.28515625" style="4"/>
    <col min="11521" max="11521" width="15.7109375" style="4" bestFit="1" customWidth="1"/>
    <col min="11522" max="11522" width="27.5703125" style="4" customWidth="1"/>
    <col min="11523" max="11525" width="16.28515625" style="4" customWidth="1"/>
    <col min="11526" max="11776" width="9.28515625" style="4"/>
    <col min="11777" max="11777" width="15.7109375" style="4" bestFit="1" customWidth="1"/>
    <col min="11778" max="11778" width="27.5703125" style="4" customWidth="1"/>
    <col min="11779" max="11781" width="16.28515625" style="4" customWidth="1"/>
    <col min="11782" max="12032" width="9.28515625" style="4"/>
    <col min="12033" max="12033" width="15.7109375" style="4" bestFit="1" customWidth="1"/>
    <col min="12034" max="12034" width="27.5703125" style="4" customWidth="1"/>
    <col min="12035" max="12037" width="16.28515625" style="4" customWidth="1"/>
    <col min="12038" max="12288" width="9.28515625" style="4"/>
    <col min="12289" max="12289" width="15.7109375" style="4" bestFit="1" customWidth="1"/>
    <col min="12290" max="12290" width="27.5703125" style="4" customWidth="1"/>
    <col min="12291" max="12293" width="16.28515625" style="4" customWidth="1"/>
    <col min="12294" max="12544" width="9.28515625" style="4"/>
    <col min="12545" max="12545" width="15.7109375" style="4" bestFit="1" customWidth="1"/>
    <col min="12546" max="12546" width="27.5703125" style="4" customWidth="1"/>
    <col min="12547" max="12549" width="16.28515625" style="4" customWidth="1"/>
    <col min="12550" max="12800" width="9.28515625" style="4"/>
    <col min="12801" max="12801" width="15.7109375" style="4" bestFit="1" customWidth="1"/>
    <col min="12802" max="12802" width="27.5703125" style="4" customWidth="1"/>
    <col min="12803" max="12805" width="16.28515625" style="4" customWidth="1"/>
    <col min="12806" max="13056" width="9.28515625" style="4"/>
    <col min="13057" max="13057" width="15.7109375" style="4" bestFit="1" customWidth="1"/>
    <col min="13058" max="13058" width="27.5703125" style="4" customWidth="1"/>
    <col min="13059" max="13061" width="16.28515625" style="4" customWidth="1"/>
    <col min="13062" max="13312" width="9.28515625" style="4"/>
    <col min="13313" max="13313" width="15.7109375" style="4" bestFit="1" customWidth="1"/>
    <col min="13314" max="13314" width="27.5703125" style="4" customWidth="1"/>
    <col min="13315" max="13317" width="16.28515625" style="4" customWidth="1"/>
    <col min="13318" max="13568" width="9.28515625" style="4"/>
    <col min="13569" max="13569" width="15.7109375" style="4" bestFit="1" customWidth="1"/>
    <col min="13570" max="13570" width="27.5703125" style="4" customWidth="1"/>
    <col min="13571" max="13573" width="16.28515625" style="4" customWidth="1"/>
    <col min="13574" max="13824" width="9.28515625" style="4"/>
    <col min="13825" max="13825" width="15.7109375" style="4" bestFit="1" customWidth="1"/>
    <col min="13826" max="13826" width="27.5703125" style="4" customWidth="1"/>
    <col min="13827" max="13829" width="16.28515625" style="4" customWidth="1"/>
    <col min="13830" max="14080" width="9.28515625" style="4"/>
    <col min="14081" max="14081" width="15.7109375" style="4" bestFit="1" customWidth="1"/>
    <col min="14082" max="14082" width="27.5703125" style="4" customWidth="1"/>
    <col min="14083" max="14085" width="16.28515625" style="4" customWidth="1"/>
    <col min="14086" max="14336" width="9.28515625" style="4"/>
    <col min="14337" max="14337" width="15.7109375" style="4" bestFit="1" customWidth="1"/>
    <col min="14338" max="14338" width="27.5703125" style="4" customWidth="1"/>
    <col min="14339" max="14341" width="16.28515625" style="4" customWidth="1"/>
    <col min="14342" max="14592" width="9.28515625" style="4"/>
    <col min="14593" max="14593" width="15.7109375" style="4" bestFit="1" customWidth="1"/>
    <col min="14594" max="14594" width="27.5703125" style="4" customWidth="1"/>
    <col min="14595" max="14597" width="16.28515625" style="4" customWidth="1"/>
    <col min="14598" max="14848" width="9.28515625" style="4"/>
    <col min="14849" max="14849" width="15.7109375" style="4" bestFit="1" customWidth="1"/>
    <col min="14850" max="14850" width="27.5703125" style="4" customWidth="1"/>
    <col min="14851" max="14853" width="16.28515625" style="4" customWidth="1"/>
    <col min="14854" max="15104" width="9.28515625" style="4"/>
    <col min="15105" max="15105" width="15.7109375" style="4" bestFit="1" customWidth="1"/>
    <col min="15106" max="15106" width="27.5703125" style="4" customWidth="1"/>
    <col min="15107" max="15109" width="16.28515625" style="4" customWidth="1"/>
    <col min="15110" max="15360" width="9.28515625" style="4"/>
    <col min="15361" max="15361" width="15.7109375" style="4" bestFit="1" customWidth="1"/>
    <col min="15362" max="15362" width="27.5703125" style="4" customWidth="1"/>
    <col min="15363" max="15365" width="16.28515625" style="4" customWidth="1"/>
    <col min="15366" max="15616" width="9.28515625" style="4"/>
    <col min="15617" max="15617" width="15.7109375" style="4" bestFit="1" customWidth="1"/>
    <col min="15618" max="15618" width="27.5703125" style="4" customWidth="1"/>
    <col min="15619" max="15621" width="16.28515625" style="4" customWidth="1"/>
    <col min="15622" max="15872" width="9.28515625" style="4"/>
    <col min="15873" max="15873" width="15.7109375" style="4" bestFit="1" customWidth="1"/>
    <col min="15874" max="15874" width="27.5703125" style="4" customWidth="1"/>
    <col min="15875" max="15877" width="16.28515625" style="4" customWidth="1"/>
    <col min="15878" max="16128" width="9.28515625" style="4"/>
    <col min="16129" max="16129" width="15.7109375" style="4" bestFit="1" customWidth="1"/>
    <col min="16130" max="16130" width="27.5703125" style="4" customWidth="1"/>
    <col min="16131" max="16133" width="16.28515625" style="4" customWidth="1"/>
    <col min="16134" max="16384" width="9.28515625" style="4"/>
  </cols>
  <sheetData>
    <row r="1" spans="1:5" ht="35.1" customHeight="1">
      <c r="A1" s="1010" t="s">
        <v>1579</v>
      </c>
      <c r="B1" s="1011"/>
      <c r="C1" s="1011"/>
      <c r="D1" s="1011"/>
      <c r="E1" s="1012"/>
    </row>
    <row r="2" spans="1:5" ht="24.95" customHeight="1">
      <c r="A2" s="575" t="s">
        <v>735</v>
      </c>
      <c r="B2" s="575" t="s">
        <v>736</v>
      </c>
      <c r="C2" s="574" t="s">
        <v>231</v>
      </c>
      <c r="D2" s="574" t="s">
        <v>255</v>
      </c>
      <c r="E2" s="576" t="s">
        <v>737</v>
      </c>
    </row>
    <row r="3" spans="1:5">
      <c r="A3" s="310" t="s">
        <v>381</v>
      </c>
    </row>
  </sheetData>
  <sheetProtection insertRows="0" deleteRows="0" autoFilter="0"/>
  <mergeCells count="1">
    <mergeCell ref="A1:E1"/>
  </mergeCells>
  <dataValidations count="5">
    <dataValidation allowBlank="1" showInputMessage="1" showErrorMessage="1" prompt="Recursos no utilizados que se tendrán que reintegrar a su correspondiente Tesorería o a la Tesorería de la Federación." sqref="E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E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E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E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E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E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E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E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E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E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E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E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E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E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E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WVM983041"/>
    <dataValidation allowBlank="1" showInputMessage="1" showErrorMessage="1" prompt="Se refiere a la columna en las que se anotaran los importes pagados al período que se informa."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 allowBlank="1" showInputMessage="1" showErrorMessage="1" prompt="Se refiere a la columna en las que se anotaran los importes devengados al período que se informa."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Población a la que se dirigen los recursos del programa o fondo." sqref="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dataValidation allowBlank="1" showInputMessage="1" showErrorMessage="1" prompt="Detalle del Fondo o Programa." sqref="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dataValidation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B1:DE164"/>
  <sheetViews>
    <sheetView showGridLines="0" topLeftCell="BS1" zoomScale="80" zoomScaleNormal="80" workbookViewId="0">
      <pane ySplit="9" topLeftCell="A10" activePane="bottomLeft" state="frozen"/>
      <selection pane="bottomLeft" activeCell="BZ3" sqref="BZ3:CF3"/>
    </sheetView>
  </sheetViews>
  <sheetFormatPr baseColWidth="10" defaultColWidth="11" defaultRowHeight="12"/>
  <cols>
    <col min="1" max="2" width="4.28515625" style="831" customWidth="1"/>
    <col min="3" max="3" width="4.42578125" style="832" customWidth="1"/>
    <col min="4" max="4" width="21" style="831" customWidth="1"/>
    <col min="5" max="5" width="12.7109375" style="831" bestFit="1" customWidth="1"/>
    <col min="6" max="6" width="14.7109375" style="831" bestFit="1" customWidth="1"/>
    <col min="7" max="7" width="5.7109375" style="832" customWidth="1"/>
    <col min="8" max="8" width="17.7109375" style="831" customWidth="1"/>
    <col min="9" max="9" width="13.28515625" style="831" bestFit="1" customWidth="1"/>
    <col min="10" max="10" width="14.140625" style="831" customWidth="1"/>
    <col min="11" max="11" width="3.28515625" style="831" customWidth="1"/>
    <col min="12" max="12" width="11" style="831"/>
    <col min="13" max="14" width="3.28515625" style="833" customWidth="1"/>
    <col min="15" max="15" width="4.85546875" style="843" customWidth="1"/>
    <col min="16" max="16" width="58.85546875" style="833" customWidth="1"/>
    <col min="17" max="23" width="15.7109375" style="833" customWidth="1"/>
    <col min="24" max="24" width="2.7109375" style="833" customWidth="1"/>
    <col min="25" max="25" width="11" style="831"/>
    <col min="26" max="28" width="3.7109375" style="833" customWidth="1"/>
    <col min="29" max="29" width="58" style="833" customWidth="1"/>
    <col min="30" max="35" width="14.28515625" style="833" customWidth="1"/>
    <col min="36" max="36" width="17.28515625" style="833" customWidth="1"/>
    <col min="37" max="39" width="14.28515625" style="833" customWidth="1"/>
    <col min="40" max="40" width="3.28515625" style="833" customWidth="1"/>
    <col min="41" max="41" width="11" style="831"/>
    <col min="42" max="44" width="4.28515625" style="833" customWidth="1"/>
    <col min="45" max="45" width="83.28515625" style="833" customWidth="1"/>
    <col min="46" max="46" width="14.42578125" style="833" customWidth="1"/>
    <col min="47" max="48" width="14.28515625" style="833" customWidth="1"/>
    <col min="49" max="49" width="3.28515625" style="833" customWidth="1"/>
    <col min="50" max="50" width="11" style="831"/>
    <col min="51" max="52" width="3.7109375" style="833" customWidth="1"/>
    <col min="53" max="53" width="3.140625" style="843" customWidth="1"/>
    <col min="54" max="54" width="62.7109375" style="833" customWidth="1"/>
    <col min="55" max="60" width="15.7109375" style="833" customWidth="1"/>
    <col min="61" max="61" width="3.85546875" style="833" customWidth="1"/>
    <col min="62" max="62" width="11" style="831"/>
    <col min="63" max="64" width="2.28515625" style="833" customWidth="1"/>
    <col min="65" max="65" width="4.85546875" style="843" customWidth="1"/>
    <col min="66" max="66" width="83.7109375" style="833" customWidth="1"/>
    <col min="67" max="72" width="15.7109375" style="833" customWidth="1"/>
    <col min="73" max="73" width="2.85546875" style="833" customWidth="1"/>
    <col min="74" max="74" width="7.28515625" style="833" customWidth="1"/>
    <col min="75" max="76" width="2.28515625" style="833" customWidth="1"/>
    <col min="77" max="77" width="4.7109375" style="843" customWidth="1"/>
    <col min="78" max="78" width="48.5703125" style="833" customWidth="1"/>
    <col min="79" max="84" width="15.7109375" style="833" customWidth="1"/>
    <col min="85" max="85" width="2.85546875" style="833" customWidth="1"/>
    <col min="86" max="86" width="6.28515625" style="833" customWidth="1"/>
    <col min="87" max="88" width="2.28515625" style="833" customWidth="1"/>
    <col min="89" max="89" width="3" style="843" customWidth="1"/>
    <col min="90" max="90" width="83.7109375" style="833" customWidth="1"/>
    <col min="91" max="96" width="15.7109375" style="833" customWidth="1"/>
    <col min="97" max="97" width="2.85546875" style="833" customWidth="1"/>
    <col min="98" max="98" width="7.28515625" style="833" customWidth="1"/>
    <col min="99" max="100" width="2.28515625" style="833" customWidth="1"/>
    <col min="101" max="101" width="2.28515625" style="843" customWidth="1"/>
    <col min="102" max="102" width="48.5703125" style="833" customWidth="1"/>
    <col min="103" max="108" width="15.7109375" style="833" customWidth="1"/>
    <col min="109" max="109" width="2.85546875" style="833" customWidth="1"/>
    <col min="110" max="16384" width="11" style="831"/>
  </cols>
  <sheetData>
    <row r="1" spans="2:109" ht="12.75" thickBot="1">
      <c r="AY1" s="834"/>
      <c r="AZ1" s="834"/>
      <c r="BA1" s="840"/>
      <c r="BB1" s="834"/>
      <c r="BC1" s="834"/>
      <c r="BD1" s="834"/>
      <c r="BE1" s="834"/>
      <c r="BF1" s="834"/>
      <c r="BG1" s="834"/>
      <c r="BH1" s="834"/>
      <c r="BI1" s="834"/>
    </row>
    <row r="2" spans="2:109">
      <c r="B2" s="835"/>
      <c r="C2" s="836"/>
      <c r="D2" s="1065"/>
      <c r="E2" s="1065"/>
      <c r="F2" s="1065"/>
      <c r="G2" s="1065"/>
      <c r="H2" s="1065"/>
      <c r="I2" s="1065"/>
      <c r="J2" s="1065"/>
      <c r="K2" s="837"/>
      <c r="N2" s="835"/>
      <c r="O2" s="836"/>
      <c r="P2" s="838"/>
      <c r="Q2" s="838"/>
      <c r="R2" s="838"/>
      <c r="S2" s="838"/>
      <c r="T2" s="838"/>
      <c r="U2" s="838"/>
      <c r="V2" s="838"/>
      <c r="W2" s="838"/>
      <c r="X2" s="837"/>
      <c r="AA2" s="835"/>
      <c r="AB2" s="838"/>
      <c r="AC2" s="838"/>
      <c r="AD2" s="838"/>
      <c r="AE2" s="838"/>
      <c r="AF2" s="838"/>
      <c r="AG2" s="838"/>
      <c r="AH2" s="838"/>
      <c r="AI2" s="838"/>
      <c r="AJ2" s="838"/>
      <c r="AK2" s="838"/>
      <c r="AL2" s="838"/>
      <c r="AM2" s="838"/>
      <c r="AN2" s="837"/>
      <c r="AQ2" s="835"/>
      <c r="AR2" s="838"/>
      <c r="AS2" s="838"/>
      <c r="AT2" s="838"/>
      <c r="AU2" s="838"/>
      <c r="AV2" s="838"/>
      <c r="AW2" s="837"/>
      <c r="AY2" s="834"/>
      <c r="AZ2" s="835"/>
      <c r="BA2" s="836"/>
      <c r="BB2" s="838"/>
      <c r="BC2" s="838"/>
      <c r="BD2" s="838"/>
      <c r="BE2" s="838"/>
      <c r="BF2" s="838"/>
      <c r="BG2" s="838"/>
      <c r="BH2" s="838"/>
      <c r="BI2" s="837"/>
      <c r="BL2" s="835"/>
      <c r="BM2" s="836"/>
      <c r="BN2" s="838"/>
      <c r="BO2" s="838"/>
      <c r="BP2" s="838"/>
      <c r="BQ2" s="838"/>
      <c r="BR2" s="838"/>
      <c r="BS2" s="838"/>
      <c r="BT2" s="838"/>
      <c r="BU2" s="837"/>
      <c r="BX2" s="835"/>
      <c r="BY2" s="836"/>
      <c r="BZ2" s="838"/>
      <c r="CA2" s="838"/>
      <c r="CB2" s="838"/>
      <c r="CC2" s="838"/>
      <c r="CD2" s="838"/>
      <c r="CE2" s="838"/>
      <c r="CF2" s="838"/>
      <c r="CG2" s="837"/>
      <c r="CJ2" s="835"/>
      <c r="CK2" s="836"/>
      <c r="CL2" s="838"/>
      <c r="CM2" s="838"/>
      <c r="CN2" s="838"/>
      <c r="CO2" s="838"/>
      <c r="CP2" s="838"/>
      <c r="CQ2" s="838"/>
      <c r="CR2" s="838"/>
      <c r="CS2" s="837"/>
      <c r="CV2" s="835"/>
      <c r="CW2" s="836"/>
      <c r="CX2" s="838"/>
      <c r="CY2" s="838"/>
      <c r="CZ2" s="838"/>
      <c r="DA2" s="838"/>
      <c r="DB2" s="838"/>
      <c r="DC2" s="838"/>
      <c r="DD2" s="838"/>
      <c r="DE2" s="837"/>
    </row>
    <row r="3" spans="2:109">
      <c r="B3" s="839"/>
      <c r="C3" s="840"/>
      <c r="D3" s="1066" t="str">
        <f>Títulos!$B$2</f>
        <v>TRIBUNAL DE JUSTICIA ADMINISTRATIVA</v>
      </c>
      <c r="E3" s="1066"/>
      <c r="F3" s="1066"/>
      <c r="G3" s="1066"/>
      <c r="H3" s="1066"/>
      <c r="I3" s="1066"/>
      <c r="J3" s="1066"/>
      <c r="K3" s="841"/>
      <c r="N3" s="839"/>
      <c r="O3" s="840"/>
      <c r="P3" s="1067" t="str">
        <f>Títulos!$B$2</f>
        <v>TRIBUNAL DE JUSTICIA ADMINISTRATIVA</v>
      </c>
      <c r="Q3" s="1067"/>
      <c r="R3" s="1067"/>
      <c r="S3" s="1067"/>
      <c r="T3" s="1067"/>
      <c r="U3" s="1067"/>
      <c r="V3" s="1067"/>
      <c r="W3" s="1067"/>
      <c r="X3" s="841"/>
      <c r="AA3" s="839"/>
      <c r="AB3" s="834"/>
      <c r="AC3" s="1067" t="str">
        <f>Títulos!$B$2</f>
        <v>TRIBUNAL DE JUSTICIA ADMINISTRATIVA</v>
      </c>
      <c r="AD3" s="1067"/>
      <c r="AE3" s="1067"/>
      <c r="AF3" s="1067"/>
      <c r="AG3" s="1067"/>
      <c r="AH3" s="1067"/>
      <c r="AI3" s="1067"/>
      <c r="AJ3" s="1067"/>
      <c r="AK3" s="1067"/>
      <c r="AL3" s="1067"/>
      <c r="AM3" s="1067"/>
      <c r="AN3" s="841"/>
      <c r="AQ3" s="839"/>
      <c r="AR3" s="834"/>
      <c r="AS3" s="1067" t="str">
        <f>Títulos!$B$2</f>
        <v>TRIBUNAL DE JUSTICIA ADMINISTRATIVA</v>
      </c>
      <c r="AT3" s="1067"/>
      <c r="AU3" s="1067"/>
      <c r="AV3" s="1067"/>
      <c r="AW3" s="841"/>
      <c r="AY3" s="834"/>
      <c r="AZ3" s="839"/>
      <c r="BA3" s="1067" t="str">
        <f>Títulos!$B$2</f>
        <v>TRIBUNAL DE JUSTICIA ADMINISTRATIVA</v>
      </c>
      <c r="BB3" s="1067"/>
      <c r="BC3" s="1067"/>
      <c r="BD3" s="1067"/>
      <c r="BE3" s="1067"/>
      <c r="BF3" s="1067"/>
      <c r="BG3" s="1067"/>
      <c r="BH3" s="1067"/>
      <c r="BI3" s="841"/>
      <c r="BL3" s="839"/>
      <c r="BM3" s="840"/>
      <c r="BN3" s="1067" t="str">
        <f>Títulos!$B$2</f>
        <v>TRIBUNAL DE JUSTICIA ADMINISTRATIVA</v>
      </c>
      <c r="BO3" s="1067"/>
      <c r="BP3" s="1067"/>
      <c r="BQ3" s="1067"/>
      <c r="BR3" s="1067"/>
      <c r="BS3" s="1067"/>
      <c r="BT3" s="1067"/>
      <c r="BU3" s="841"/>
      <c r="BX3" s="839"/>
      <c r="BY3" s="840"/>
      <c r="BZ3" s="1067" t="str">
        <f>Títulos!$B$2</f>
        <v>TRIBUNAL DE JUSTICIA ADMINISTRATIVA</v>
      </c>
      <c r="CA3" s="1067"/>
      <c r="CB3" s="1067"/>
      <c r="CC3" s="1067"/>
      <c r="CD3" s="1067"/>
      <c r="CE3" s="1067"/>
      <c r="CF3" s="1067"/>
      <c r="CG3" s="841"/>
      <c r="CJ3" s="839"/>
      <c r="CK3" s="840"/>
      <c r="CL3" s="1067" t="str">
        <f>Títulos!$B$2</f>
        <v>TRIBUNAL DE JUSTICIA ADMINISTRATIVA</v>
      </c>
      <c r="CM3" s="1067"/>
      <c r="CN3" s="1067"/>
      <c r="CO3" s="1067"/>
      <c r="CP3" s="1067"/>
      <c r="CQ3" s="1067"/>
      <c r="CR3" s="1067"/>
      <c r="CS3" s="841"/>
      <c r="CV3" s="839"/>
      <c r="CW3" s="840"/>
      <c r="CX3" s="1067" t="str">
        <f>Títulos!$B$2</f>
        <v>TRIBUNAL DE JUSTICIA ADMINISTRATIVA</v>
      </c>
      <c r="CY3" s="1067"/>
      <c r="CZ3" s="1067"/>
      <c r="DA3" s="1067"/>
      <c r="DB3" s="1067"/>
      <c r="DC3" s="1067"/>
      <c r="DD3" s="1067"/>
      <c r="DE3" s="841"/>
    </row>
    <row r="4" spans="2:109">
      <c r="B4" s="839"/>
      <c r="C4" s="840"/>
      <c r="D4" s="1066" t="s">
        <v>998</v>
      </c>
      <c r="E4" s="1066"/>
      <c r="F4" s="1066"/>
      <c r="G4" s="1066"/>
      <c r="H4" s="1066"/>
      <c r="I4" s="1066"/>
      <c r="J4" s="1066"/>
      <c r="K4" s="841"/>
      <c r="N4" s="839"/>
      <c r="O4" s="840"/>
      <c r="P4" s="1066" t="s">
        <v>999</v>
      </c>
      <c r="Q4" s="1066"/>
      <c r="R4" s="1066"/>
      <c r="S4" s="1066"/>
      <c r="T4" s="1066"/>
      <c r="U4" s="1066"/>
      <c r="V4" s="1066"/>
      <c r="W4" s="1066"/>
      <c r="X4" s="841"/>
      <c r="AA4" s="839"/>
      <c r="AB4" s="834"/>
      <c r="AC4" s="1066" t="s">
        <v>1000</v>
      </c>
      <c r="AD4" s="1066"/>
      <c r="AE4" s="1066"/>
      <c r="AF4" s="1066"/>
      <c r="AG4" s="1066"/>
      <c r="AH4" s="1066"/>
      <c r="AI4" s="1066"/>
      <c r="AJ4" s="1066"/>
      <c r="AK4" s="1066"/>
      <c r="AL4" s="1066"/>
      <c r="AM4" s="1066"/>
      <c r="AN4" s="841"/>
      <c r="AQ4" s="839"/>
      <c r="AR4" s="834"/>
      <c r="AS4" s="1067" t="s">
        <v>1001</v>
      </c>
      <c r="AT4" s="1067"/>
      <c r="AU4" s="1067"/>
      <c r="AV4" s="1067"/>
      <c r="AW4" s="841"/>
      <c r="AY4" s="834"/>
      <c r="AZ4" s="839"/>
      <c r="BA4" s="1067" t="s">
        <v>1002</v>
      </c>
      <c r="BB4" s="1067"/>
      <c r="BC4" s="1067"/>
      <c r="BD4" s="1067"/>
      <c r="BE4" s="1067"/>
      <c r="BF4" s="1067"/>
      <c r="BG4" s="1067"/>
      <c r="BH4" s="1067"/>
      <c r="BI4" s="841"/>
      <c r="BL4" s="839"/>
      <c r="BM4" s="840"/>
      <c r="BN4" s="1067" t="s">
        <v>1003</v>
      </c>
      <c r="BO4" s="1067"/>
      <c r="BP4" s="1067"/>
      <c r="BQ4" s="1067"/>
      <c r="BR4" s="1067"/>
      <c r="BS4" s="1067"/>
      <c r="BT4" s="1067"/>
      <c r="BU4" s="841"/>
      <c r="BX4" s="839"/>
      <c r="BY4" s="840"/>
      <c r="BZ4" s="1067" t="s">
        <v>1003</v>
      </c>
      <c r="CA4" s="1067"/>
      <c r="CB4" s="1067"/>
      <c r="CC4" s="1067"/>
      <c r="CD4" s="1067"/>
      <c r="CE4" s="1067"/>
      <c r="CF4" s="1067"/>
      <c r="CG4" s="841"/>
      <c r="CJ4" s="839"/>
      <c r="CK4" s="840"/>
      <c r="CL4" s="1067" t="s">
        <v>1003</v>
      </c>
      <c r="CM4" s="1067"/>
      <c r="CN4" s="1067"/>
      <c r="CO4" s="1067"/>
      <c r="CP4" s="1067"/>
      <c r="CQ4" s="1067"/>
      <c r="CR4" s="1067"/>
      <c r="CS4" s="841"/>
      <c r="CV4" s="839"/>
      <c r="CW4" s="840"/>
      <c r="CX4" s="1067" t="s">
        <v>1003</v>
      </c>
      <c r="CY4" s="1067"/>
      <c r="CZ4" s="1067"/>
      <c r="DA4" s="1067"/>
      <c r="DB4" s="1067"/>
      <c r="DC4" s="1067"/>
      <c r="DD4" s="1067"/>
      <c r="DE4" s="841"/>
    </row>
    <row r="5" spans="2:109">
      <c r="B5" s="839"/>
      <c r="C5" s="840"/>
      <c r="D5" s="1066" t="str">
        <f>"Al 31 de diciembre de 2016 y al  "&amp;LOWER(Títulos!$B$3)</f>
        <v>Al 31 de diciembre de 2016 y al  31 de diciembre de 2017</v>
      </c>
      <c r="E5" s="1066"/>
      <c r="F5" s="1066"/>
      <c r="G5" s="1066"/>
      <c r="H5" s="1066"/>
      <c r="I5" s="1066"/>
      <c r="J5" s="1066"/>
      <c r="K5" s="841"/>
      <c r="N5" s="839"/>
      <c r="O5" s="840"/>
      <c r="P5" s="1066" t="str">
        <f>"Del 1 de enero al  "&amp;LOWER(Títulos!$B$3)</f>
        <v>Del 1 de enero al  31 de diciembre de 2017</v>
      </c>
      <c r="Q5" s="1066"/>
      <c r="R5" s="1066"/>
      <c r="S5" s="1066"/>
      <c r="T5" s="1066"/>
      <c r="U5" s="1066"/>
      <c r="V5" s="1066"/>
      <c r="W5" s="1066"/>
      <c r="X5" s="841"/>
      <c r="AA5" s="839"/>
      <c r="AB5" s="834"/>
      <c r="AC5" s="1066" t="str">
        <f>"Del 1 de enero al  "&amp;LOWER(Títulos!$B$3)</f>
        <v>Del 1 de enero al  31 de diciembre de 2017</v>
      </c>
      <c r="AD5" s="1066"/>
      <c r="AE5" s="1066"/>
      <c r="AF5" s="1066"/>
      <c r="AG5" s="1066"/>
      <c r="AH5" s="1066"/>
      <c r="AI5" s="1066"/>
      <c r="AJ5" s="1066"/>
      <c r="AK5" s="1066"/>
      <c r="AL5" s="1066"/>
      <c r="AM5" s="1066"/>
      <c r="AN5" s="841"/>
      <c r="AQ5" s="839"/>
      <c r="AR5" s="834"/>
      <c r="AS5" s="1067" t="str">
        <f>"Del 1 de enero al  "&amp;LOWER(Títulos!$B$3)</f>
        <v>Del 1 de enero al  31 de diciembre de 2017</v>
      </c>
      <c r="AT5" s="1067"/>
      <c r="AU5" s="1067"/>
      <c r="AV5" s="1067"/>
      <c r="AW5" s="841"/>
      <c r="AY5" s="834"/>
      <c r="AZ5" s="839"/>
      <c r="BA5" s="1067" t="str">
        <f>"Del 1 de enero al  "&amp;LOWER(Títulos!$B$3)</f>
        <v>Del 1 de enero al  31 de diciembre de 2017</v>
      </c>
      <c r="BB5" s="1067"/>
      <c r="BC5" s="1067"/>
      <c r="BD5" s="1067"/>
      <c r="BE5" s="1067"/>
      <c r="BF5" s="1067"/>
      <c r="BG5" s="1067"/>
      <c r="BH5" s="1067"/>
      <c r="BI5" s="841"/>
      <c r="BL5" s="839"/>
      <c r="BM5" s="840"/>
      <c r="BN5" s="1067" t="s">
        <v>1004</v>
      </c>
      <c r="BO5" s="1067"/>
      <c r="BP5" s="1067"/>
      <c r="BQ5" s="1067"/>
      <c r="BR5" s="1067"/>
      <c r="BS5" s="1067"/>
      <c r="BT5" s="1067"/>
      <c r="BU5" s="841"/>
      <c r="BX5" s="839"/>
      <c r="BY5" s="840"/>
      <c r="BZ5" s="1067" t="s">
        <v>1005</v>
      </c>
      <c r="CA5" s="1067"/>
      <c r="CB5" s="1067"/>
      <c r="CC5" s="1067"/>
      <c r="CD5" s="1067"/>
      <c r="CE5" s="1067"/>
      <c r="CF5" s="1067"/>
      <c r="CG5" s="841"/>
      <c r="CJ5" s="839"/>
      <c r="CK5" s="840"/>
      <c r="CL5" s="1067" t="s">
        <v>1006</v>
      </c>
      <c r="CM5" s="1067"/>
      <c r="CN5" s="1067"/>
      <c r="CO5" s="1067"/>
      <c r="CP5" s="1067"/>
      <c r="CQ5" s="1067"/>
      <c r="CR5" s="1067"/>
      <c r="CS5" s="841"/>
      <c r="CV5" s="839"/>
      <c r="CW5" s="840"/>
      <c r="CX5" s="1067" t="s">
        <v>1007</v>
      </c>
      <c r="CY5" s="1067"/>
      <c r="CZ5" s="1067"/>
      <c r="DA5" s="1067"/>
      <c r="DB5" s="1067"/>
      <c r="DC5" s="1067"/>
      <c r="DD5" s="1067"/>
      <c r="DE5" s="841"/>
    </row>
    <row r="6" spans="2:109">
      <c r="B6" s="839"/>
      <c r="C6" s="840"/>
      <c r="D6" s="1066" t="s">
        <v>1008</v>
      </c>
      <c r="E6" s="1066"/>
      <c r="F6" s="1066"/>
      <c r="G6" s="1066"/>
      <c r="H6" s="1066"/>
      <c r="I6" s="1066"/>
      <c r="J6" s="1066"/>
      <c r="K6" s="841"/>
      <c r="N6" s="839"/>
      <c r="O6" s="840"/>
      <c r="P6" s="1066" t="s">
        <v>1008</v>
      </c>
      <c r="Q6" s="1066"/>
      <c r="R6" s="1066"/>
      <c r="S6" s="1066"/>
      <c r="T6" s="1066"/>
      <c r="U6" s="1066"/>
      <c r="V6" s="1066"/>
      <c r="W6" s="1066"/>
      <c r="X6" s="841"/>
      <c r="AA6" s="839"/>
      <c r="AB6" s="834"/>
      <c r="AC6" s="1066" t="s">
        <v>1008</v>
      </c>
      <c r="AD6" s="1066"/>
      <c r="AE6" s="1066"/>
      <c r="AF6" s="1066"/>
      <c r="AG6" s="1066"/>
      <c r="AH6" s="1066"/>
      <c r="AI6" s="1066"/>
      <c r="AJ6" s="1066"/>
      <c r="AK6" s="1066"/>
      <c r="AL6" s="1066"/>
      <c r="AM6" s="1066"/>
      <c r="AN6" s="841"/>
      <c r="AQ6" s="839"/>
      <c r="AR6" s="834"/>
      <c r="AS6" s="1067" t="s">
        <v>1008</v>
      </c>
      <c r="AT6" s="1067"/>
      <c r="AU6" s="1067"/>
      <c r="AV6" s="1067"/>
      <c r="AW6" s="841"/>
      <c r="AY6" s="834"/>
      <c r="AZ6" s="839"/>
      <c r="BA6" s="1067" t="s">
        <v>1008</v>
      </c>
      <c r="BB6" s="1067"/>
      <c r="BC6" s="1067"/>
      <c r="BD6" s="1067"/>
      <c r="BE6" s="1067"/>
      <c r="BF6" s="1067"/>
      <c r="BG6" s="1067"/>
      <c r="BH6" s="1067"/>
      <c r="BI6" s="841"/>
      <c r="BL6" s="839"/>
      <c r="BM6" s="840"/>
      <c r="BN6" s="1067" t="str">
        <f>"Del 1 de enero al  "&amp;LOWER(Títulos!$B$3)</f>
        <v>Del 1 de enero al  31 de diciembre de 2017</v>
      </c>
      <c r="BO6" s="1067"/>
      <c r="BP6" s="1067"/>
      <c r="BQ6" s="1067"/>
      <c r="BR6" s="1067"/>
      <c r="BS6" s="1067"/>
      <c r="BT6" s="1067"/>
      <c r="BU6" s="841"/>
      <c r="BX6" s="839"/>
      <c r="BY6" s="840"/>
      <c r="BZ6" s="1067" t="str">
        <f>"Del 1 de enero al  "&amp;LOWER(Títulos!$B$3)</f>
        <v>Del 1 de enero al  31 de diciembre de 2017</v>
      </c>
      <c r="CA6" s="1067"/>
      <c r="CB6" s="1067"/>
      <c r="CC6" s="1067"/>
      <c r="CD6" s="1067"/>
      <c r="CE6" s="1067"/>
      <c r="CF6" s="1067"/>
      <c r="CG6" s="841"/>
      <c r="CJ6" s="839"/>
      <c r="CK6" s="840"/>
      <c r="CL6" s="1067" t="str">
        <f>"Del 1 de enero al  "&amp;LOWER(Títulos!$B$3)</f>
        <v>Del 1 de enero al  31 de diciembre de 2017</v>
      </c>
      <c r="CM6" s="1067"/>
      <c r="CN6" s="1067"/>
      <c r="CO6" s="1067"/>
      <c r="CP6" s="1067"/>
      <c r="CQ6" s="1067"/>
      <c r="CR6" s="1067"/>
      <c r="CS6" s="841"/>
      <c r="CV6" s="839"/>
      <c r="CW6" s="840"/>
      <c r="CX6" s="1067" t="str">
        <f>"Del 1 de enero al  "&amp;LOWER(Títulos!$B$3)</f>
        <v>Del 1 de enero al  31 de diciembre de 2017</v>
      </c>
      <c r="CY6" s="1067"/>
      <c r="CZ6" s="1067"/>
      <c r="DA6" s="1067"/>
      <c r="DB6" s="1067"/>
      <c r="DC6" s="1067"/>
      <c r="DD6" s="1067"/>
      <c r="DE6" s="841"/>
    </row>
    <row r="7" spans="2:109">
      <c r="B7" s="839"/>
      <c r="C7" s="840"/>
      <c r="D7" s="706"/>
      <c r="E7" s="706"/>
      <c r="F7" s="706"/>
      <c r="G7" s="822"/>
      <c r="H7" s="706"/>
      <c r="I7" s="706"/>
      <c r="J7" s="706"/>
      <c r="K7" s="841"/>
      <c r="N7" s="839"/>
      <c r="O7" s="840"/>
      <c r="P7" s="706"/>
      <c r="Q7" s="706"/>
      <c r="R7" s="706"/>
      <c r="S7" s="706"/>
      <c r="T7" s="706"/>
      <c r="U7" s="706"/>
      <c r="V7" s="706"/>
      <c r="W7" s="706"/>
      <c r="X7" s="841"/>
      <c r="AA7" s="839"/>
      <c r="AB7" s="834"/>
      <c r="AC7" s="706"/>
      <c r="AD7" s="706"/>
      <c r="AE7" s="706"/>
      <c r="AF7" s="706"/>
      <c r="AG7" s="706"/>
      <c r="AH7" s="706"/>
      <c r="AI7" s="706"/>
      <c r="AJ7" s="706"/>
      <c r="AK7" s="706"/>
      <c r="AL7" s="706"/>
      <c r="AM7" s="706"/>
      <c r="AN7" s="841"/>
      <c r="AQ7" s="839"/>
      <c r="AR7" s="834"/>
      <c r="AS7" s="707"/>
      <c r="AT7" s="707"/>
      <c r="AU7" s="707"/>
      <c r="AV7" s="707"/>
      <c r="AW7" s="841"/>
      <c r="AY7" s="834"/>
      <c r="AZ7" s="839"/>
      <c r="BA7" s="881"/>
      <c r="BB7" s="707"/>
      <c r="BC7" s="707"/>
      <c r="BD7" s="707"/>
      <c r="BE7" s="707"/>
      <c r="BF7" s="707"/>
      <c r="BG7" s="707"/>
      <c r="BH7" s="707"/>
      <c r="BI7" s="841"/>
      <c r="BL7" s="839"/>
      <c r="BM7" s="840"/>
      <c r="BN7" s="1067" t="s">
        <v>1008</v>
      </c>
      <c r="BO7" s="1067"/>
      <c r="BP7" s="1067"/>
      <c r="BQ7" s="1067"/>
      <c r="BR7" s="1067"/>
      <c r="BS7" s="1067"/>
      <c r="BT7" s="1067"/>
      <c r="BU7" s="841"/>
      <c r="BX7" s="839"/>
      <c r="BY7" s="840"/>
      <c r="BZ7" s="1067" t="s">
        <v>1008</v>
      </c>
      <c r="CA7" s="1067"/>
      <c r="CB7" s="1067"/>
      <c r="CC7" s="1067"/>
      <c r="CD7" s="1067"/>
      <c r="CE7" s="1067"/>
      <c r="CF7" s="1067"/>
      <c r="CG7" s="841"/>
      <c r="CJ7" s="839"/>
      <c r="CK7" s="840"/>
      <c r="CL7" s="1067" t="s">
        <v>1008</v>
      </c>
      <c r="CM7" s="1067"/>
      <c r="CN7" s="1067"/>
      <c r="CO7" s="1067"/>
      <c r="CP7" s="1067"/>
      <c r="CQ7" s="1067"/>
      <c r="CR7" s="1067"/>
      <c r="CS7" s="841"/>
      <c r="CV7" s="839"/>
      <c r="CW7" s="840"/>
      <c r="CX7" s="1067" t="s">
        <v>1008</v>
      </c>
      <c r="CY7" s="1067"/>
      <c r="CZ7" s="1067"/>
      <c r="DA7" s="1067"/>
      <c r="DB7" s="1067"/>
      <c r="DC7" s="1067"/>
      <c r="DD7" s="1067"/>
      <c r="DE7" s="841"/>
    </row>
    <row r="8" spans="2:109">
      <c r="B8" s="839"/>
      <c r="C8" s="840"/>
      <c r="D8" s="706"/>
      <c r="E8" s="706"/>
      <c r="F8" s="706"/>
      <c r="G8" s="822"/>
      <c r="H8" s="706"/>
      <c r="I8" s="706"/>
      <c r="J8" s="706"/>
      <c r="K8" s="841"/>
      <c r="N8" s="839"/>
      <c r="O8" s="840"/>
      <c r="P8" s="706"/>
      <c r="Q8" s="706"/>
      <c r="R8" s="706"/>
      <c r="S8" s="706"/>
      <c r="T8" s="706"/>
      <c r="U8" s="706"/>
      <c r="V8" s="706"/>
      <c r="W8" s="706"/>
      <c r="X8" s="841"/>
      <c r="AA8" s="839"/>
      <c r="AB8" s="834"/>
      <c r="AC8" s="706"/>
      <c r="AD8" s="706"/>
      <c r="AE8" s="706"/>
      <c r="AF8" s="706"/>
      <c r="AG8" s="706"/>
      <c r="AH8" s="706"/>
      <c r="AI8" s="706"/>
      <c r="AJ8" s="706"/>
      <c r="AK8" s="706"/>
      <c r="AL8" s="706"/>
      <c r="AM8" s="706"/>
      <c r="AN8" s="841"/>
      <c r="AQ8" s="839"/>
      <c r="AR8" s="834"/>
      <c r="AS8" s="707"/>
      <c r="AT8" s="707"/>
      <c r="AU8" s="707"/>
      <c r="AV8" s="707"/>
      <c r="AW8" s="841"/>
      <c r="AY8" s="834"/>
      <c r="AZ8" s="839"/>
      <c r="BA8" s="880"/>
      <c r="BB8" s="876"/>
      <c r="BC8" s="1070" t="s">
        <v>1012</v>
      </c>
      <c r="BD8" s="1071"/>
      <c r="BE8" s="1071"/>
      <c r="BF8" s="1071"/>
      <c r="BG8" s="1072"/>
      <c r="BH8" s="877"/>
      <c r="BI8" s="842"/>
      <c r="BJ8" s="832"/>
      <c r="BK8" s="843"/>
      <c r="BL8" s="844"/>
      <c r="BM8" s="887"/>
      <c r="BN8" s="870"/>
      <c r="BO8" s="1070" t="s">
        <v>1013</v>
      </c>
      <c r="BP8" s="1071"/>
      <c r="BQ8" s="1071"/>
      <c r="BR8" s="1071"/>
      <c r="BS8" s="1072"/>
      <c r="BT8" s="867"/>
      <c r="BU8" s="842"/>
      <c r="BV8" s="843"/>
      <c r="BW8" s="843"/>
      <c r="BX8" s="844"/>
      <c r="BY8" s="887"/>
      <c r="BZ8" s="870"/>
      <c r="CA8" s="1070" t="s">
        <v>1013</v>
      </c>
      <c r="CB8" s="1071"/>
      <c r="CC8" s="1071"/>
      <c r="CD8" s="1071"/>
      <c r="CE8" s="1072"/>
      <c r="CF8" s="867"/>
      <c r="CG8" s="842"/>
      <c r="CH8" s="843"/>
      <c r="CI8" s="843"/>
      <c r="CJ8" s="844"/>
      <c r="CK8" s="887"/>
      <c r="CL8" s="870"/>
      <c r="CM8" s="1070" t="s">
        <v>1013</v>
      </c>
      <c r="CN8" s="1071"/>
      <c r="CO8" s="1071"/>
      <c r="CP8" s="1071"/>
      <c r="CQ8" s="1072"/>
      <c r="CR8" s="867"/>
      <c r="CS8" s="842"/>
      <c r="CT8" s="843"/>
      <c r="CU8" s="843"/>
      <c r="CV8" s="844"/>
      <c r="CW8" s="887"/>
      <c r="CX8" s="870"/>
      <c r="CY8" s="1070" t="s">
        <v>1013</v>
      </c>
      <c r="CZ8" s="1071"/>
      <c r="DA8" s="1071"/>
      <c r="DB8" s="1071"/>
      <c r="DC8" s="1072"/>
      <c r="DD8" s="867"/>
      <c r="DE8" s="841"/>
    </row>
    <row r="9" spans="2:109" ht="84">
      <c r="B9" s="839"/>
      <c r="C9" s="845"/>
      <c r="D9" s="828" t="s">
        <v>384</v>
      </c>
      <c r="E9" s="829" t="str">
        <f>Títulos!$B$4
&amp;"  (d)"</f>
        <v>2017  (d)</v>
      </c>
      <c r="F9" s="829" t="str">
        <f>"31 de diciembre de "&amp;(Títulos!$B$5)
 &amp;"   (e)"</f>
        <v>31 de diciembre de 2016   (e)</v>
      </c>
      <c r="G9" s="830"/>
      <c r="H9" s="828" t="s">
        <v>384</v>
      </c>
      <c r="I9" s="829" t="str">
        <f>Títulos!$B$4
&amp;"  (d)"</f>
        <v>2017  (d)</v>
      </c>
      <c r="J9" s="829" t="str">
        <f>"31 de diciembre de "&amp;(Títulos!$B$5)
 &amp;"   (e)"</f>
        <v>31 de diciembre de 2016   (e)</v>
      </c>
      <c r="K9" s="841"/>
      <c r="N9" s="839"/>
      <c r="O9" s="845"/>
      <c r="P9" s="861" t="s">
        <v>1691</v>
      </c>
      <c r="Q9" s="829" t="str">
        <f>"Saldo al 31 de diciembre de "&amp;(Títulos!$B$5)
 &amp;"   (d)"</f>
        <v>Saldo al 31 de diciembre de 2016   (d)</v>
      </c>
      <c r="R9" s="829" t="s">
        <v>1692</v>
      </c>
      <c r="S9" s="829" t="s">
        <v>1693</v>
      </c>
      <c r="T9" s="829" t="s">
        <v>1694</v>
      </c>
      <c r="U9" s="829" t="s">
        <v>1695</v>
      </c>
      <c r="V9" s="829" t="s">
        <v>1696</v>
      </c>
      <c r="W9" s="829" t="s">
        <v>1697</v>
      </c>
      <c r="X9" s="841"/>
      <c r="AA9" s="839"/>
      <c r="AB9" s="845"/>
      <c r="AC9" s="829" t="s">
        <v>1604</v>
      </c>
      <c r="AD9" s="829" t="s">
        <v>1605</v>
      </c>
      <c r="AE9" s="829" t="s">
        <v>1606</v>
      </c>
      <c r="AF9" s="829" t="s">
        <v>1607</v>
      </c>
      <c r="AG9" s="829" t="s">
        <v>1608</v>
      </c>
      <c r="AH9" s="829" t="s">
        <v>1609</v>
      </c>
      <c r="AI9" s="829" t="s">
        <v>1610</v>
      </c>
      <c r="AJ9" s="829" t="s">
        <v>1611</v>
      </c>
      <c r="AK9" s="829" t="str">
        <f>"Monto pagado de la inversión al "&amp;LOWER(Títulos!$B$3)
 &amp;"   (k)"</f>
        <v>Monto pagado de la inversión al 31 de diciembre de 2017   (k)</v>
      </c>
      <c r="AL9" s="829" t="str">
        <f>"Monto pagado de la inversión actualizado al "&amp;LOWER(Títulos!$B$3)
 &amp;"   (i)"</f>
        <v>Monto pagado de la inversión actualizado al 31 de diciembre de 2017   (i)</v>
      </c>
      <c r="AM9" s="829" t="str">
        <f>"Saldo pendiente por pagar de la inversión al "&amp;LOWER(Títulos!$B$3)
 &amp;"   (m = g – l)"</f>
        <v>Saldo pendiente por pagar de la inversión al 31 de diciembre de 2017   (m = g – l)</v>
      </c>
      <c r="AN9" s="841"/>
      <c r="AQ9" s="839"/>
      <c r="AR9" s="845"/>
      <c r="AS9" s="875" t="s">
        <v>1009</v>
      </c>
      <c r="AT9" s="829" t="s">
        <v>1616</v>
      </c>
      <c r="AU9" s="829" t="s">
        <v>359</v>
      </c>
      <c r="AV9" s="861" t="s">
        <v>1011</v>
      </c>
      <c r="AW9" s="841"/>
      <c r="AY9" s="834"/>
      <c r="AZ9" s="839"/>
      <c r="BA9" s="869"/>
      <c r="BB9" s="878" t="s">
        <v>1016</v>
      </c>
      <c r="BC9" s="829" t="s">
        <v>1017</v>
      </c>
      <c r="BD9" s="861" t="s">
        <v>1018</v>
      </c>
      <c r="BE9" s="862" t="s">
        <v>358</v>
      </c>
      <c r="BF9" s="862" t="s">
        <v>359</v>
      </c>
      <c r="BG9" s="879" t="s">
        <v>387</v>
      </c>
      <c r="BH9" s="868" t="s">
        <v>1019</v>
      </c>
      <c r="BI9" s="842"/>
      <c r="BJ9" s="832"/>
      <c r="BK9" s="843"/>
      <c r="BL9" s="844"/>
      <c r="BM9" s="888"/>
      <c r="BN9" s="889" t="s">
        <v>1020</v>
      </c>
      <c r="BO9" s="861" t="s">
        <v>1021</v>
      </c>
      <c r="BP9" s="829" t="s">
        <v>1022</v>
      </c>
      <c r="BQ9" s="890" t="s">
        <v>1023</v>
      </c>
      <c r="BR9" s="890" t="s">
        <v>359</v>
      </c>
      <c r="BS9" s="891" t="s">
        <v>1024</v>
      </c>
      <c r="BT9" s="868" t="s">
        <v>1025</v>
      </c>
      <c r="BU9" s="842"/>
      <c r="BV9" s="843"/>
      <c r="BW9" s="843"/>
      <c r="BX9" s="844"/>
      <c r="BY9" s="888"/>
      <c r="BZ9" s="889" t="s">
        <v>1020</v>
      </c>
      <c r="CA9" s="861" t="s">
        <v>1021</v>
      </c>
      <c r="CB9" s="829" t="s">
        <v>1022</v>
      </c>
      <c r="CC9" s="890" t="s">
        <v>1023</v>
      </c>
      <c r="CD9" s="890" t="s">
        <v>359</v>
      </c>
      <c r="CE9" s="891" t="s">
        <v>1024</v>
      </c>
      <c r="CF9" s="868" t="s">
        <v>1025</v>
      </c>
      <c r="CG9" s="842"/>
      <c r="CH9" s="843"/>
      <c r="CI9" s="843"/>
      <c r="CJ9" s="844"/>
      <c r="CK9" s="888"/>
      <c r="CL9" s="889" t="s">
        <v>1020</v>
      </c>
      <c r="CM9" s="861" t="s">
        <v>1021</v>
      </c>
      <c r="CN9" s="829" t="s">
        <v>1022</v>
      </c>
      <c r="CO9" s="890" t="s">
        <v>1023</v>
      </c>
      <c r="CP9" s="890" t="s">
        <v>359</v>
      </c>
      <c r="CQ9" s="891" t="s">
        <v>1024</v>
      </c>
      <c r="CR9" s="868" t="s">
        <v>1025</v>
      </c>
      <c r="CS9" s="842"/>
      <c r="CT9" s="843"/>
      <c r="CU9" s="843"/>
      <c r="CV9" s="844"/>
      <c r="CW9" s="888"/>
      <c r="CX9" s="889" t="s">
        <v>1020</v>
      </c>
      <c r="CY9" s="861" t="s">
        <v>1021</v>
      </c>
      <c r="CZ9" s="829" t="s">
        <v>1022</v>
      </c>
      <c r="DA9" s="890" t="s">
        <v>1023</v>
      </c>
      <c r="DB9" s="890" t="s">
        <v>359</v>
      </c>
      <c r="DC9" s="891" t="s">
        <v>1024</v>
      </c>
      <c r="DD9" s="868" t="s">
        <v>1025</v>
      </c>
      <c r="DE9" s="841"/>
    </row>
    <row r="10" spans="2:109">
      <c r="B10" s="839"/>
      <c r="C10" s="846"/>
      <c r="D10" s="467"/>
      <c r="E10" s="468"/>
      <c r="F10" s="468"/>
      <c r="G10" s="823"/>
      <c r="H10" s="467"/>
      <c r="I10" s="467"/>
      <c r="J10" s="469"/>
      <c r="K10" s="841"/>
      <c r="N10" s="839"/>
      <c r="O10" s="846"/>
      <c r="P10" s="467"/>
      <c r="Q10" s="467"/>
      <c r="R10" s="467"/>
      <c r="S10" s="467"/>
      <c r="T10" s="467"/>
      <c r="U10" s="467"/>
      <c r="V10" s="467"/>
      <c r="W10" s="474"/>
      <c r="X10" s="841"/>
      <c r="AA10" s="839"/>
      <c r="AB10" s="847"/>
      <c r="AC10" s="467"/>
      <c r="AD10" s="475"/>
      <c r="AE10" s="475"/>
      <c r="AF10" s="475"/>
      <c r="AG10" s="475"/>
      <c r="AH10" s="475"/>
      <c r="AI10" s="475"/>
      <c r="AJ10" s="475"/>
      <c r="AK10" s="475"/>
      <c r="AL10" s="475"/>
      <c r="AM10" s="476"/>
      <c r="AN10" s="841"/>
      <c r="AQ10" s="839"/>
      <c r="AR10" s="847"/>
      <c r="AS10" s="470"/>
      <c r="AT10" s="471"/>
      <c r="AU10" s="471"/>
      <c r="AV10" s="472"/>
      <c r="AW10" s="841"/>
      <c r="AY10" s="834"/>
      <c r="AZ10" s="839"/>
      <c r="BA10" s="882"/>
      <c r="BB10" s="479"/>
      <c r="BC10" s="480"/>
      <c r="BD10" s="481"/>
      <c r="BE10" s="481"/>
      <c r="BF10" s="481"/>
      <c r="BG10" s="481"/>
      <c r="BH10" s="481"/>
      <c r="BI10" s="841"/>
      <c r="BL10" s="839"/>
      <c r="BM10" s="863"/>
      <c r="BN10" s="482"/>
      <c r="BO10" s="483"/>
      <c r="BP10" s="483"/>
      <c r="BQ10" s="483"/>
      <c r="BR10" s="483"/>
      <c r="BS10" s="483"/>
      <c r="BT10" s="483"/>
      <c r="BU10" s="841"/>
      <c r="BX10" s="839"/>
      <c r="BY10" s="863"/>
      <c r="BZ10" s="482"/>
      <c r="CA10" s="484"/>
      <c r="CB10" s="484"/>
      <c r="CC10" s="484"/>
      <c r="CD10" s="484"/>
      <c r="CE10" s="484"/>
      <c r="CF10" s="484"/>
      <c r="CG10" s="841"/>
      <c r="CJ10" s="839"/>
      <c r="CK10" s="863"/>
      <c r="CL10" s="482"/>
      <c r="CM10" s="485"/>
      <c r="CN10" s="485"/>
      <c r="CO10" s="485"/>
      <c r="CP10" s="485"/>
      <c r="CQ10" s="485"/>
      <c r="CR10" s="485"/>
      <c r="CS10" s="841"/>
      <c r="CV10" s="839"/>
      <c r="CW10" s="863"/>
      <c r="CX10" s="482"/>
      <c r="CY10" s="486"/>
      <c r="CZ10" s="486"/>
      <c r="DA10" s="486"/>
      <c r="DB10" s="486"/>
      <c r="DC10" s="486"/>
      <c r="DD10" s="486"/>
      <c r="DE10" s="841"/>
    </row>
    <row r="11" spans="2:109">
      <c r="B11" s="839"/>
      <c r="C11" s="846">
        <v>1000</v>
      </c>
      <c r="D11" s="473" t="s">
        <v>3</v>
      </c>
      <c r="E11" s="468"/>
      <c r="F11" s="468"/>
      <c r="G11" s="823">
        <v>2000</v>
      </c>
      <c r="H11" s="473" t="s">
        <v>35</v>
      </c>
      <c r="I11" s="467"/>
      <c r="J11" s="474"/>
      <c r="K11" s="841"/>
      <c r="N11" s="839"/>
      <c r="O11" s="846"/>
      <c r="P11" s="467" t="s">
        <v>1033</v>
      </c>
      <c r="Q11" s="468">
        <f ca="1">+Q12+Q16</f>
        <v>0</v>
      </c>
      <c r="R11" s="468">
        <f t="shared" ref="R11:W11" ca="1" si="0">+R12+R16</f>
        <v>0</v>
      </c>
      <c r="S11" s="468">
        <f t="shared" ca="1" si="0"/>
        <v>0</v>
      </c>
      <c r="T11" s="468">
        <f t="shared" ca="1" si="0"/>
        <v>0</v>
      </c>
      <c r="U11" s="468">
        <f t="shared" ca="1" si="0"/>
        <v>0</v>
      </c>
      <c r="V11" s="468">
        <f t="shared" ca="1" si="0"/>
        <v>0</v>
      </c>
      <c r="W11" s="491">
        <f t="shared" ca="1" si="0"/>
        <v>0</v>
      </c>
      <c r="X11" s="841"/>
      <c r="AA11" s="839"/>
      <c r="AB11" s="847"/>
      <c r="AC11" s="492" t="s">
        <v>1034</v>
      </c>
      <c r="AD11" s="467"/>
      <c r="AE11" s="467"/>
      <c r="AF11" s="467"/>
      <c r="AG11" s="468">
        <f>SUM(AG12:AG15)</f>
        <v>0</v>
      </c>
      <c r="AH11" s="467"/>
      <c r="AI11" s="468">
        <f t="shared" ref="AI11:AJ11" si="1">SUM(AI12:AI15)</f>
        <v>0</v>
      </c>
      <c r="AJ11" s="468">
        <f t="shared" si="1"/>
        <v>0</v>
      </c>
      <c r="AK11" s="468">
        <f>SUM(AK12:AK15)</f>
        <v>0</v>
      </c>
      <c r="AL11" s="468">
        <f>SUM(AL12:AL15)</f>
        <v>0</v>
      </c>
      <c r="AM11" s="491">
        <f>SUM(AM12:AM15)</f>
        <v>0</v>
      </c>
      <c r="AN11" s="841"/>
      <c r="AQ11" s="839"/>
      <c r="AR11" s="847"/>
      <c r="AS11" s="477" t="s">
        <v>1026</v>
      </c>
      <c r="AT11" s="478">
        <f>+AT12+AT13+AT14</f>
        <v>80405840.510000005</v>
      </c>
      <c r="AU11" s="478">
        <f t="shared" ref="AU11:AV11" si="2">+AU12+AU13+AU14</f>
        <v>88863739.419999987</v>
      </c>
      <c r="AV11" s="478">
        <f t="shared" si="2"/>
        <v>88863739.419999987</v>
      </c>
      <c r="AW11" s="841"/>
      <c r="AY11" s="834"/>
      <c r="AZ11" s="839"/>
      <c r="BA11" s="883"/>
      <c r="BB11" s="473" t="s">
        <v>1036</v>
      </c>
      <c r="BC11" s="480"/>
      <c r="BD11" s="481"/>
      <c r="BE11" s="481"/>
      <c r="BF11" s="481"/>
      <c r="BG11" s="481"/>
      <c r="BH11" s="481"/>
      <c r="BI11" s="841"/>
      <c r="BL11" s="839"/>
      <c r="BM11" s="846"/>
      <c r="BN11" s="498" t="s">
        <v>1027</v>
      </c>
      <c r="BO11" s="567">
        <f t="shared" ref="BO11:BT11" si="3">+BO12+BO20+BO30+BO40+BO50+BO60+BO64+BO72+BO76</f>
        <v>80405840.510000005</v>
      </c>
      <c r="BP11" s="567">
        <f t="shared" si="3"/>
        <v>8457903.8099999987</v>
      </c>
      <c r="BQ11" s="567">
        <f t="shared" si="3"/>
        <v>88863744.319999993</v>
      </c>
      <c r="BR11" s="567">
        <f t="shared" si="3"/>
        <v>86193205.109999985</v>
      </c>
      <c r="BS11" s="567">
        <f t="shared" si="3"/>
        <v>84872096.260000005</v>
      </c>
      <c r="BT11" s="567">
        <f t="shared" si="3"/>
        <v>2670539.2100000004</v>
      </c>
      <c r="BU11" s="841"/>
      <c r="BX11" s="839"/>
      <c r="BY11" s="846"/>
      <c r="BZ11" s="498" t="s">
        <v>1028</v>
      </c>
      <c r="CA11" s="496">
        <f>SUM(CA12:CA19)</f>
        <v>80405840.50999999</v>
      </c>
      <c r="CB11" s="496">
        <f t="shared" ref="CB11:CF11" si="4">SUM(CB12:CB19)</f>
        <v>8457903.8100000024</v>
      </c>
      <c r="CC11" s="496">
        <f t="shared" si="4"/>
        <v>88863744.319999993</v>
      </c>
      <c r="CD11" s="496">
        <f t="shared" si="4"/>
        <v>86193205.109999999</v>
      </c>
      <c r="CE11" s="496">
        <f t="shared" si="4"/>
        <v>84872096.260000005</v>
      </c>
      <c r="CF11" s="496">
        <f t="shared" si="4"/>
        <v>2670539.2099999934</v>
      </c>
      <c r="CG11" s="841"/>
      <c r="CJ11" s="839"/>
      <c r="CK11" s="846"/>
      <c r="CL11" s="498" t="s">
        <v>1029</v>
      </c>
      <c r="CM11" s="568">
        <f t="shared" ref="CM11:CR11" si="5">+CM12+CM22+CM31+CM42</f>
        <v>80405840.509999976</v>
      </c>
      <c r="CN11" s="568">
        <f t="shared" si="5"/>
        <v>8457903.8100000042</v>
      </c>
      <c r="CO11" s="568">
        <f t="shared" si="5"/>
        <v>88863744.319999978</v>
      </c>
      <c r="CP11" s="568">
        <f t="shared" si="5"/>
        <v>86193205.110000029</v>
      </c>
      <c r="CQ11" s="568">
        <f t="shared" si="5"/>
        <v>84872096.260000035</v>
      </c>
      <c r="CR11" s="568">
        <f t="shared" si="5"/>
        <v>2670539.2099999487</v>
      </c>
      <c r="CS11" s="841"/>
      <c r="CV11" s="839"/>
      <c r="CW11" s="846"/>
      <c r="CX11" s="498" t="s">
        <v>1030</v>
      </c>
      <c r="CY11" s="545">
        <f>+CY12+CY13+CY14+CY17+CY18+CY21</f>
        <v>59875476.900000006</v>
      </c>
      <c r="CZ11" s="545">
        <f t="shared" ref="CZ11:DD11" si="6">+CZ12+CZ13+CZ14+CZ17+CZ18+CZ21</f>
        <v>6048652.1900000013</v>
      </c>
      <c r="DA11" s="545">
        <f t="shared" si="6"/>
        <v>65924129.090000004</v>
      </c>
      <c r="DB11" s="545">
        <f t="shared" si="6"/>
        <v>65924124.189999998</v>
      </c>
      <c r="DC11" s="545">
        <f t="shared" si="6"/>
        <v>64738024.339999996</v>
      </c>
      <c r="DD11" s="545">
        <f t="shared" si="6"/>
        <v>4.9000000059604645</v>
      </c>
      <c r="DE11" s="841"/>
    </row>
    <row r="12" spans="2:109">
      <c r="B12" s="839"/>
      <c r="C12" s="846">
        <v>1100</v>
      </c>
      <c r="D12" s="487" t="s">
        <v>1031</v>
      </c>
      <c r="E12" s="488"/>
      <c r="F12" s="488"/>
      <c r="G12" s="824">
        <v>2100</v>
      </c>
      <c r="H12" s="487" t="s">
        <v>1032</v>
      </c>
      <c r="I12" s="489"/>
      <c r="J12" s="490"/>
      <c r="K12" s="841"/>
      <c r="N12" s="839"/>
      <c r="O12" s="846"/>
      <c r="P12" s="467" t="s">
        <v>1042</v>
      </c>
      <c r="Q12" s="468">
        <f ca="1">SUM(Q13:Q15)</f>
        <v>0</v>
      </c>
      <c r="R12" s="468">
        <f t="shared" ref="R12:W12" si="7">SUM(R13:R15)</f>
        <v>0</v>
      </c>
      <c r="S12" s="468">
        <f t="shared" ca="1" si="7"/>
        <v>0</v>
      </c>
      <c r="T12" s="468">
        <f t="shared" ca="1" si="7"/>
        <v>0</v>
      </c>
      <c r="U12" s="468">
        <f t="shared" ca="1" si="7"/>
        <v>0</v>
      </c>
      <c r="V12" s="468">
        <f t="shared" ca="1" si="7"/>
        <v>0</v>
      </c>
      <c r="W12" s="491">
        <f t="shared" ca="1" si="7"/>
        <v>0</v>
      </c>
      <c r="X12" s="841"/>
      <c r="AA12" s="839"/>
      <c r="AB12" s="847"/>
      <c r="AC12" s="499" t="s">
        <v>1043</v>
      </c>
      <c r="AD12" s="467"/>
      <c r="AE12" s="467"/>
      <c r="AF12" s="467"/>
      <c r="AG12" s="500">
        <v>0</v>
      </c>
      <c r="AH12" s="467"/>
      <c r="AI12" s="500">
        <v>0</v>
      </c>
      <c r="AJ12" s="500">
        <v>0</v>
      </c>
      <c r="AK12" s="500">
        <v>0</v>
      </c>
      <c r="AL12" s="500">
        <v>0</v>
      </c>
      <c r="AM12" s="565">
        <f>+AG12-AL12</f>
        <v>0</v>
      </c>
      <c r="AN12" s="841"/>
      <c r="AQ12" s="839"/>
      <c r="AR12" s="847"/>
      <c r="AS12" s="493" t="s">
        <v>1035</v>
      </c>
      <c r="AT12" s="494">
        <f>+AT54</f>
        <v>80405840.510000005</v>
      </c>
      <c r="AU12" s="494">
        <f t="shared" ref="AU12:AV12" si="8">+AU54</f>
        <v>88863739.419999987</v>
      </c>
      <c r="AV12" s="494">
        <f t="shared" si="8"/>
        <v>88863739.419999987</v>
      </c>
      <c r="AW12" s="841"/>
      <c r="AY12" s="834"/>
      <c r="AZ12" s="839"/>
      <c r="BA12" s="882">
        <v>10</v>
      </c>
      <c r="BB12" s="479" t="s">
        <v>1045</v>
      </c>
      <c r="BC12" s="502">
        <f t="shared" ref="BC12" si="9">SUMIF(pi_cri,MID(BA12,1,1)&amp;"*",pi_e)</f>
        <v>0</v>
      </c>
      <c r="BD12" s="502">
        <f t="shared" ref="BD12" si="10">SUMIF(pi_cri,MID(BA12,1,1)&amp;"*",pi_m)</f>
        <v>0</v>
      </c>
      <c r="BE12" s="502">
        <f t="shared" ref="BE12:BE43" si="11">+BC12+BD12</f>
        <v>0</v>
      </c>
      <c r="BF12" s="502">
        <f t="shared" ref="BF12" si="12">SUMIF(pi_cri,MID(BA12,1,1)&amp;"*",pi_d)</f>
        <v>0</v>
      </c>
      <c r="BG12" s="502">
        <f t="shared" ref="BG12" si="13">SUMIF(pi_cri,MID(BA12,1,1)&amp;"*",pi_r)</f>
        <v>0</v>
      </c>
      <c r="BH12" s="502">
        <f t="shared" ref="BH12:BH43" si="14">+BG12-BC12</f>
        <v>0</v>
      </c>
      <c r="BI12" s="841"/>
      <c r="BL12" s="839"/>
      <c r="BM12" s="846">
        <v>1000</v>
      </c>
      <c r="BN12" s="495" t="s">
        <v>1037</v>
      </c>
      <c r="BO12" s="496">
        <f t="shared" ref="BO12:BT12" si="15">SUM(BO13:BO19)</f>
        <v>59875476.899999999</v>
      </c>
      <c r="BP12" s="496">
        <f t="shared" si="15"/>
        <v>6048652.1899999995</v>
      </c>
      <c r="BQ12" s="496">
        <f t="shared" si="15"/>
        <v>65924129.090000004</v>
      </c>
      <c r="BR12" s="496">
        <f t="shared" si="15"/>
        <v>65924124.189999998</v>
      </c>
      <c r="BS12" s="496">
        <f t="shared" si="15"/>
        <v>64738024.340000004</v>
      </c>
      <c r="BT12" s="496">
        <f t="shared" si="15"/>
        <v>4.900000000372529</v>
      </c>
      <c r="BU12" s="841"/>
      <c r="BX12" s="839"/>
      <c r="BY12" s="909" t="s">
        <v>2270</v>
      </c>
      <c r="BZ12" s="495" t="s">
        <v>2293</v>
      </c>
      <c r="CA12" s="497">
        <f t="shared" ref="CA12:CA19" si="16">SUMIF(PE_CA,MID(BY12,1,10)&amp;"*",PE_A)</f>
        <v>49888057.919999994</v>
      </c>
      <c r="CB12" s="497">
        <f t="shared" ref="CB12:CB19" si="17">SUMIF(PE_CA,MID(BY12,1,10)&amp;"*",PE_M)</f>
        <v>5782459.6500000013</v>
      </c>
      <c r="CC12" s="497">
        <f>+CA12+CB12</f>
        <v>55670517.569999993</v>
      </c>
      <c r="CD12" s="497">
        <f t="shared" ref="CD12:CD19" si="18">SUMIF(PE_CA,MID(BY12,1,10)&amp;"*",PE_D)</f>
        <v>55670517.57</v>
      </c>
      <c r="CE12" s="497">
        <f t="shared" ref="CE12:CE19" si="19">SUMIF(PE_CA,MID(BY12,1,10)&amp;"*",PE_P)</f>
        <v>55669467.57</v>
      </c>
      <c r="CF12" s="497">
        <f>+CC12-CD12</f>
        <v>0</v>
      </c>
      <c r="CG12" s="841"/>
      <c r="CJ12" s="839"/>
      <c r="CK12" s="846">
        <v>10</v>
      </c>
      <c r="CL12" s="498" t="s">
        <v>1038</v>
      </c>
      <c r="CM12" s="496">
        <f t="shared" ref="CM12:CR12" si="20">SUM(CM13:CM20)</f>
        <v>80405840.509999976</v>
      </c>
      <c r="CN12" s="496">
        <f t="shared" si="20"/>
        <v>8457903.8100000042</v>
      </c>
      <c r="CO12" s="496">
        <f t="shared" si="20"/>
        <v>88863744.319999978</v>
      </c>
      <c r="CP12" s="496">
        <f t="shared" si="20"/>
        <v>86193205.110000029</v>
      </c>
      <c r="CQ12" s="496">
        <f t="shared" si="20"/>
        <v>84872096.260000035</v>
      </c>
      <c r="CR12" s="496">
        <f t="shared" si="20"/>
        <v>2670539.2099999487</v>
      </c>
      <c r="CS12" s="841"/>
      <c r="CV12" s="839"/>
      <c r="CW12" s="846">
        <v>1000</v>
      </c>
      <c r="CX12" s="495" t="s">
        <v>1039</v>
      </c>
      <c r="CY12" s="496">
        <f t="shared" ref="CY12:CY21" si="21">SUMIF(PE_COG,MID(CW12,1,1)&amp;"*",PE_A)</f>
        <v>59875476.900000006</v>
      </c>
      <c r="CZ12" s="496">
        <f t="shared" ref="CZ12:CZ21" si="22">SUMIF(PE_COG,MID(CW12,1,1)&amp;"*",PE_M)</f>
        <v>6048652.1900000013</v>
      </c>
      <c r="DA12" s="496">
        <f t="shared" ref="DA12:DA21" si="23">+CY12+CZ12</f>
        <v>65924129.090000004</v>
      </c>
      <c r="DB12" s="496">
        <f t="shared" ref="DB12:DB21" si="24">SUMIF(PE_COG,MID(CW12,1,1)&amp;"*",PE_D)</f>
        <v>65924124.189999998</v>
      </c>
      <c r="DC12" s="496">
        <f t="shared" ref="DC12:DC21" si="25">SUMIF(PE_COG,MID(CW12,1,1)&amp;"*",PE_P)</f>
        <v>64738024.339999996</v>
      </c>
      <c r="DD12" s="496">
        <f t="shared" ref="DD12:DD21" si="26">+DA12-DB12</f>
        <v>4.9000000059604645</v>
      </c>
      <c r="DE12" s="841"/>
    </row>
    <row r="13" spans="2:109">
      <c r="B13" s="839"/>
      <c r="C13" s="846">
        <v>1110</v>
      </c>
      <c r="D13" s="479" t="s">
        <v>1040</v>
      </c>
      <c r="E13" s="468">
        <f ca="1">SUM(E14:E20)</f>
        <v>15692848.699999999</v>
      </c>
      <c r="F13" s="468">
        <f ca="1">SUM(F14:F20)</f>
        <v>11324165.710000001</v>
      </c>
      <c r="G13" s="824">
        <v>2110</v>
      </c>
      <c r="H13" s="479" t="s">
        <v>1041</v>
      </c>
      <c r="I13" s="468">
        <f ca="1">SUM(I14:I22)</f>
        <v>5018758.57</v>
      </c>
      <c r="J13" s="491">
        <f ca="1">SUM(J14:J22)</f>
        <v>3380232.33</v>
      </c>
      <c r="K13" s="841"/>
      <c r="N13" s="839"/>
      <c r="O13" s="846">
        <v>2131</v>
      </c>
      <c r="P13" s="489" t="s">
        <v>1052</v>
      </c>
      <c r="Q13" s="500">
        <f ca="1">-SUMIF(BC[],MID(O13,1,4)&amp;"*",bc_2016)</f>
        <v>0</v>
      </c>
      <c r="S13" s="500">
        <f ca="1">-SUMIF(BC[],MID(O13,1,4)&amp;"*",bc_2016c)</f>
        <v>0</v>
      </c>
      <c r="T13" s="500">
        <f ca="1">+U13-Q13-R13+S13</f>
        <v>0</v>
      </c>
      <c r="U13" s="500">
        <f ca="1">-SUMIF(BC[],MID(O13,1,4)&amp;"*",bc_2017)</f>
        <v>0</v>
      </c>
      <c r="V13" s="500">
        <f ca="1">-SUMIF(BC[],541&amp;"*",bc_2017)</f>
        <v>0</v>
      </c>
      <c r="W13" s="505">
        <f ca="1">-SUMIF(BC[],54&amp;"*",bc_2017)-V13</f>
        <v>0</v>
      </c>
      <c r="X13" s="841"/>
      <c r="AA13" s="839"/>
      <c r="AB13" s="847"/>
      <c r="AC13" s="499" t="s">
        <v>1053</v>
      </c>
      <c r="AD13" s="467"/>
      <c r="AE13" s="467"/>
      <c r="AF13" s="467"/>
      <c r="AG13" s="500">
        <v>0</v>
      </c>
      <c r="AH13" s="467"/>
      <c r="AI13" s="500">
        <v>0</v>
      </c>
      <c r="AJ13" s="500">
        <v>0</v>
      </c>
      <c r="AK13" s="500">
        <v>0</v>
      </c>
      <c r="AL13" s="500">
        <v>0</v>
      </c>
      <c r="AM13" s="565">
        <f t="shared" ref="AM13:AM15" si="27">+AG13-AL13</f>
        <v>0</v>
      </c>
      <c r="AN13" s="841"/>
      <c r="AQ13" s="839"/>
      <c r="AR13" s="847"/>
      <c r="AS13" s="493" t="s">
        <v>1044</v>
      </c>
      <c r="AT13" s="501">
        <f>+AT70</f>
        <v>0</v>
      </c>
      <c r="AU13" s="501">
        <f t="shared" ref="AU13:AV13" si="28">+AU70</f>
        <v>0</v>
      </c>
      <c r="AV13" s="501">
        <f t="shared" si="28"/>
        <v>0</v>
      </c>
      <c r="AW13" s="841"/>
      <c r="AY13" s="834"/>
      <c r="AZ13" s="839"/>
      <c r="BA13" s="882">
        <v>20</v>
      </c>
      <c r="BB13" s="479" t="s">
        <v>1055</v>
      </c>
      <c r="BC13" s="502">
        <f t="shared" ref="BC13:BC18" si="29">SUMIF(pi_cri,MID(BA13,1,1)&amp;"*",pi_e)</f>
        <v>0</v>
      </c>
      <c r="BD13" s="502">
        <f t="shared" ref="BD13:BD18" si="30">SUMIF(pi_cri,MID(BA13,1,1)&amp;"*",pi_m)</f>
        <v>0</v>
      </c>
      <c r="BE13" s="502">
        <f t="shared" si="11"/>
        <v>0</v>
      </c>
      <c r="BF13" s="502">
        <f t="shared" ref="BF13:BF18" si="31">SUMIF(pi_cri,MID(BA13,1,1)&amp;"*",pi_d)</f>
        <v>0</v>
      </c>
      <c r="BG13" s="502">
        <f t="shared" ref="BG13:BG18" si="32">SUMIF(pi_cri,MID(BA13,1,1)&amp;"*",pi_r)</f>
        <v>0</v>
      </c>
      <c r="BH13" s="502">
        <f t="shared" si="14"/>
        <v>0</v>
      </c>
      <c r="BI13" s="841"/>
      <c r="BL13" s="839"/>
      <c r="BM13" s="846">
        <v>1100</v>
      </c>
      <c r="BN13" s="503" t="s">
        <v>1046</v>
      </c>
      <c r="BO13" s="497">
        <f t="shared" ref="BO13:BO19" si="33">SUMIF(PE_COG,MID(BM13,1,2)&amp;"*",PE_A)</f>
        <v>14113315.210000001</v>
      </c>
      <c r="BP13" s="497">
        <f t="shared" ref="BP13:BP19" si="34">SUMIF(PE_COG,MID(BM13,1,2)&amp;"*",PE_M)</f>
        <v>1307352.6900000002</v>
      </c>
      <c r="BQ13" s="497">
        <f t="shared" ref="BQ13:BQ72" si="35">+BO13+BP13</f>
        <v>15420667.9</v>
      </c>
      <c r="BR13" s="497">
        <f t="shared" ref="BR13:BR19" si="36">SUMIF(PE_COG,MID(BM13,1,2)&amp;"*",PE_D)</f>
        <v>15420663</v>
      </c>
      <c r="BS13" s="497">
        <f t="shared" ref="BS13:BS19" si="37">SUMIF(PE_COG,MID(BM13,1,2)&amp;"*",PE_P)</f>
        <v>15420663</v>
      </c>
      <c r="BT13" s="497">
        <f t="shared" ref="BT13:BT72" si="38">+BQ13-BR13</f>
        <v>4.900000000372529</v>
      </c>
      <c r="BU13" s="841"/>
      <c r="BX13" s="839"/>
      <c r="BY13" s="909" t="s">
        <v>2189</v>
      </c>
      <c r="BZ13" s="495" t="s">
        <v>2294</v>
      </c>
      <c r="CA13" s="497">
        <f t="shared" si="16"/>
        <v>17395331.420000002</v>
      </c>
      <c r="CB13" s="497">
        <f t="shared" si="17"/>
        <v>2784672.7800000003</v>
      </c>
      <c r="CC13" s="497">
        <f t="shared" ref="CC13:CC19" si="39">+CA13+CB13</f>
        <v>20180004.200000003</v>
      </c>
      <c r="CD13" s="497">
        <f t="shared" si="18"/>
        <v>17509464.99000001</v>
      </c>
      <c r="CE13" s="497">
        <f t="shared" si="19"/>
        <v>16189406.140000002</v>
      </c>
      <c r="CF13" s="497">
        <f t="shared" ref="CF13:CF19" si="40">+CC13-CD13</f>
        <v>2670539.2099999934</v>
      </c>
      <c r="CG13" s="841"/>
      <c r="CJ13" s="839"/>
      <c r="CK13" s="846">
        <v>11</v>
      </c>
      <c r="CL13" s="503" t="s">
        <v>1047</v>
      </c>
      <c r="CM13" s="497">
        <f t="shared" ref="CM13:CM20" si="41">SUMIF(PE_CFG,MID(CK13,1,1)&amp;"."&amp;MID(CK13,2,1)&amp;".*",PE_A)</f>
        <v>0</v>
      </c>
      <c r="CN13" s="497">
        <f t="shared" ref="CN13:CN20" si="42">SUMIF(PE_CFG,MID(CK13,1,1)&amp;"."&amp;MID(CK13,2,1)&amp;".*",PE_M)</f>
        <v>0</v>
      </c>
      <c r="CO13" s="497">
        <f>+CM13+CN13</f>
        <v>0</v>
      </c>
      <c r="CP13" s="497">
        <f t="shared" ref="CP13:CP20" si="43">SUMIF(PE_CFG,MID(CK13,1,1)&amp;"."&amp;MID(CK13,2,1)&amp;".*",PE_D)</f>
        <v>0</v>
      </c>
      <c r="CQ13" s="497">
        <f t="shared" ref="CQ13:CQ20" si="44">SUMIF(PE_CFG,MID(CK13,1,1)&amp;"."&amp;MID(CK13,2,1)&amp;".*",PE_P)</f>
        <v>0</v>
      </c>
      <c r="CR13" s="497">
        <f>+CO13-CP13</f>
        <v>0</v>
      </c>
      <c r="CS13" s="841"/>
      <c r="CV13" s="839"/>
      <c r="CW13" s="846" t="s">
        <v>1048</v>
      </c>
      <c r="CX13" s="495" t="s">
        <v>1049</v>
      </c>
      <c r="CY13" s="496">
        <f t="shared" si="21"/>
        <v>0</v>
      </c>
      <c r="CZ13" s="496">
        <f t="shared" si="22"/>
        <v>0</v>
      </c>
      <c r="DA13" s="496">
        <f t="shared" si="23"/>
        <v>0</v>
      </c>
      <c r="DB13" s="496">
        <f t="shared" si="24"/>
        <v>0</v>
      </c>
      <c r="DC13" s="496">
        <f t="shared" si="25"/>
        <v>0</v>
      </c>
      <c r="DD13" s="496">
        <f t="shared" si="26"/>
        <v>0</v>
      </c>
      <c r="DE13" s="841"/>
    </row>
    <row r="14" spans="2:109">
      <c r="B14" s="839"/>
      <c r="C14" s="846">
        <v>1111</v>
      </c>
      <c r="D14" s="504" t="s">
        <v>1050</v>
      </c>
      <c r="E14" s="500">
        <f ca="1">SUMIF(BC[],MID(C14,1,4)&amp;"*",bc_2017)</f>
        <v>0</v>
      </c>
      <c r="F14" s="500">
        <f ca="1">SUMIF(BC[],MID(C14,1,4)&amp;"*",bc_2016)</f>
        <v>0</v>
      </c>
      <c r="G14" s="824">
        <v>2111</v>
      </c>
      <c r="H14" s="504" t="s">
        <v>1051</v>
      </c>
      <c r="I14" s="500">
        <f ca="1">-SUMIF(BC[],MID(G14,1,4)&amp;"*",bc_2017)</f>
        <v>1186099.8500000001</v>
      </c>
      <c r="J14" s="505">
        <f ca="1">-SUMIF(BC[],MID(G14,1,4)&amp;"*",bc_2016)</f>
        <v>44312.2</v>
      </c>
      <c r="K14" s="841"/>
      <c r="N14" s="839"/>
      <c r="O14" s="846">
        <v>2141</v>
      </c>
      <c r="P14" s="489" t="s">
        <v>1061</v>
      </c>
      <c r="Q14" s="500">
        <f ca="1">-SUMIF(BC[],MID(O14,1,4)&amp;"*",bc_2016)</f>
        <v>0</v>
      </c>
      <c r="S14" s="500">
        <f ca="1">-SUMIF(BC[],MID(O14,1,4)&amp;"*",bc_2016c)</f>
        <v>0</v>
      </c>
      <c r="T14" s="500">
        <f t="shared" ref="T14:T15" ca="1" si="45">+U14-Q14-R14+S14</f>
        <v>0</v>
      </c>
      <c r="U14" s="500">
        <f ca="1">-SUMIF(BC[],MID(O14,1,4)&amp;"*",bc_2017)</f>
        <v>0</v>
      </c>
      <c r="V14" s="500"/>
      <c r="W14" s="505"/>
      <c r="X14" s="841"/>
      <c r="AA14" s="839"/>
      <c r="AB14" s="847"/>
      <c r="AC14" s="499" t="s">
        <v>1062</v>
      </c>
      <c r="AD14" s="467"/>
      <c r="AE14" s="467"/>
      <c r="AF14" s="467"/>
      <c r="AG14" s="500">
        <v>0</v>
      </c>
      <c r="AH14" s="467"/>
      <c r="AI14" s="500">
        <v>0</v>
      </c>
      <c r="AJ14" s="500">
        <v>0</v>
      </c>
      <c r="AK14" s="500">
        <v>0</v>
      </c>
      <c r="AL14" s="500">
        <v>0</v>
      </c>
      <c r="AM14" s="565">
        <f t="shared" si="27"/>
        <v>0</v>
      </c>
      <c r="AN14" s="841"/>
      <c r="AQ14" s="839"/>
      <c r="AR14" s="847"/>
      <c r="AS14" s="493" t="s">
        <v>1054</v>
      </c>
      <c r="AT14" s="501">
        <f>+AT48</f>
        <v>0</v>
      </c>
      <c r="AU14" s="501">
        <f t="shared" ref="AU14:AV14" si="46">+AU48</f>
        <v>0</v>
      </c>
      <c r="AV14" s="501">
        <f t="shared" si="46"/>
        <v>0</v>
      </c>
      <c r="AW14" s="841"/>
      <c r="AY14" s="834"/>
      <c r="AZ14" s="839"/>
      <c r="BA14" s="882">
        <v>30</v>
      </c>
      <c r="BB14" s="479" t="s">
        <v>1063</v>
      </c>
      <c r="BC14" s="502">
        <f t="shared" si="29"/>
        <v>0</v>
      </c>
      <c r="BD14" s="502">
        <f t="shared" si="30"/>
        <v>0</v>
      </c>
      <c r="BE14" s="502">
        <f t="shared" si="11"/>
        <v>0</v>
      </c>
      <c r="BF14" s="502">
        <f t="shared" si="31"/>
        <v>0</v>
      </c>
      <c r="BG14" s="502">
        <f t="shared" si="32"/>
        <v>0</v>
      </c>
      <c r="BH14" s="502">
        <f t="shared" si="14"/>
        <v>0</v>
      </c>
      <c r="BI14" s="841"/>
      <c r="BL14" s="839"/>
      <c r="BM14" s="846">
        <v>1200</v>
      </c>
      <c r="BN14" s="503" t="s">
        <v>1056</v>
      </c>
      <c r="BO14" s="497">
        <f t="shared" si="33"/>
        <v>2515531.8199999998</v>
      </c>
      <c r="BP14" s="497">
        <f t="shared" si="34"/>
        <v>4005.6199999999953</v>
      </c>
      <c r="BQ14" s="497">
        <f t="shared" si="35"/>
        <v>2519537.44</v>
      </c>
      <c r="BR14" s="497">
        <f t="shared" si="36"/>
        <v>2519537.44</v>
      </c>
      <c r="BS14" s="497">
        <f t="shared" si="37"/>
        <v>2519537.44</v>
      </c>
      <c r="BT14" s="497">
        <f t="shared" si="38"/>
        <v>0</v>
      </c>
      <c r="BU14" s="841"/>
      <c r="BX14" s="839"/>
      <c r="BY14" s="909" t="s">
        <v>2276</v>
      </c>
      <c r="BZ14" s="495" t="s">
        <v>2295</v>
      </c>
      <c r="CA14" s="497">
        <f t="shared" si="16"/>
        <v>8213662.959999999</v>
      </c>
      <c r="CB14" s="497">
        <f t="shared" si="17"/>
        <v>-310264.88</v>
      </c>
      <c r="CC14" s="497">
        <f t="shared" si="39"/>
        <v>7903398.0799999991</v>
      </c>
      <c r="CD14" s="497">
        <f t="shared" si="18"/>
        <v>7903398.080000001</v>
      </c>
      <c r="CE14" s="497">
        <f t="shared" si="19"/>
        <v>7903398.080000001</v>
      </c>
      <c r="CF14" s="497">
        <f t="shared" si="40"/>
        <v>0</v>
      </c>
      <c r="CG14" s="841"/>
      <c r="CJ14" s="839"/>
      <c r="CK14" s="846">
        <v>12</v>
      </c>
      <c r="CL14" s="503" t="s">
        <v>1057</v>
      </c>
      <c r="CM14" s="497">
        <f t="shared" si="41"/>
        <v>80405840.509999976</v>
      </c>
      <c r="CN14" s="497">
        <f t="shared" si="42"/>
        <v>8457903.8100000042</v>
      </c>
      <c r="CO14" s="497">
        <f>+CM14+CN14</f>
        <v>88863744.319999978</v>
      </c>
      <c r="CP14" s="497">
        <f t="shared" si="43"/>
        <v>86193205.110000029</v>
      </c>
      <c r="CQ14" s="497">
        <f t="shared" si="44"/>
        <v>84872096.260000035</v>
      </c>
      <c r="CR14" s="497">
        <f>+CO14-CP14</f>
        <v>2670539.2099999487</v>
      </c>
      <c r="CS14" s="841"/>
      <c r="CV14" s="839"/>
      <c r="CW14" s="846" t="s">
        <v>1048</v>
      </c>
      <c r="CX14" s="495" t="s">
        <v>1058</v>
      </c>
      <c r="CY14" s="496">
        <f t="shared" si="21"/>
        <v>0</v>
      </c>
      <c r="CZ14" s="496">
        <f t="shared" si="22"/>
        <v>0</v>
      </c>
      <c r="DA14" s="496">
        <f t="shared" si="23"/>
        <v>0</v>
      </c>
      <c r="DB14" s="496">
        <f t="shared" si="24"/>
        <v>0</v>
      </c>
      <c r="DC14" s="496">
        <f t="shared" si="25"/>
        <v>0</v>
      </c>
      <c r="DD14" s="496">
        <f t="shared" si="26"/>
        <v>0</v>
      </c>
      <c r="DE14" s="841"/>
    </row>
    <row r="15" spans="2:109">
      <c r="B15" s="839"/>
      <c r="C15" s="846">
        <v>1112</v>
      </c>
      <c r="D15" s="504" t="s">
        <v>1059</v>
      </c>
      <c r="E15" s="500">
        <f ca="1">SUMIF(BC[],MID(C15,1,4)&amp;"*",bc_2017)</f>
        <v>13450532.83</v>
      </c>
      <c r="F15" s="500">
        <f ca="1">SUMIF(BC[],MID(C15,1,4)&amp;"*",bc_2016)</f>
        <v>11324165.710000001</v>
      </c>
      <c r="G15" s="824">
        <v>2112</v>
      </c>
      <c r="H15" s="504" t="s">
        <v>1060</v>
      </c>
      <c r="I15" s="500">
        <f ca="1">-SUMIF(BC[],MID(G15,1,4)&amp;"*",bc_2017)</f>
        <v>135009</v>
      </c>
      <c r="J15" s="505">
        <f ca="1">-SUMIF(BC[],MID(G15,1,4)&amp;"*",bc_2016)</f>
        <v>168006.59999999998</v>
      </c>
      <c r="K15" s="841"/>
      <c r="N15" s="839"/>
      <c r="O15" s="846">
        <v>2133</v>
      </c>
      <c r="P15" s="489" t="s">
        <v>1069</v>
      </c>
      <c r="Q15" s="500">
        <f ca="1">-SUMIF(BC[],MID(O15,1,4)&amp;"*",bc_2016)</f>
        <v>0</v>
      </c>
      <c r="S15" s="500">
        <f ca="1">-SUMIF(BC[],MID(O15,1,4)&amp;"*",bc_2016c)</f>
        <v>0</v>
      </c>
      <c r="T15" s="500">
        <f t="shared" ca="1" si="45"/>
        <v>0</v>
      </c>
      <c r="U15" s="500">
        <f ca="1">-SUMIF(BC[],MID(O15,1,4)&amp;"*",bc_2017)</f>
        <v>0</v>
      </c>
      <c r="V15" s="500"/>
      <c r="W15" s="505"/>
      <c r="X15" s="841"/>
      <c r="AA15" s="839"/>
      <c r="AB15" s="847"/>
      <c r="AC15" s="499" t="s">
        <v>1070</v>
      </c>
      <c r="AD15" s="467"/>
      <c r="AE15" s="467"/>
      <c r="AF15" s="467"/>
      <c r="AG15" s="500">
        <v>0</v>
      </c>
      <c r="AH15" s="467"/>
      <c r="AI15" s="500">
        <v>0</v>
      </c>
      <c r="AJ15" s="500">
        <v>0</v>
      </c>
      <c r="AK15" s="500">
        <v>0</v>
      </c>
      <c r="AL15" s="500">
        <v>0</v>
      </c>
      <c r="AM15" s="565">
        <f t="shared" si="27"/>
        <v>0</v>
      </c>
      <c r="AN15" s="841"/>
      <c r="AQ15" s="839"/>
      <c r="AR15" s="847"/>
      <c r="AS15" s="470"/>
      <c r="AT15" s="471"/>
      <c r="AU15" s="471"/>
      <c r="AV15" s="471"/>
      <c r="AW15" s="841"/>
      <c r="AY15" s="834"/>
      <c r="AZ15" s="839"/>
      <c r="BA15" s="882">
        <v>40</v>
      </c>
      <c r="BB15" s="479" t="s">
        <v>1072</v>
      </c>
      <c r="BC15" s="502">
        <f t="shared" si="29"/>
        <v>0</v>
      </c>
      <c r="BD15" s="502">
        <f t="shared" si="30"/>
        <v>0</v>
      </c>
      <c r="BE15" s="502">
        <f t="shared" si="11"/>
        <v>0</v>
      </c>
      <c r="BF15" s="502">
        <f t="shared" si="31"/>
        <v>0</v>
      </c>
      <c r="BG15" s="502">
        <f t="shared" si="32"/>
        <v>0</v>
      </c>
      <c r="BH15" s="502">
        <f t="shared" si="14"/>
        <v>0</v>
      </c>
      <c r="BI15" s="841"/>
      <c r="BL15" s="839"/>
      <c r="BM15" s="846">
        <v>1300</v>
      </c>
      <c r="BN15" s="503" t="s">
        <v>1064</v>
      </c>
      <c r="BO15" s="497">
        <f t="shared" si="33"/>
        <v>6724763.9299999988</v>
      </c>
      <c r="BP15" s="497">
        <f t="shared" si="34"/>
        <v>1004115.9099999999</v>
      </c>
      <c r="BQ15" s="497">
        <f t="shared" si="35"/>
        <v>7728879.8399999989</v>
      </c>
      <c r="BR15" s="497">
        <f t="shared" si="36"/>
        <v>7728879.8399999999</v>
      </c>
      <c r="BS15" s="497">
        <f t="shared" si="37"/>
        <v>7728879.8399999999</v>
      </c>
      <c r="BT15" s="497">
        <f t="shared" si="38"/>
        <v>0</v>
      </c>
      <c r="BU15" s="841"/>
      <c r="BX15" s="839"/>
      <c r="BY15" s="909" t="s">
        <v>2266</v>
      </c>
      <c r="BZ15" s="495" t="s">
        <v>2296</v>
      </c>
      <c r="CA15" s="497">
        <f t="shared" si="16"/>
        <v>3308984.8499999996</v>
      </c>
      <c r="CB15" s="497">
        <f t="shared" si="17"/>
        <v>400554.9200000001</v>
      </c>
      <c r="CC15" s="497">
        <f t="shared" si="39"/>
        <v>3709539.7699999996</v>
      </c>
      <c r="CD15" s="497">
        <f t="shared" si="18"/>
        <v>3709539.77</v>
      </c>
      <c r="CE15" s="497">
        <f t="shared" si="19"/>
        <v>3709539.77</v>
      </c>
      <c r="CF15" s="497">
        <f t="shared" si="40"/>
        <v>0</v>
      </c>
      <c r="CG15" s="841"/>
      <c r="CJ15" s="839"/>
      <c r="CK15" s="846">
        <v>13</v>
      </c>
      <c r="CL15" s="503" t="s">
        <v>1065</v>
      </c>
      <c r="CM15" s="497">
        <f t="shared" si="41"/>
        <v>0</v>
      </c>
      <c r="CN15" s="497">
        <f t="shared" si="42"/>
        <v>0</v>
      </c>
      <c r="CO15" s="497">
        <f t="shared" ref="CO15:CO20" si="47">+CM15+CN15</f>
        <v>0</v>
      </c>
      <c r="CP15" s="497">
        <f t="shared" si="43"/>
        <v>0</v>
      </c>
      <c r="CQ15" s="497">
        <f t="shared" si="44"/>
        <v>0</v>
      </c>
      <c r="CR15" s="497">
        <f t="shared" ref="CR15:CR20" si="48">+CO15-CP15</f>
        <v>0</v>
      </c>
      <c r="CS15" s="841"/>
      <c r="CV15" s="839"/>
      <c r="CW15" s="846" t="s">
        <v>1048</v>
      </c>
      <c r="CX15" s="503" t="s">
        <v>1066</v>
      </c>
      <c r="CY15" s="497">
        <f t="shared" si="21"/>
        <v>0</v>
      </c>
      <c r="CZ15" s="497">
        <f t="shared" si="22"/>
        <v>0</v>
      </c>
      <c r="DA15" s="497">
        <f t="shared" si="23"/>
        <v>0</v>
      </c>
      <c r="DB15" s="497">
        <f t="shared" si="24"/>
        <v>0</v>
      </c>
      <c r="DC15" s="497">
        <f t="shared" si="25"/>
        <v>0</v>
      </c>
      <c r="DD15" s="497">
        <f t="shared" si="26"/>
        <v>0</v>
      </c>
      <c r="DE15" s="841"/>
    </row>
    <row r="16" spans="2:109" ht="13.5">
      <c r="B16" s="839"/>
      <c r="C16" s="846">
        <v>1113</v>
      </c>
      <c r="D16" s="504" t="s">
        <v>1067</v>
      </c>
      <c r="E16" s="500">
        <f ca="1">SUMIF(BC[],MID(C16,1,4)&amp;"*",bc_2017)</f>
        <v>0</v>
      </c>
      <c r="F16" s="500">
        <f ca="1">SUMIF(BC[],MID(C16,1,4)&amp;"*",bc_2016)</f>
        <v>0</v>
      </c>
      <c r="G16" s="824">
        <v>2113</v>
      </c>
      <c r="H16" s="504" t="s">
        <v>1068</v>
      </c>
      <c r="I16" s="500">
        <f ca="1">-SUMIF(BC[],MID(G16,1,4)&amp;"*",bc_2017)</f>
        <v>0</v>
      </c>
      <c r="J16" s="505">
        <f ca="1">-SUMIF(BC[],MID(G16,1,4)&amp;"*",bc_2016)</f>
        <v>0</v>
      </c>
      <c r="K16" s="841"/>
      <c r="N16" s="839"/>
      <c r="O16" s="846"/>
      <c r="P16" s="467" t="s">
        <v>1078</v>
      </c>
      <c r="Q16" s="468">
        <f ca="1">SUM(Q17:Q19)</f>
        <v>0</v>
      </c>
      <c r="R16" s="468">
        <f t="shared" ref="R16:W16" ca="1" si="49">SUM(R17:R19)</f>
        <v>0</v>
      </c>
      <c r="S16" s="468">
        <f t="shared" si="49"/>
        <v>0</v>
      </c>
      <c r="T16" s="468">
        <f t="shared" ca="1" si="49"/>
        <v>0</v>
      </c>
      <c r="U16" s="468">
        <f t="shared" ca="1" si="49"/>
        <v>0</v>
      </c>
      <c r="V16" s="468">
        <f t="shared" si="49"/>
        <v>0</v>
      </c>
      <c r="W16" s="491">
        <f t="shared" si="49"/>
        <v>0</v>
      </c>
      <c r="X16" s="841"/>
      <c r="AA16" s="839"/>
      <c r="AB16" s="847"/>
      <c r="AC16" s="506"/>
      <c r="AD16" s="467"/>
      <c r="AE16" s="467"/>
      <c r="AF16" s="467"/>
      <c r="AG16" s="467"/>
      <c r="AH16" s="467"/>
      <c r="AI16" s="467"/>
      <c r="AJ16" s="467"/>
      <c r="AK16" s="467"/>
      <c r="AL16" s="467"/>
      <c r="AM16" s="474"/>
      <c r="AN16" s="841"/>
      <c r="AQ16" s="839"/>
      <c r="AR16" s="847"/>
      <c r="AS16" s="477" t="s">
        <v>1071</v>
      </c>
      <c r="AT16" s="478">
        <f>+AT17+AT18</f>
        <v>80405840.510000005</v>
      </c>
      <c r="AU16" s="478">
        <f t="shared" ref="AU16:AV16" si="50">+AU17+AU18</f>
        <v>86193205.109999985</v>
      </c>
      <c r="AV16" s="478">
        <f t="shared" si="50"/>
        <v>84872096.260000005</v>
      </c>
      <c r="AW16" s="841"/>
      <c r="AY16" s="834"/>
      <c r="AZ16" s="839"/>
      <c r="BA16" s="882">
        <v>50</v>
      </c>
      <c r="BB16" s="479" t="s">
        <v>1080</v>
      </c>
      <c r="BC16" s="502">
        <f t="shared" si="29"/>
        <v>0</v>
      </c>
      <c r="BD16" s="502">
        <f t="shared" si="30"/>
        <v>0</v>
      </c>
      <c r="BE16" s="502">
        <f t="shared" si="11"/>
        <v>0</v>
      </c>
      <c r="BF16" s="502">
        <f t="shared" si="31"/>
        <v>0</v>
      </c>
      <c r="BG16" s="502">
        <f t="shared" si="32"/>
        <v>0</v>
      </c>
      <c r="BH16" s="502">
        <f t="shared" si="14"/>
        <v>0</v>
      </c>
      <c r="BI16" s="841"/>
      <c r="BL16" s="839"/>
      <c r="BM16" s="846">
        <v>1400</v>
      </c>
      <c r="BN16" s="503" t="s">
        <v>1073</v>
      </c>
      <c r="BO16" s="497">
        <f t="shared" si="33"/>
        <v>4747500.33</v>
      </c>
      <c r="BP16" s="497">
        <f t="shared" si="34"/>
        <v>-144275.09000000017</v>
      </c>
      <c r="BQ16" s="497">
        <f t="shared" si="35"/>
        <v>4603225.24</v>
      </c>
      <c r="BR16" s="497">
        <f t="shared" si="36"/>
        <v>4603225.24</v>
      </c>
      <c r="BS16" s="497">
        <f t="shared" si="37"/>
        <v>4603225.24</v>
      </c>
      <c r="BT16" s="497">
        <f t="shared" si="38"/>
        <v>0</v>
      </c>
      <c r="BU16" s="841"/>
      <c r="BX16" s="839"/>
      <c r="BY16" s="909" t="s">
        <v>2268</v>
      </c>
      <c r="BZ16" s="495" t="s">
        <v>2297</v>
      </c>
      <c r="CA16" s="497">
        <f t="shared" si="16"/>
        <v>1599803.36</v>
      </c>
      <c r="CB16" s="497">
        <f t="shared" si="17"/>
        <v>-199518.66</v>
      </c>
      <c r="CC16" s="497">
        <f t="shared" si="39"/>
        <v>1400284.7000000002</v>
      </c>
      <c r="CD16" s="497">
        <f t="shared" si="18"/>
        <v>1400284.7000000002</v>
      </c>
      <c r="CE16" s="497">
        <f t="shared" si="19"/>
        <v>1400284.7000000002</v>
      </c>
      <c r="CF16" s="497">
        <f t="shared" si="40"/>
        <v>0</v>
      </c>
      <c r="CG16" s="841"/>
      <c r="CJ16" s="839"/>
      <c r="CK16" s="846">
        <v>14</v>
      </c>
      <c r="CL16" s="503" t="s">
        <v>1074</v>
      </c>
      <c r="CM16" s="497">
        <f t="shared" si="41"/>
        <v>0</v>
      </c>
      <c r="CN16" s="497">
        <f t="shared" si="42"/>
        <v>0</v>
      </c>
      <c r="CO16" s="497">
        <f t="shared" si="47"/>
        <v>0</v>
      </c>
      <c r="CP16" s="497">
        <f t="shared" si="43"/>
        <v>0</v>
      </c>
      <c r="CQ16" s="497">
        <f t="shared" si="44"/>
        <v>0</v>
      </c>
      <c r="CR16" s="497">
        <f t="shared" si="48"/>
        <v>0</v>
      </c>
      <c r="CS16" s="841"/>
      <c r="CV16" s="839"/>
      <c r="CW16" s="846" t="s">
        <v>1048</v>
      </c>
      <c r="CX16" s="503" t="s">
        <v>1075</v>
      </c>
      <c r="CY16" s="497">
        <f t="shared" si="21"/>
        <v>0</v>
      </c>
      <c r="CZ16" s="497">
        <f t="shared" si="22"/>
        <v>0</v>
      </c>
      <c r="DA16" s="497">
        <f t="shared" si="23"/>
        <v>0</v>
      </c>
      <c r="DB16" s="497">
        <f t="shared" si="24"/>
        <v>0</v>
      </c>
      <c r="DC16" s="497">
        <f t="shared" si="25"/>
        <v>0</v>
      </c>
      <c r="DD16" s="497">
        <f t="shared" si="26"/>
        <v>0</v>
      </c>
      <c r="DE16" s="841"/>
    </row>
    <row r="17" spans="2:109">
      <c r="B17" s="839"/>
      <c r="C17" s="846">
        <v>1114</v>
      </c>
      <c r="D17" s="504" t="s">
        <v>1076</v>
      </c>
      <c r="E17" s="500">
        <f ca="1">SUMIF(BC[],MID(C17,1,4)&amp;"*",bc_2017)</f>
        <v>2242315.87</v>
      </c>
      <c r="F17" s="500">
        <f ca="1">SUMIF(BC[],MID(C17,1,4)&amp;"*",bc_2016)</f>
        <v>0</v>
      </c>
      <c r="G17" s="824">
        <v>2114</v>
      </c>
      <c r="H17" s="504" t="s">
        <v>1077</v>
      </c>
      <c r="I17" s="500">
        <f ca="1">-SUMIF(BC[],MID(G17,1,4)&amp;"*",bc_2017)</f>
        <v>0</v>
      </c>
      <c r="J17" s="505">
        <f ca="1">-SUMIF(BC[],MID(G17,1,4)&amp;"*",bc_2016)</f>
        <v>0</v>
      </c>
      <c r="K17" s="841"/>
      <c r="N17" s="839"/>
      <c r="O17" s="846">
        <v>2233</v>
      </c>
      <c r="P17" s="489" t="s">
        <v>1087</v>
      </c>
      <c r="Q17" s="500">
        <f ca="1">-SUMIF(BC[],MID(O17,1,4)&amp;"*",bc_2016)</f>
        <v>0</v>
      </c>
      <c r="R17" s="500">
        <f ca="1">-SUMIF(BC[],MID(O17,1,4)&amp;"*",bc_2016a)</f>
        <v>0</v>
      </c>
      <c r="T17" s="500">
        <f t="shared" ref="T17:T19" ca="1" si="51">+U17-Q17-R17+S17</f>
        <v>0</v>
      </c>
      <c r="U17" s="500">
        <f ca="1">-SUMIF(BC[],MID(O17,1,4)&amp;"*",bc_2017)</f>
        <v>0</v>
      </c>
      <c r="V17" s="500"/>
      <c r="W17" s="505"/>
      <c r="X17" s="841"/>
      <c r="AA17" s="839"/>
      <c r="AB17" s="847"/>
      <c r="AC17" s="492" t="s">
        <v>1088</v>
      </c>
      <c r="AD17" s="467"/>
      <c r="AE17" s="467"/>
      <c r="AF17" s="467"/>
      <c r="AG17" s="468">
        <f>SUM(AG18:AG21)</f>
        <v>0</v>
      </c>
      <c r="AH17" s="467"/>
      <c r="AI17" s="468">
        <f t="shared" ref="AI17:AJ17" si="52">SUM(AI18:AI21)</f>
        <v>0</v>
      </c>
      <c r="AJ17" s="468">
        <f t="shared" si="52"/>
        <v>0</v>
      </c>
      <c r="AK17" s="468">
        <f>SUM(AK18:AK21)</f>
        <v>0</v>
      </c>
      <c r="AL17" s="468">
        <f>SUM(AL18:AL21)</f>
        <v>0</v>
      </c>
      <c r="AM17" s="491">
        <f>SUM(AM18:AM21)</f>
        <v>0</v>
      </c>
      <c r="AN17" s="841"/>
      <c r="AQ17" s="839"/>
      <c r="AR17" s="847"/>
      <c r="AS17" s="493" t="s">
        <v>1079</v>
      </c>
      <c r="AT17" s="501">
        <f>+AT59</f>
        <v>80405840.510000005</v>
      </c>
      <c r="AU17" s="501">
        <f t="shared" ref="AU17:AV17" si="53">+AU59</f>
        <v>86193205.109999985</v>
      </c>
      <c r="AV17" s="501">
        <f t="shared" si="53"/>
        <v>84872096.260000005</v>
      </c>
      <c r="AW17" s="841"/>
      <c r="AY17" s="834"/>
      <c r="AZ17" s="839"/>
      <c r="BA17" s="882">
        <v>60</v>
      </c>
      <c r="BB17" s="479" t="s">
        <v>1090</v>
      </c>
      <c r="BC17" s="502">
        <f t="shared" si="29"/>
        <v>0</v>
      </c>
      <c r="BD17" s="502">
        <f t="shared" si="30"/>
        <v>0</v>
      </c>
      <c r="BE17" s="502">
        <f t="shared" si="11"/>
        <v>0</v>
      </c>
      <c r="BF17" s="502">
        <f t="shared" si="31"/>
        <v>0</v>
      </c>
      <c r="BG17" s="502">
        <f t="shared" si="32"/>
        <v>0</v>
      </c>
      <c r="BH17" s="502">
        <f t="shared" si="14"/>
        <v>0</v>
      </c>
      <c r="BI17" s="841"/>
      <c r="BL17" s="839"/>
      <c r="BM17" s="846">
        <v>1500</v>
      </c>
      <c r="BN17" s="503" t="s">
        <v>1081</v>
      </c>
      <c r="BO17" s="497">
        <f t="shared" si="33"/>
        <v>29057822.379999999</v>
      </c>
      <c r="BP17" s="497">
        <f t="shared" si="34"/>
        <v>5248468.51</v>
      </c>
      <c r="BQ17" s="497">
        <f t="shared" si="35"/>
        <v>34306290.890000001</v>
      </c>
      <c r="BR17" s="497">
        <f t="shared" si="36"/>
        <v>34306290.889999993</v>
      </c>
      <c r="BS17" s="497">
        <f t="shared" si="37"/>
        <v>33120191.039999999</v>
      </c>
      <c r="BT17" s="497">
        <f t="shared" si="38"/>
        <v>0</v>
      </c>
      <c r="BU17" s="841"/>
      <c r="BX17" s="839"/>
      <c r="BY17" s="846" t="s">
        <v>1048</v>
      </c>
      <c r="BZ17" s="495" t="s">
        <v>1082</v>
      </c>
      <c r="CA17" s="497">
        <f t="shared" si="16"/>
        <v>0</v>
      </c>
      <c r="CB17" s="497">
        <f t="shared" si="17"/>
        <v>0</v>
      </c>
      <c r="CC17" s="497">
        <f t="shared" si="39"/>
        <v>0</v>
      </c>
      <c r="CD17" s="497">
        <f t="shared" si="18"/>
        <v>0</v>
      </c>
      <c r="CE17" s="497">
        <f t="shared" si="19"/>
        <v>0</v>
      </c>
      <c r="CF17" s="497">
        <f t="shared" si="40"/>
        <v>0</v>
      </c>
      <c r="CG17" s="841"/>
      <c r="CJ17" s="839"/>
      <c r="CK17" s="846">
        <v>15</v>
      </c>
      <c r="CL17" s="503" t="s">
        <v>1083</v>
      </c>
      <c r="CM17" s="497">
        <f t="shared" si="41"/>
        <v>0</v>
      </c>
      <c r="CN17" s="497">
        <f t="shared" si="42"/>
        <v>0</v>
      </c>
      <c r="CO17" s="497">
        <f t="shared" si="47"/>
        <v>0</v>
      </c>
      <c r="CP17" s="497">
        <f t="shared" si="43"/>
        <v>0</v>
      </c>
      <c r="CQ17" s="497">
        <f t="shared" si="44"/>
        <v>0</v>
      </c>
      <c r="CR17" s="497">
        <f t="shared" si="48"/>
        <v>0</v>
      </c>
      <c r="CS17" s="841"/>
      <c r="CV17" s="839"/>
      <c r="CW17" s="846" t="s">
        <v>1048</v>
      </c>
      <c r="CX17" s="495" t="s">
        <v>1084</v>
      </c>
      <c r="CY17" s="496">
        <f t="shared" si="21"/>
        <v>0</v>
      </c>
      <c r="CZ17" s="496">
        <f t="shared" si="22"/>
        <v>0</v>
      </c>
      <c r="DA17" s="496">
        <f t="shared" si="23"/>
        <v>0</v>
      </c>
      <c r="DB17" s="496">
        <f t="shared" si="24"/>
        <v>0</v>
      </c>
      <c r="DC17" s="496">
        <f t="shared" si="25"/>
        <v>0</v>
      </c>
      <c r="DD17" s="496">
        <f t="shared" si="26"/>
        <v>0</v>
      </c>
      <c r="DE17" s="841"/>
    </row>
    <row r="18" spans="2:109">
      <c r="B18" s="839"/>
      <c r="C18" s="846">
        <v>1115</v>
      </c>
      <c r="D18" s="504" t="s">
        <v>1085</v>
      </c>
      <c r="E18" s="500">
        <f ca="1">SUMIF(BC[],MID(C18,1,4)&amp;"*",bc_2017)</f>
        <v>0</v>
      </c>
      <c r="F18" s="500">
        <f ca="1">SUMIF(BC[],MID(C18,1,4)&amp;"*",bc_2016)</f>
        <v>0</v>
      </c>
      <c r="G18" s="824">
        <v>2115</v>
      </c>
      <c r="H18" s="504" t="s">
        <v>1086</v>
      </c>
      <c r="I18" s="500">
        <f ca="1">-SUMIF(BC[],MID(G18,1,4)&amp;"*",bc_2017)</f>
        <v>0</v>
      </c>
      <c r="J18" s="505">
        <f ca="1">-SUMIF(BC[],MID(G18,1,4)&amp;"*",bc_2016)</f>
        <v>0</v>
      </c>
      <c r="K18" s="841"/>
      <c r="N18" s="839"/>
      <c r="O18" s="846">
        <v>2231</v>
      </c>
      <c r="P18" s="489" t="s">
        <v>1097</v>
      </c>
      <c r="Q18" s="500">
        <f ca="1">-SUMIF(BC[],MID(O18,1,4)&amp;"*",bc_2016)</f>
        <v>0</v>
      </c>
      <c r="R18" s="500">
        <f ca="1">-SUMIF(BC[],MID(O18,1,4)&amp;"*",bc_2016a)</f>
        <v>0</v>
      </c>
      <c r="T18" s="500">
        <f t="shared" ca="1" si="51"/>
        <v>0</v>
      </c>
      <c r="U18" s="500">
        <f ca="1">-SUMIF(BC[],MID(O18,1,4)&amp;"*",bc_2017)</f>
        <v>0</v>
      </c>
      <c r="V18" s="500"/>
      <c r="W18" s="505"/>
      <c r="X18" s="841"/>
      <c r="AA18" s="839"/>
      <c r="AB18" s="847"/>
      <c r="AC18" s="499" t="s">
        <v>1098</v>
      </c>
      <c r="AD18" s="467"/>
      <c r="AE18" s="467"/>
      <c r="AF18" s="467"/>
      <c r="AG18" s="500">
        <v>0</v>
      </c>
      <c r="AH18" s="467"/>
      <c r="AI18" s="500">
        <v>0</v>
      </c>
      <c r="AJ18" s="500">
        <v>0</v>
      </c>
      <c r="AK18" s="500">
        <v>0</v>
      </c>
      <c r="AL18" s="500">
        <v>0</v>
      </c>
      <c r="AM18" s="565">
        <f>+AG18-AL18</f>
        <v>0</v>
      </c>
      <c r="AN18" s="841"/>
      <c r="AQ18" s="839"/>
      <c r="AR18" s="847"/>
      <c r="AS18" s="493" t="s">
        <v>1089</v>
      </c>
      <c r="AT18" s="501">
        <f>+AT75</f>
        <v>0</v>
      </c>
      <c r="AU18" s="501">
        <f t="shared" ref="AU18:AV18" si="54">+AU75</f>
        <v>0</v>
      </c>
      <c r="AV18" s="501">
        <f t="shared" si="54"/>
        <v>0</v>
      </c>
      <c r="AW18" s="841"/>
      <c r="AY18" s="834"/>
      <c r="AZ18" s="839"/>
      <c r="BA18" s="882">
        <v>70</v>
      </c>
      <c r="BB18" s="479" t="s">
        <v>1099</v>
      </c>
      <c r="BC18" s="502">
        <f t="shared" si="29"/>
        <v>1312000</v>
      </c>
      <c r="BD18" s="502">
        <f t="shared" si="30"/>
        <v>1613534.31</v>
      </c>
      <c r="BE18" s="502">
        <f t="shared" si="11"/>
        <v>2925534.31</v>
      </c>
      <c r="BF18" s="502">
        <f t="shared" si="31"/>
        <v>2925534.31</v>
      </c>
      <c r="BG18" s="502">
        <f t="shared" si="32"/>
        <v>2925534.31</v>
      </c>
      <c r="BH18" s="502">
        <f t="shared" si="14"/>
        <v>1613534.31</v>
      </c>
      <c r="BI18" s="841"/>
      <c r="BL18" s="839"/>
      <c r="BM18" s="846">
        <v>1600</v>
      </c>
      <c r="BN18" s="503" t="s">
        <v>1091</v>
      </c>
      <c r="BO18" s="497">
        <f t="shared" si="33"/>
        <v>1617161.0099999998</v>
      </c>
      <c r="BP18" s="497">
        <f t="shared" si="34"/>
        <v>-1617161.0099999998</v>
      </c>
      <c r="BQ18" s="497">
        <f t="shared" si="35"/>
        <v>0</v>
      </c>
      <c r="BR18" s="497">
        <f t="shared" si="36"/>
        <v>0</v>
      </c>
      <c r="BS18" s="497">
        <f t="shared" si="37"/>
        <v>0</v>
      </c>
      <c r="BT18" s="497">
        <f t="shared" si="38"/>
        <v>0</v>
      </c>
      <c r="BU18" s="841"/>
      <c r="BX18" s="839"/>
      <c r="BY18" s="846" t="s">
        <v>1048</v>
      </c>
      <c r="BZ18" s="495" t="s">
        <v>1092</v>
      </c>
      <c r="CA18" s="497">
        <f t="shared" si="16"/>
        <v>0</v>
      </c>
      <c r="CB18" s="497">
        <f t="shared" si="17"/>
        <v>0</v>
      </c>
      <c r="CC18" s="497">
        <f t="shared" si="39"/>
        <v>0</v>
      </c>
      <c r="CD18" s="497">
        <f t="shared" si="18"/>
        <v>0</v>
      </c>
      <c r="CE18" s="497">
        <f t="shared" si="19"/>
        <v>0</v>
      </c>
      <c r="CF18" s="497">
        <f t="shared" si="40"/>
        <v>0</v>
      </c>
      <c r="CG18" s="841"/>
      <c r="CJ18" s="839"/>
      <c r="CK18" s="846">
        <v>16</v>
      </c>
      <c r="CL18" s="503" t="s">
        <v>1093</v>
      </c>
      <c r="CM18" s="497">
        <f t="shared" si="41"/>
        <v>0</v>
      </c>
      <c r="CN18" s="497">
        <f t="shared" si="42"/>
        <v>0</v>
      </c>
      <c r="CO18" s="497">
        <f t="shared" si="47"/>
        <v>0</v>
      </c>
      <c r="CP18" s="497">
        <f t="shared" si="43"/>
        <v>0</v>
      </c>
      <c r="CQ18" s="497">
        <f t="shared" si="44"/>
        <v>0</v>
      </c>
      <c r="CR18" s="497">
        <f t="shared" si="48"/>
        <v>0</v>
      </c>
      <c r="CS18" s="841"/>
      <c r="CV18" s="839"/>
      <c r="CW18" s="846" t="s">
        <v>1048</v>
      </c>
      <c r="CX18" s="495" t="s">
        <v>1094</v>
      </c>
      <c r="CY18" s="496">
        <f t="shared" si="21"/>
        <v>0</v>
      </c>
      <c r="CZ18" s="496">
        <f t="shared" si="22"/>
        <v>0</v>
      </c>
      <c r="DA18" s="496">
        <f t="shared" si="23"/>
        <v>0</v>
      </c>
      <c r="DB18" s="496">
        <f t="shared" si="24"/>
        <v>0</v>
      </c>
      <c r="DC18" s="496">
        <f t="shared" si="25"/>
        <v>0</v>
      </c>
      <c r="DD18" s="496">
        <f t="shared" si="26"/>
        <v>0</v>
      </c>
      <c r="DE18" s="841"/>
    </row>
    <row r="19" spans="2:109">
      <c r="B19" s="839"/>
      <c r="C19" s="846">
        <v>1116</v>
      </c>
      <c r="D19" s="504" t="s">
        <v>1095</v>
      </c>
      <c r="E19" s="500">
        <f ca="1">SUMIF(BC[],MID(C19,1,4)&amp;"*",bc_2017)</f>
        <v>0</v>
      </c>
      <c r="F19" s="500">
        <f ca="1">SUMIF(BC[],MID(C19,1,4)&amp;"*",bc_2016)</f>
        <v>0</v>
      </c>
      <c r="G19" s="824">
        <v>2116</v>
      </c>
      <c r="H19" s="504" t="s">
        <v>1096</v>
      </c>
      <c r="I19" s="500">
        <f ca="1">-SUMIF(BC[],MID(G19,1,4)&amp;"*",bc_2017)</f>
        <v>0</v>
      </c>
      <c r="J19" s="505">
        <f ca="1">-SUMIF(BC[],MID(G19,1,4)&amp;"*",bc_2016)</f>
        <v>0</v>
      </c>
      <c r="K19" s="841"/>
      <c r="N19" s="839"/>
      <c r="O19" s="846">
        <v>2235</v>
      </c>
      <c r="P19" s="489" t="s">
        <v>1106</v>
      </c>
      <c r="Q19" s="500">
        <f ca="1">-SUMIF(BC[],MID(O19,1,4)&amp;"*",bc_2016)</f>
        <v>0</v>
      </c>
      <c r="R19" s="500">
        <f ca="1">-SUMIF(BC[],MID(O19,1,4)&amp;"*",bc_2016a)</f>
        <v>0</v>
      </c>
      <c r="T19" s="500">
        <f t="shared" ca="1" si="51"/>
        <v>0</v>
      </c>
      <c r="U19" s="500">
        <f ca="1">-SUMIF(BC[],MID(O19,1,4)&amp;"*",bc_2017)</f>
        <v>0</v>
      </c>
      <c r="V19" s="500"/>
      <c r="W19" s="505"/>
      <c r="X19" s="841"/>
      <c r="AA19" s="839"/>
      <c r="AB19" s="847"/>
      <c r="AC19" s="499" t="s">
        <v>1107</v>
      </c>
      <c r="AD19" s="467"/>
      <c r="AE19" s="467"/>
      <c r="AF19" s="467"/>
      <c r="AG19" s="500">
        <v>0</v>
      </c>
      <c r="AH19" s="467"/>
      <c r="AI19" s="500">
        <v>0</v>
      </c>
      <c r="AJ19" s="500">
        <v>0</v>
      </c>
      <c r="AK19" s="500">
        <v>0</v>
      </c>
      <c r="AL19" s="500">
        <v>0</v>
      </c>
      <c r="AM19" s="565">
        <f t="shared" ref="AM19:AM21" si="55">+AG19-AL19</f>
        <v>0</v>
      </c>
      <c r="AN19" s="841"/>
      <c r="AQ19" s="839"/>
      <c r="AR19" s="847"/>
      <c r="AS19" s="470"/>
      <c r="AT19" s="471"/>
      <c r="AU19" s="471"/>
      <c r="AV19" s="472"/>
      <c r="AW19" s="841"/>
      <c r="AY19" s="834"/>
      <c r="AZ19" s="839"/>
      <c r="BA19" s="882">
        <v>81</v>
      </c>
      <c r="BB19" s="479" t="s">
        <v>1109</v>
      </c>
      <c r="BC19" s="502">
        <f t="shared" ref="BC19:BC39" si="56">SUMIF(pi_cri,MID(BA19,1,2)&amp;"*",pi_e)</f>
        <v>0</v>
      </c>
      <c r="BD19" s="502">
        <f t="shared" ref="BD19:BD39" si="57">SUMIF(pi_cri,MID(BA19,1,2)&amp;"*",pi_m)</f>
        <v>0</v>
      </c>
      <c r="BE19" s="502">
        <f t="shared" si="11"/>
        <v>0</v>
      </c>
      <c r="BF19" s="502">
        <f t="shared" ref="BF19:BF39" si="58">SUMIF(pi_cri,MID(BA19,1,2)&amp;"*",pi_d)</f>
        <v>0</v>
      </c>
      <c r="BG19" s="502">
        <f t="shared" ref="BG19:BG39" si="59">SUMIF(pi_cri,MID(BA19,1,2)&amp;"*",pi_r)</f>
        <v>0</v>
      </c>
      <c r="BH19" s="502">
        <f t="shared" si="14"/>
        <v>0</v>
      </c>
      <c r="BI19" s="841"/>
      <c r="BL19" s="839"/>
      <c r="BM19" s="846">
        <v>1700</v>
      </c>
      <c r="BN19" s="503" t="s">
        <v>1100</v>
      </c>
      <c r="BO19" s="497">
        <f t="shared" si="33"/>
        <v>1099382.22</v>
      </c>
      <c r="BP19" s="497">
        <f t="shared" si="34"/>
        <v>246145.56000000041</v>
      </c>
      <c r="BQ19" s="497">
        <f t="shared" si="35"/>
        <v>1345527.7800000003</v>
      </c>
      <c r="BR19" s="497">
        <f t="shared" si="36"/>
        <v>1345527.7799999998</v>
      </c>
      <c r="BS19" s="497">
        <f t="shared" si="37"/>
        <v>1345527.7799999998</v>
      </c>
      <c r="BT19" s="497">
        <f t="shared" si="38"/>
        <v>0</v>
      </c>
      <c r="BU19" s="841"/>
      <c r="BX19" s="839"/>
      <c r="BY19" s="846" t="s">
        <v>1048</v>
      </c>
      <c r="BZ19" s="495" t="s">
        <v>1101</v>
      </c>
      <c r="CA19" s="497">
        <f t="shared" si="16"/>
        <v>0</v>
      </c>
      <c r="CB19" s="497">
        <f t="shared" si="17"/>
        <v>0</v>
      </c>
      <c r="CC19" s="497">
        <f t="shared" si="39"/>
        <v>0</v>
      </c>
      <c r="CD19" s="497">
        <f t="shared" si="18"/>
        <v>0</v>
      </c>
      <c r="CE19" s="497">
        <f t="shared" si="19"/>
        <v>0</v>
      </c>
      <c r="CF19" s="497">
        <f t="shared" si="40"/>
        <v>0</v>
      </c>
      <c r="CG19" s="841"/>
      <c r="CJ19" s="839"/>
      <c r="CK19" s="846">
        <v>17</v>
      </c>
      <c r="CL19" s="503" t="s">
        <v>1102</v>
      </c>
      <c r="CM19" s="497">
        <f t="shared" si="41"/>
        <v>0</v>
      </c>
      <c r="CN19" s="497">
        <f t="shared" si="42"/>
        <v>0</v>
      </c>
      <c r="CO19" s="497">
        <f t="shared" si="47"/>
        <v>0</v>
      </c>
      <c r="CP19" s="497">
        <f t="shared" si="43"/>
        <v>0</v>
      </c>
      <c r="CQ19" s="497">
        <f t="shared" si="44"/>
        <v>0</v>
      </c>
      <c r="CR19" s="497">
        <f t="shared" si="48"/>
        <v>0</v>
      </c>
      <c r="CS19" s="841"/>
      <c r="CV19" s="839"/>
      <c r="CW19" s="846" t="s">
        <v>1048</v>
      </c>
      <c r="CX19" s="503" t="s">
        <v>1103</v>
      </c>
      <c r="CY19" s="497">
        <f t="shared" si="21"/>
        <v>0</v>
      </c>
      <c r="CZ19" s="497">
        <f t="shared" si="22"/>
        <v>0</v>
      </c>
      <c r="DA19" s="497">
        <f t="shared" si="23"/>
        <v>0</v>
      </c>
      <c r="DB19" s="497">
        <f t="shared" si="24"/>
        <v>0</v>
      </c>
      <c r="DC19" s="497">
        <f t="shared" si="25"/>
        <v>0</v>
      </c>
      <c r="DD19" s="497">
        <f t="shared" si="26"/>
        <v>0</v>
      </c>
      <c r="DE19" s="841"/>
    </row>
    <row r="20" spans="2:109">
      <c r="B20" s="839"/>
      <c r="C20" s="846">
        <v>1119</v>
      </c>
      <c r="D20" s="504" t="s">
        <v>1104</v>
      </c>
      <c r="E20" s="500">
        <f ca="1">SUMIF(BC[],MID(C20,1,4)&amp;"*",bc_2017)</f>
        <v>0</v>
      </c>
      <c r="F20" s="500">
        <f ca="1">SUMIF(BC[],MID(C20,1,4)&amp;"*",bc_2016)</f>
        <v>0</v>
      </c>
      <c r="G20" s="824">
        <v>2117</v>
      </c>
      <c r="H20" s="504" t="s">
        <v>1105</v>
      </c>
      <c r="I20" s="500">
        <f ca="1">-SUMIF(BC[],MID(G20,1,4)&amp;"*",bc_2017)</f>
        <v>3697649.72</v>
      </c>
      <c r="J20" s="505">
        <f ca="1">-SUMIF(BC[],MID(G20,1,4)&amp;"*",bc_2016)</f>
        <v>3137332.29</v>
      </c>
      <c r="K20" s="841"/>
      <c r="N20" s="839"/>
      <c r="O20" s="846"/>
      <c r="P20" s="467" t="s">
        <v>1115</v>
      </c>
      <c r="Q20" s="468">
        <f ca="1">-SUMIF(BC[],2&amp;"*",bc_2016)-Q11</f>
        <v>5457146.0099999998</v>
      </c>
      <c r="R20" s="510"/>
      <c r="S20" s="510"/>
      <c r="T20" s="510"/>
      <c r="U20" s="468">
        <f ca="1">-SUMIF(BC[],2&amp;"*",bc_2017)-U11</f>
        <v>7271230.9600000009</v>
      </c>
      <c r="V20" s="510"/>
      <c r="W20" s="511"/>
      <c r="X20" s="841"/>
      <c r="AA20" s="839"/>
      <c r="AB20" s="847"/>
      <c r="AC20" s="499" t="s">
        <v>1116</v>
      </c>
      <c r="AD20" s="467"/>
      <c r="AE20" s="467"/>
      <c r="AF20" s="467"/>
      <c r="AG20" s="500">
        <v>0</v>
      </c>
      <c r="AH20" s="467"/>
      <c r="AI20" s="500">
        <v>0</v>
      </c>
      <c r="AJ20" s="500">
        <v>0</v>
      </c>
      <c r="AK20" s="500">
        <v>0</v>
      </c>
      <c r="AL20" s="500">
        <v>0</v>
      </c>
      <c r="AM20" s="565">
        <f t="shared" si="55"/>
        <v>0</v>
      </c>
      <c r="AN20" s="841"/>
      <c r="AQ20" s="839"/>
      <c r="AR20" s="847"/>
      <c r="AS20" s="477" t="s">
        <v>1108</v>
      </c>
      <c r="AT20" s="507"/>
      <c r="AU20" s="478">
        <f t="shared" ref="AU20:AV20" si="60">+AU21+AU22</f>
        <v>0</v>
      </c>
      <c r="AV20" s="478">
        <f t="shared" si="60"/>
        <v>0</v>
      </c>
      <c r="AW20" s="841"/>
      <c r="AY20" s="834"/>
      <c r="AZ20" s="839"/>
      <c r="BA20" s="882">
        <v>81</v>
      </c>
      <c r="BB20" s="512" t="s">
        <v>1118</v>
      </c>
      <c r="BC20" s="494">
        <f t="shared" si="56"/>
        <v>0</v>
      </c>
      <c r="BD20" s="494">
        <f t="shared" si="57"/>
        <v>0</v>
      </c>
      <c r="BE20" s="494">
        <f t="shared" si="11"/>
        <v>0</v>
      </c>
      <c r="BF20" s="494">
        <f t="shared" si="58"/>
        <v>0</v>
      </c>
      <c r="BG20" s="494">
        <f t="shared" si="59"/>
        <v>0</v>
      </c>
      <c r="BH20" s="494">
        <f t="shared" si="14"/>
        <v>0</v>
      </c>
      <c r="BI20" s="841"/>
      <c r="BL20" s="839"/>
      <c r="BM20" s="846">
        <v>2000</v>
      </c>
      <c r="BN20" s="495" t="s">
        <v>1110</v>
      </c>
      <c r="BO20" s="496">
        <f t="shared" ref="BO20:BT20" si="61">SUM(BO21:BO29)</f>
        <v>2249254.52</v>
      </c>
      <c r="BP20" s="496">
        <f t="shared" si="61"/>
        <v>-349815.94999999995</v>
      </c>
      <c r="BQ20" s="496">
        <f t="shared" si="61"/>
        <v>1899438.57</v>
      </c>
      <c r="BR20" s="496">
        <f t="shared" si="61"/>
        <v>1899438.57</v>
      </c>
      <c r="BS20" s="496">
        <f t="shared" si="61"/>
        <v>1899438.57</v>
      </c>
      <c r="BT20" s="496">
        <f t="shared" si="61"/>
        <v>0</v>
      </c>
      <c r="BU20" s="841"/>
      <c r="BX20" s="839"/>
      <c r="BY20" s="846"/>
      <c r="BZ20" s="508"/>
      <c r="CA20" s="509"/>
      <c r="CB20" s="509"/>
      <c r="CC20" s="509"/>
      <c r="CD20" s="509"/>
      <c r="CE20" s="509"/>
      <c r="CF20" s="509"/>
      <c r="CG20" s="841"/>
      <c r="CJ20" s="839"/>
      <c r="CK20" s="846">
        <v>18</v>
      </c>
      <c r="CL20" s="503" t="s">
        <v>1111</v>
      </c>
      <c r="CM20" s="497">
        <f t="shared" si="41"/>
        <v>0</v>
      </c>
      <c r="CN20" s="497">
        <f t="shared" si="42"/>
        <v>0</v>
      </c>
      <c r="CO20" s="497">
        <f t="shared" si="47"/>
        <v>0</v>
      </c>
      <c r="CP20" s="497">
        <f t="shared" si="43"/>
        <v>0</v>
      </c>
      <c r="CQ20" s="497">
        <f t="shared" si="44"/>
        <v>0</v>
      </c>
      <c r="CR20" s="497">
        <f t="shared" si="48"/>
        <v>0</v>
      </c>
      <c r="CS20" s="841"/>
      <c r="CV20" s="839"/>
      <c r="CW20" s="846" t="s">
        <v>1048</v>
      </c>
      <c r="CX20" s="503" t="s">
        <v>1112</v>
      </c>
      <c r="CY20" s="497">
        <f t="shared" si="21"/>
        <v>0</v>
      </c>
      <c r="CZ20" s="497">
        <f t="shared" si="22"/>
        <v>0</v>
      </c>
      <c r="DA20" s="497">
        <f t="shared" si="23"/>
        <v>0</v>
      </c>
      <c r="DB20" s="497">
        <f t="shared" si="24"/>
        <v>0</v>
      </c>
      <c r="DC20" s="497">
        <f t="shared" si="25"/>
        <v>0</v>
      </c>
      <c r="DD20" s="497">
        <f t="shared" si="26"/>
        <v>0</v>
      </c>
      <c r="DE20" s="841"/>
    </row>
    <row r="21" spans="2:109">
      <c r="B21" s="839"/>
      <c r="C21" s="846">
        <v>1120</v>
      </c>
      <c r="D21" s="479" t="s">
        <v>1113</v>
      </c>
      <c r="E21" s="468">
        <f ca="1">SUM(E22:E28)</f>
        <v>18249.57</v>
      </c>
      <c r="F21" s="468">
        <f ca="1">SUM(F22:F28)</f>
        <v>18150.45</v>
      </c>
      <c r="G21" s="824">
        <v>2118</v>
      </c>
      <c r="H21" s="504" t="s">
        <v>1114</v>
      </c>
      <c r="I21" s="500">
        <f ca="1">-SUMIF(BC[],MID(G21,1,4)&amp;"*",bc_2017)</f>
        <v>0</v>
      </c>
      <c r="J21" s="505">
        <f ca="1">-SUMIF(BC[],MID(G21,1,4)&amp;"*",bc_2016)</f>
        <v>0</v>
      </c>
      <c r="K21" s="841"/>
      <c r="N21" s="839"/>
      <c r="O21" s="846"/>
      <c r="P21" s="489"/>
      <c r="Q21" s="489"/>
      <c r="R21" s="489"/>
      <c r="S21" s="489"/>
      <c r="T21" s="489"/>
      <c r="U21" s="489"/>
      <c r="V21" s="489"/>
      <c r="W21" s="490"/>
      <c r="X21" s="841"/>
      <c r="AA21" s="839"/>
      <c r="AB21" s="847"/>
      <c r="AC21" s="499" t="s">
        <v>1124</v>
      </c>
      <c r="AD21" s="467"/>
      <c r="AE21" s="467"/>
      <c r="AF21" s="467"/>
      <c r="AG21" s="500">
        <v>0</v>
      </c>
      <c r="AH21" s="467"/>
      <c r="AI21" s="500">
        <v>0</v>
      </c>
      <c r="AJ21" s="500">
        <v>0</v>
      </c>
      <c r="AK21" s="500">
        <v>0</v>
      </c>
      <c r="AL21" s="500">
        <v>0</v>
      </c>
      <c r="AM21" s="565">
        <f t="shared" si="55"/>
        <v>0</v>
      </c>
      <c r="AN21" s="841"/>
      <c r="AQ21" s="839"/>
      <c r="AR21" s="847"/>
      <c r="AS21" s="493" t="s">
        <v>1117</v>
      </c>
      <c r="AT21" s="507"/>
      <c r="AU21" s="501">
        <f>+AU61</f>
        <v>0</v>
      </c>
      <c r="AV21" s="501">
        <f>+AV61</f>
        <v>0</v>
      </c>
      <c r="AW21" s="841"/>
      <c r="AY21" s="834"/>
      <c r="AZ21" s="839"/>
      <c r="BA21" s="882">
        <v>81</v>
      </c>
      <c r="BB21" s="512" t="s">
        <v>1126</v>
      </c>
      <c r="BC21" s="494">
        <f t="shared" si="56"/>
        <v>0</v>
      </c>
      <c r="BD21" s="494">
        <f t="shared" si="57"/>
        <v>0</v>
      </c>
      <c r="BE21" s="494">
        <f t="shared" si="11"/>
        <v>0</v>
      </c>
      <c r="BF21" s="494">
        <f t="shared" si="58"/>
        <v>0</v>
      </c>
      <c r="BG21" s="494">
        <f t="shared" si="59"/>
        <v>0</v>
      </c>
      <c r="BH21" s="494">
        <f t="shared" si="14"/>
        <v>0</v>
      </c>
      <c r="BI21" s="841"/>
      <c r="BL21" s="839"/>
      <c r="BM21" s="846">
        <v>2100</v>
      </c>
      <c r="BN21" s="503" t="s">
        <v>1119</v>
      </c>
      <c r="BO21" s="497">
        <f t="shared" ref="BO21:BO29" si="62">SUMIF(PE_COG,MID(BM21,1,2)&amp;"*",PE_A)</f>
        <v>1161530.19</v>
      </c>
      <c r="BP21" s="497">
        <f t="shared" ref="BP21:BP29" si="63">SUMIF(PE_COG,MID(BM21,1,2)&amp;"*",PE_M)</f>
        <v>-261198.14999999997</v>
      </c>
      <c r="BQ21" s="497">
        <f t="shared" si="35"/>
        <v>900332.04</v>
      </c>
      <c r="BR21" s="497">
        <f t="shared" ref="BR21:BR29" si="64">SUMIF(PE_COG,MID(BM21,1,2)&amp;"*",PE_D)</f>
        <v>900332.04</v>
      </c>
      <c r="BS21" s="497">
        <f t="shared" ref="BS21:BS29" si="65">SUMIF(PE_COG,MID(BM21,1,2)&amp;"*",PE_P)</f>
        <v>900332.04</v>
      </c>
      <c r="BT21" s="497">
        <f t="shared" si="38"/>
        <v>0</v>
      </c>
      <c r="BU21" s="841"/>
      <c r="BX21" s="839"/>
      <c r="BY21" s="846"/>
      <c r="BZ21" s="498" t="s">
        <v>1120</v>
      </c>
      <c r="CA21" s="496">
        <f>SUM(CA22:CA29)</f>
        <v>0</v>
      </c>
      <c r="CB21" s="496">
        <f t="shared" ref="CB21:CF21" si="66">SUM(CB22:CB29)</f>
        <v>0</v>
      </c>
      <c r="CC21" s="496">
        <f t="shared" si="66"/>
        <v>0</v>
      </c>
      <c r="CD21" s="496">
        <f t="shared" si="66"/>
        <v>0</v>
      </c>
      <c r="CE21" s="496">
        <f t="shared" si="66"/>
        <v>0</v>
      </c>
      <c r="CF21" s="496">
        <f t="shared" si="66"/>
        <v>0</v>
      </c>
      <c r="CG21" s="841"/>
      <c r="CJ21" s="839"/>
      <c r="CK21" s="846"/>
      <c r="CL21" s="503"/>
      <c r="CM21" s="497"/>
      <c r="CN21" s="497"/>
      <c r="CO21" s="497"/>
      <c r="CP21" s="497"/>
      <c r="CQ21" s="497"/>
      <c r="CR21" s="497"/>
      <c r="CS21" s="841"/>
      <c r="CV21" s="839"/>
      <c r="CW21" s="846" t="s">
        <v>1048</v>
      </c>
      <c r="CX21" s="495" t="s">
        <v>1121</v>
      </c>
      <c r="CY21" s="496">
        <f t="shared" si="21"/>
        <v>0</v>
      </c>
      <c r="CZ21" s="496">
        <f t="shared" si="22"/>
        <v>0</v>
      </c>
      <c r="DA21" s="496">
        <f t="shared" si="23"/>
        <v>0</v>
      </c>
      <c r="DB21" s="496">
        <f t="shared" si="24"/>
        <v>0</v>
      </c>
      <c r="DC21" s="496">
        <f t="shared" si="25"/>
        <v>0</v>
      </c>
      <c r="DD21" s="496">
        <f t="shared" si="26"/>
        <v>0</v>
      </c>
      <c r="DE21" s="841"/>
    </row>
    <row r="22" spans="2:109">
      <c r="B22" s="839"/>
      <c r="C22" s="846">
        <v>1121</v>
      </c>
      <c r="D22" s="504" t="s">
        <v>1122</v>
      </c>
      <c r="E22" s="500">
        <f ca="1">SUMIF(BC[],MID(C22,1,4)&amp;"*",bc_2017)</f>
        <v>0</v>
      </c>
      <c r="F22" s="500">
        <f ca="1">SUMIF(BC[],MID(C22,1,4)&amp;"*",bc_2016)</f>
        <v>0</v>
      </c>
      <c r="G22" s="824">
        <v>2119</v>
      </c>
      <c r="H22" s="504" t="s">
        <v>1123</v>
      </c>
      <c r="I22" s="500">
        <f ca="1">-SUMIF(BC[],MID(G22,1,4)&amp;"*",bc_2017)</f>
        <v>0</v>
      </c>
      <c r="J22" s="505">
        <f ca="1">-SUMIF(BC[],MID(G22,1,4)&amp;"*",bc_2016)</f>
        <v>30581.239999999998</v>
      </c>
      <c r="K22" s="841"/>
      <c r="N22" s="839"/>
      <c r="O22" s="846">
        <v>2000</v>
      </c>
      <c r="P22" s="467" t="s">
        <v>1132</v>
      </c>
      <c r="Q22" s="468">
        <f ca="1">+Q11+Q20</f>
        <v>5457146.0099999998</v>
      </c>
      <c r="R22" s="468">
        <f t="shared" ref="R22:U22" ca="1" si="67">+R11+R20</f>
        <v>0</v>
      </c>
      <c r="S22" s="468">
        <f t="shared" ca="1" si="67"/>
        <v>0</v>
      </c>
      <c r="T22" s="468">
        <f t="shared" ca="1" si="67"/>
        <v>0</v>
      </c>
      <c r="U22" s="468">
        <f t="shared" ca="1" si="67"/>
        <v>7271230.9600000009</v>
      </c>
      <c r="V22" s="467"/>
      <c r="W22" s="474"/>
      <c r="X22" s="841"/>
      <c r="AA22" s="839"/>
      <c r="AB22" s="847"/>
      <c r="AC22" s="506"/>
      <c r="AD22" s="467"/>
      <c r="AE22" s="467"/>
      <c r="AF22" s="467"/>
      <c r="AG22" s="467"/>
      <c r="AH22" s="467"/>
      <c r="AI22" s="467"/>
      <c r="AJ22" s="467"/>
      <c r="AK22" s="467"/>
      <c r="AL22" s="467"/>
      <c r="AM22" s="474"/>
      <c r="AN22" s="841"/>
      <c r="AQ22" s="839"/>
      <c r="AR22" s="847"/>
      <c r="AS22" s="493" t="s">
        <v>1125</v>
      </c>
      <c r="AT22" s="507"/>
      <c r="AU22" s="501">
        <f>+AU77</f>
        <v>0</v>
      </c>
      <c r="AV22" s="501">
        <f>+AV77</f>
        <v>0</v>
      </c>
      <c r="AW22" s="841"/>
      <c r="AY22" s="834"/>
      <c r="AZ22" s="839"/>
      <c r="BA22" s="882">
        <v>81</v>
      </c>
      <c r="BB22" s="512" t="s">
        <v>1133</v>
      </c>
      <c r="BC22" s="494">
        <f t="shared" si="56"/>
        <v>0</v>
      </c>
      <c r="BD22" s="494">
        <f t="shared" si="57"/>
        <v>0</v>
      </c>
      <c r="BE22" s="494">
        <f t="shared" si="11"/>
        <v>0</v>
      </c>
      <c r="BF22" s="494">
        <f t="shared" si="58"/>
        <v>0</v>
      </c>
      <c r="BG22" s="494">
        <f t="shared" si="59"/>
        <v>0</v>
      </c>
      <c r="BH22" s="494">
        <f t="shared" si="14"/>
        <v>0</v>
      </c>
      <c r="BI22" s="841"/>
      <c r="BL22" s="839"/>
      <c r="BM22" s="846">
        <v>2200</v>
      </c>
      <c r="BN22" s="503" t="s">
        <v>1127</v>
      </c>
      <c r="BO22" s="497">
        <f t="shared" si="62"/>
        <v>33433.71</v>
      </c>
      <c r="BP22" s="497">
        <f t="shared" si="63"/>
        <v>-16966.899999999998</v>
      </c>
      <c r="BQ22" s="497">
        <f t="shared" si="35"/>
        <v>16466.810000000001</v>
      </c>
      <c r="BR22" s="497">
        <f t="shared" si="64"/>
        <v>16466.810000000001</v>
      </c>
      <c r="BS22" s="497">
        <f t="shared" si="65"/>
        <v>16466.810000000001</v>
      </c>
      <c r="BT22" s="497">
        <f t="shared" si="38"/>
        <v>0</v>
      </c>
      <c r="BU22" s="841"/>
      <c r="BX22" s="839"/>
      <c r="BY22" s="846" t="s">
        <v>1048</v>
      </c>
      <c r="BZ22" s="495" t="s">
        <v>1128</v>
      </c>
      <c r="CA22" s="497">
        <f t="shared" ref="CA22:CA29" si="68">SUMIF(PE_CA,MID(BY22,1,10)&amp;"*",PE_A)</f>
        <v>0</v>
      </c>
      <c r="CB22" s="497">
        <f t="shared" ref="CB22:CB29" si="69">SUMIF(PE_CA,MID(BY22,1,10)&amp;"*",PE_M)</f>
        <v>0</v>
      </c>
      <c r="CC22" s="497">
        <f>+CA22+CB22</f>
        <v>0</v>
      </c>
      <c r="CD22" s="497">
        <f t="shared" ref="CD22:CD29" si="70">SUMIF(PE_CA,MID(BY22,1,10)&amp;"*",PE_D)</f>
        <v>0</v>
      </c>
      <c r="CE22" s="497">
        <f t="shared" ref="CE22:CE29" si="71">SUMIF(PE_CA,MID(BY22,1,10)&amp;"*",PE_P)</f>
        <v>0</v>
      </c>
      <c r="CF22" s="497">
        <f>+CC22-CD22</f>
        <v>0</v>
      </c>
      <c r="CG22" s="841"/>
      <c r="CJ22" s="839"/>
      <c r="CK22" s="846">
        <v>20</v>
      </c>
      <c r="CL22" s="498" t="s">
        <v>1129</v>
      </c>
      <c r="CM22" s="496">
        <f t="shared" ref="CM22:CR22" si="72">SUM(CM23:CM29)</f>
        <v>0</v>
      </c>
      <c r="CN22" s="496">
        <f t="shared" si="72"/>
        <v>0</v>
      </c>
      <c r="CO22" s="496">
        <f t="shared" si="72"/>
        <v>0</v>
      </c>
      <c r="CP22" s="496">
        <f t="shared" si="72"/>
        <v>0</v>
      </c>
      <c r="CQ22" s="496">
        <f t="shared" si="72"/>
        <v>0</v>
      </c>
      <c r="CR22" s="496">
        <f t="shared" si="72"/>
        <v>0</v>
      </c>
      <c r="CS22" s="841"/>
      <c r="CV22" s="839"/>
      <c r="CW22" s="846"/>
      <c r="CX22" s="495"/>
      <c r="CY22" s="481"/>
      <c r="CZ22" s="481"/>
      <c r="DA22" s="481"/>
      <c r="DB22" s="481"/>
      <c r="DC22" s="481"/>
      <c r="DD22" s="481"/>
      <c r="DE22" s="841"/>
    </row>
    <row r="23" spans="2:109">
      <c r="B23" s="839"/>
      <c r="C23" s="846">
        <v>1122</v>
      </c>
      <c r="D23" s="504" t="s">
        <v>1130</v>
      </c>
      <c r="E23" s="500">
        <f ca="1">SUMIF(BC[],MID(C23,1,4)&amp;"*",bc_2017)</f>
        <v>18147.43</v>
      </c>
      <c r="F23" s="500">
        <f ca="1">SUMIF(BC[],MID(C23,1,4)&amp;"*",bc_2016)</f>
        <v>18147.43</v>
      </c>
      <c r="G23" s="824">
        <v>2120</v>
      </c>
      <c r="H23" s="479" t="s">
        <v>1131</v>
      </c>
      <c r="I23" s="468">
        <f ca="1">SUM(I24:I26)</f>
        <v>0</v>
      </c>
      <c r="J23" s="491">
        <f ca="1">SUM(J24:J26)</f>
        <v>0</v>
      </c>
      <c r="K23" s="841"/>
      <c r="N23" s="839"/>
      <c r="O23" s="846"/>
      <c r="P23" s="467"/>
      <c r="Q23" s="467"/>
      <c r="R23" s="467"/>
      <c r="S23" s="467"/>
      <c r="T23" s="467"/>
      <c r="U23" s="467"/>
      <c r="V23" s="467"/>
      <c r="W23" s="474"/>
      <c r="X23" s="841"/>
      <c r="AA23" s="839"/>
      <c r="AB23" s="847"/>
      <c r="AC23" s="492" t="s">
        <v>1140</v>
      </c>
      <c r="AD23" s="467"/>
      <c r="AE23" s="467"/>
      <c r="AF23" s="467"/>
      <c r="AG23" s="468">
        <f>+AG11+AG17</f>
        <v>0</v>
      </c>
      <c r="AH23" s="467"/>
      <c r="AI23" s="468">
        <f t="shared" ref="AI23:AJ23" si="73">+AI11+AI17</f>
        <v>0</v>
      </c>
      <c r="AJ23" s="468">
        <f t="shared" si="73"/>
        <v>0</v>
      </c>
      <c r="AK23" s="468">
        <f>+AK11+AK17</f>
        <v>0</v>
      </c>
      <c r="AL23" s="468">
        <f>+AL11+AL17</f>
        <v>0</v>
      </c>
      <c r="AM23" s="491">
        <f>+AM11+AM17</f>
        <v>0</v>
      </c>
      <c r="AN23" s="841"/>
      <c r="AQ23" s="839"/>
      <c r="AR23" s="847"/>
      <c r="AS23" s="470"/>
      <c r="AT23" s="471"/>
      <c r="AU23" s="471"/>
      <c r="AV23" s="472"/>
      <c r="AW23" s="841"/>
      <c r="AY23" s="834"/>
      <c r="AZ23" s="839"/>
      <c r="BA23" s="882">
        <v>81</v>
      </c>
      <c r="BB23" s="512" t="s">
        <v>1142</v>
      </c>
      <c r="BC23" s="494">
        <f t="shared" si="56"/>
        <v>0</v>
      </c>
      <c r="BD23" s="494">
        <f t="shared" si="57"/>
        <v>0</v>
      </c>
      <c r="BE23" s="494">
        <f t="shared" si="11"/>
        <v>0</v>
      </c>
      <c r="BF23" s="494">
        <f t="shared" si="58"/>
        <v>0</v>
      </c>
      <c r="BG23" s="494">
        <f t="shared" si="59"/>
        <v>0</v>
      </c>
      <c r="BH23" s="494">
        <f t="shared" si="14"/>
        <v>0</v>
      </c>
      <c r="BI23" s="841"/>
      <c r="BL23" s="839"/>
      <c r="BM23" s="846">
        <v>2300</v>
      </c>
      <c r="BN23" s="503" t="s">
        <v>1134</v>
      </c>
      <c r="BO23" s="497">
        <f t="shared" si="62"/>
        <v>0</v>
      </c>
      <c r="BP23" s="497">
        <f t="shared" si="63"/>
        <v>0</v>
      </c>
      <c r="BQ23" s="497">
        <f t="shared" si="35"/>
        <v>0</v>
      </c>
      <c r="BR23" s="497">
        <f t="shared" si="64"/>
        <v>0</v>
      </c>
      <c r="BS23" s="497">
        <f t="shared" si="65"/>
        <v>0</v>
      </c>
      <c r="BT23" s="497">
        <f t="shared" si="38"/>
        <v>0</v>
      </c>
      <c r="BU23" s="841"/>
      <c r="BX23" s="839"/>
      <c r="BY23" s="846" t="s">
        <v>1048</v>
      </c>
      <c r="BZ23" s="495" t="s">
        <v>1135</v>
      </c>
      <c r="CA23" s="497">
        <f t="shared" si="68"/>
        <v>0</v>
      </c>
      <c r="CB23" s="497">
        <f t="shared" si="69"/>
        <v>0</v>
      </c>
      <c r="CC23" s="497">
        <f t="shared" ref="CC23:CC29" si="74">+CA23+CB23</f>
        <v>0</v>
      </c>
      <c r="CD23" s="497">
        <f t="shared" si="70"/>
        <v>0</v>
      </c>
      <c r="CE23" s="497">
        <f t="shared" si="71"/>
        <v>0</v>
      </c>
      <c r="CF23" s="497">
        <f t="shared" ref="CF23:CF29" si="75">+CC23-CD23</f>
        <v>0</v>
      </c>
      <c r="CG23" s="841"/>
      <c r="CJ23" s="839"/>
      <c r="CK23" s="846">
        <v>21</v>
      </c>
      <c r="CL23" s="503" t="s">
        <v>1136</v>
      </c>
      <c r="CM23" s="497">
        <f t="shared" ref="CM23:CM29" si="76">SUMIF(PE_CFG,MID(CK22,1,1)&amp;"."&amp;MID(CK22,2,1)&amp;".*",PE_A)</f>
        <v>0</v>
      </c>
      <c r="CN23" s="497">
        <f t="shared" ref="CN23:CN29" si="77">SUMIF(PE_CFG,MID(CK22,1,1)&amp;"."&amp;MID(CK22,2,1)&amp;".*",PE_M)</f>
        <v>0</v>
      </c>
      <c r="CO23" s="497">
        <f t="shared" ref="CO23:CO29" si="78">+CM23+CN23</f>
        <v>0</v>
      </c>
      <c r="CP23" s="497">
        <f t="shared" ref="CP23:CP29" si="79">SUMIF(PE_CFG,MID(CK22,1,1)&amp;"."&amp;MID(CK22,2,1)&amp;".*",PE_D)</f>
        <v>0</v>
      </c>
      <c r="CQ23" s="497">
        <f t="shared" ref="CQ23:CQ29" si="80">SUMIF(PE_CFG,MID(CK22,1,1)&amp;"."&amp;MID(CK22,2,1)&amp;".*",PE_P)</f>
        <v>0</v>
      </c>
      <c r="CR23" s="497">
        <f t="shared" ref="CR23:CR29" si="81">+CO23-CP23</f>
        <v>0</v>
      </c>
      <c r="CS23" s="841"/>
      <c r="CV23" s="839"/>
      <c r="CW23" s="846"/>
      <c r="CX23" s="498" t="s">
        <v>1137</v>
      </c>
      <c r="CY23" s="496">
        <f>+CY24+CY25+CY26+CY29+CY30+CY33</f>
        <v>0</v>
      </c>
      <c r="CZ23" s="496">
        <f t="shared" ref="CZ23:DD23" si="82">+CZ24+CZ25+CZ26+CZ29+CZ30+CZ33</f>
        <v>0</v>
      </c>
      <c r="DA23" s="496">
        <f t="shared" si="82"/>
        <v>0</v>
      </c>
      <c r="DB23" s="496">
        <f t="shared" si="82"/>
        <v>0</v>
      </c>
      <c r="DC23" s="496">
        <f t="shared" si="82"/>
        <v>0</v>
      </c>
      <c r="DD23" s="496">
        <f t="shared" si="82"/>
        <v>0</v>
      </c>
      <c r="DE23" s="841"/>
    </row>
    <row r="24" spans="2:109">
      <c r="B24" s="839"/>
      <c r="C24" s="846">
        <v>1123</v>
      </c>
      <c r="D24" s="504" t="s">
        <v>1138</v>
      </c>
      <c r="E24" s="500">
        <f ca="1">SUMIF(BC[],MID(C24,1,4)&amp;"*",bc_2017)</f>
        <v>0.02</v>
      </c>
      <c r="F24" s="500">
        <f ca="1">SUMIF(BC[],MID(C24,1,4)&amp;"*",bc_2016)</f>
        <v>0</v>
      </c>
      <c r="G24" s="824">
        <v>2121</v>
      </c>
      <c r="H24" s="504" t="s">
        <v>1139</v>
      </c>
      <c r="I24" s="500">
        <f ca="1">-SUMIF(BC[],MID(G24,1,4)&amp;"*",bc_2017)</f>
        <v>0</v>
      </c>
      <c r="J24" s="505">
        <f ca="1">-SUMIF(BC[],MID(G24,1,4)&amp;"*",bc_2016)</f>
        <v>0</v>
      </c>
      <c r="K24" s="841"/>
      <c r="N24" s="839"/>
      <c r="O24" s="846"/>
      <c r="P24" s="467" t="s">
        <v>1148</v>
      </c>
      <c r="Q24" s="467"/>
      <c r="R24" s="467"/>
      <c r="S24" s="467"/>
      <c r="T24" s="467"/>
      <c r="U24" s="467"/>
      <c r="V24" s="467"/>
      <c r="W24" s="474"/>
      <c r="X24" s="841"/>
      <c r="AA24" s="839"/>
      <c r="AB24" s="848"/>
      <c r="AC24" s="513"/>
      <c r="AD24" s="514"/>
      <c r="AE24" s="514"/>
      <c r="AF24" s="514"/>
      <c r="AG24" s="514"/>
      <c r="AH24" s="514"/>
      <c r="AI24" s="514"/>
      <c r="AJ24" s="514"/>
      <c r="AK24" s="514"/>
      <c r="AL24" s="514"/>
      <c r="AM24" s="515"/>
      <c r="AN24" s="841"/>
      <c r="AQ24" s="839"/>
      <c r="AR24" s="847"/>
      <c r="AS24" s="477" t="s">
        <v>1141</v>
      </c>
      <c r="AT24" s="478">
        <f>+AT11-AT16-AT20</f>
        <v>0</v>
      </c>
      <c r="AU24" s="478">
        <f t="shared" ref="AU24:AV24" si="83">+AU11-AU16-AU20</f>
        <v>2670534.3100000024</v>
      </c>
      <c r="AV24" s="478">
        <f t="shared" si="83"/>
        <v>3991643.1599999815</v>
      </c>
      <c r="AW24" s="841"/>
      <c r="AY24" s="834"/>
      <c r="AZ24" s="839"/>
      <c r="BA24" s="882">
        <v>81</v>
      </c>
      <c r="BB24" s="512" t="s">
        <v>1150</v>
      </c>
      <c r="BC24" s="494">
        <f t="shared" si="56"/>
        <v>0</v>
      </c>
      <c r="BD24" s="494">
        <f t="shared" si="57"/>
        <v>0</v>
      </c>
      <c r="BE24" s="494">
        <f t="shared" si="11"/>
        <v>0</v>
      </c>
      <c r="BF24" s="494">
        <f t="shared" si="58"/>
        <v>0</v>
      </c>
      <c r="BG24" s="494">
        <f t="shared" si="59"/>
        <v>0</v>
      </c>
      <c r="BH24" s="494">
        <f t="shared" si="14"/>
        <v>0</v>
      </c>
      <c r="BI24" s="841"/>
      <c r="BL24" s="839"/>
      <c r="BM24" s="846">
        <v>2400</v>
      </c>
      <c r="BN24" s="503" t="s">
        <v>1143</v>
      </c>
      <c r="BO24" s="497">
        <f t="shared" si="62"/>
        <v>77471.66</v>
      </c>
      <c r="BP24" s="497">
        <f t="shared" si="63"/>
        <v>-46051.489999999991</v>
      </c>
      <c r="BQ24" s="497">
        <f t="shared" si="35"/>
        <v>31420.170000000013</v>
      </c>
      <c r="BR24" s="497">
        <f t="shared" si="64"/>
        <v>31420.17</v>
      </c>
      <c r="BS24" s="497">
        <f t="shared" si="65"/>
        <v>31420.17</v>
      </c>
      <c r="BT24" s="497">
        <f t="shared" si="38"/>
        <v>0</v>
      </c>
      <c r="BU24" s="841"/>
      <c r="BX24" s="839"/>
      <c r="BY24" s="846" t="s">
        <v>1048</v>
      </c>
      <c r="BZ24" s="495" t="s">
        <v>1144</v>
      </c>
      <c r="CA24" s="497">
        <f t="shared" si="68"/>
        <v>0</v>
      </c>
      <c r="CB24" s="497">
        <f t="shared" si="69"/>
        <v>0</v>
      </c>
      <c r="CC24" s="497">
        <f t="shared" si="74"/>
        <v>0</v>
      </c>
      <c r="CD24" s="497">
        <f t="shared" si="70"/>
        <v>0</v>
      </c>
      <c r="CE24" s="497">
        <f t="shared" si="71"/>
        <v>0</v>
      </c>
      <c r="CF24" s="497">
        <f t="shared" si="75"/>
        <v>0</v>
      </c>
      <c r="CG24" s="841"/>
      <c r="CJ24" s="839"/>
      <c r="CK24" s="846">
        <v>22</v>
      </c>
      <c r="CL24" s="503" t="s">
        <v>1145</v>
      </c>
      <c r="CM24" s="497">
        <f t="shared" si="76"/>
        <v>0</v>
      </c>
      <c r="CN24" s="497">
        <f t="shared" si="77"/>
        <v>0</v>
      </c>
      <c r="CO24" s="497">
        <f t="shared" si="78"/>
        <v>0</v>
      </c>
      <c r="CP24" s="497">
        <f t="shared" si="79"/>
        <v>0</v>
      </c>
      <c r="CQ24" s="497">
        <f t="shared" si="80"/>
        <v>0</v>
      </c>
      <c r="CR24" s="497">
        <f t="shared" si="81"/>
        <v>0</v>
      </c>
      <c r="CS24" s="841"/>
      <c r="CV24" s="839"/>
      <c r="CW24" s="846" t="s">
        <v>1048</v>
      </c>
      <c r="CX24" s="495" t="s">
        <v>1039</v>
      </c>
      <c r="CY24" s="496">
        <f t="shared" ref="CY24:CY33" si="84">SUMIF(PE_COG,MID(CW24,1,1)&amp;"*",PE_A)</f>
        <v>0</v>
      </c>
      <c r="CZ24" s="496">
        <f t="shared" ref="CZ24:CZ33" si="85">SUMIF(PE_COG,MID(CW24,1,1)&amp;"*",PE_M)</f>
        <v>0</v>
      </c>
      <c r="DA24" s="496">
        <f t="shared" ref="DA24:DA33" si="86">+CY24+CZ24</f>
        <v>0</v>
      </c>
      <c r="DB24" s="496">
        <f t="shared" ref="DB24:DB33" si="87">SUMIF(PE_COG,MID(CW24,1,1)&amp;"*",PE_D)</f>
        <v>0</v>
      </c>
      <c r="DC24" s="496">
        <f t="shared" ref="DC24:DC33" si="88">SUMIF(PE_COG,MID(CW24,1,1)&amp;"*",PE_P)</f>
        <v>0</v>
      </c>
      <c r="DD24" s="496">
        <f t="shared" ref="DD24:DD33" si="89">+DA24-DB24</f>
        <v>0</v>
      </c>
      <c r="DE24" s="841"/>
    </row>
    <row r="25" spans="2:109" ht="12.75" thickBot="1">
      <c r="B25" s="839"/>
      <c r="C25" s="846">
        <v>1124</v>
      </c>
      <c r="D25" s="504" t="s">
        <v>1146</v>
      </c>
      <c r="E25" s="500">
        <f ca="1">SUMIF(BC[],MID(C25,1,4)&amp;"*",bc_2017)</f>
        <v>0</v>
      </c>
      <c r="F25" s="500">
        <f ca="1">SUMIF(BC[],MID(C25,1,4)&amp;"*",bc_2016)</f>
        <v>0</v>
      </c>
      <c r="G25" s="824">
        <v>2122</v>
      </c>
      <c r="H25" s="504" t="s">
        <v>1147</v>
      </c>
      <c r="I25" s="500">
        <f ca="1">-SUMIF(BC[],MID(G25,1,4)&amp;"*",bc_2017)</f>
        <v>0</v>
      </c>
      <c r="J25" s="505">
        <f ca="1">-SUMIF(BC[],MID(G25,1,4)&amp;"*",bc_2016)</f>
        <v>0</v>
      </c>
      <c r="K25" s="841"/>
      <c r="N25" s="839"/>
      <c r="O25" s="846"/>
      <c r="P25" s="489" t="s">
        <v>1156</v>
      </c>
      <c r="Q25" s="500">
        <v>0</v>
      </c>
      <c r="R25" s="500">
        <v>0</v>
      </c>
      <c r="S25" s="500">
        <v>0</v>
      </c>
      <c r="T25" s="500">
        <v>0</v>
      </c>
      <c r="U25" s="500">
        <v>0</v>
      </c>
      <c r="V25" s="475"/>
      <c r="W25" s="476"/>
      <c r="X25" s="841"/>
      <c r="AA25" s="849"/>
      <c r="AB25" s="850"/>
      <c r="AC25" s="850"/>
      <c r="AD25" s="850"/>
      <c r="AE25" s="850"/>
      <c r="AF25" s="850"/>
      <c r="AG25" s="850"/>
      <c r="AH25" s="850"/>
      <c r="AI25" s="850"/>
      <c r="AJ25" s="850"/>
      <c r="AK25" s="850"/>
      <c r="AL25" s="850"/>
      <c r="AM25" s="850"/>
      <c r="AN25" s="851"/>
      <c r="AQ25" s="839"/>
      <c r="AR25" s="847"/>
      <c r="AS25" s="477" t="s">
        <v>1149</v>
      </c>
      <c r="AT25" s="478">
        <f>+AT24-AT14</f>
        <v>0</v>
      </c>
      <c r="AU25" s="478">
        <f t="shared" ref="AU25:AV25" si="90">+AU24-AU14</f>
        <v>2670534.3100000024</v>
      </c>
      <c r="AV25" s="478">
        <f t="shared" si="90"/>
        <v>3991643.1599999815</v>
      </c>
      <c r="AW25" s="841"/>
      <c r="AY25" s="834"/>
      <c r="AZ25" s="839"/>
      <c r="BA25" s="882">
        <v>81</v>
      </c>
      <c r="BB25" s="512" t="s">
        <v>1158</v>
      </c>
      <c r="BC25" s="494">
        <f t="shared" si="56"/>
        <v>0</v>
      </c>
      <c r="BD25" s="494">
        <f t="shared" si="57"/>
        <v>0</v>
      </c>
      <c r="BE25" s="494">
        <f t="shared" si="11"/>
        <v>0</v>
      </c>
      <c r="BF25" s="494">
        <f t="shared" si="58"/>
        <v>0</v>
      </c>
      <c r="BG25" s="494">
        <f t="shared" si="59"/>
        <v>0</v>
      </c>
      <c r="BH25" s="494">
        <f t="shared" si="14"/>
        <v>0</v>
      </c>
      <c r="BI25" s="841"/>
      <c r="BL25" s="839"/>
      <c r="BM25" s="846">
        <v>2500</v>
      </c>
      <c r="BN25" s="503" t="s">
        <v>1151</v>
      </c>
      <c r="BO25" s="497">
        <f t="shared" si="62"/>
        <v>2980.42</v>
      </c>
      <c r="BP25" s="497">
        <f t="shared" si="63"/>
        <v>-1415.92</v>
      </c>
      <c r="BQ25" s="497">
        <f t="shared" si="35"/>
        <v>1564.5</v>
      </c>
      <c r="BR25" s="497">
        <f t="shared" si="64"/>
        <v>1564.5</v>
      </c>
      <c r="BS25" s="497">
        <f t="shared" si="65"/>
        <v>1564.5</v>
      </c>
      <c r="BT25" s="497">
        <f t="shared" si="38"/>
        <v>0</v>
      </c>
      <c r="BU25" s="841"/>
      <c r="BX25" s="839"/>
      <c r="BY25" s="846" t="s">
        <v>1048</v>
      </c>
      <c r="BZ25" s="495" t="s">
        <v>1152</v>
      </c>
      <c r="CA25" s="497">
        <f t="shared" si="68"/>
        <v>0</v>
      </c>
      <c r="CB25" s="497">
        <f t="shared" si="69"/>
        <v>0</v>
      </c>
      <c r="CC25" s="497">
        <f t="shared" si="74"/>
        <v>0</v>
      </c>
      <c r="CD25" s="497">
        <f t="shared" si="70"/>
        <v>0</v>
      </c>
      <c r="CE25" s="497">
        <f t="shared" si="71"/>
        <v>0</v>
      </c>
      <c r="CF25" s="497">
        <f t="shared" si="75"/>
        <v>0</v>
      </c>
      <c r="CG25" s="841"/>
      <c r="CJ25" s="839"/>
      <c r="CK25" s="846">
        <v>23</v>
      </c>
      <c r="CL25" s="503" t="s">
        <v>1153</v>
      </c>
      <c r="CM25" s="497">
        <f t="shared" si="76"/>
        <v>0</v>
      </c>
      <c r="CN25" s="497">
        <f t="shared" si="77"/>
        <v>0</v>
      </c>
      <c r="CO25" s="497">
        <f t="shared" si="78"/>
        <v>0</v>
      </c>
      <c r="CP25" s="497">
        <f t="shared" si="79"/>
        <v>0</v>
      </c>
      <c r="CQ25" s="497">
        <f t="shared" si="80"/>
        <v>0</v>
      </c>
      <c r="CR25" s="497">
        <f t="shared" si="81"/>
        <v>0</v>
      </c>
      <c r="CS25" s="841"/>
      <c r="CV25" s="839"/>
      <c r="CW25" s="846" t="s">
        <v>1048</v>
      </c>
      <c r="CX25" s="495" t="s">
        <v>1049</v>
      </c>
      <c r="CY25" s="496">
        <f t="shared" si="84"/>
        <v>0</v>
      </c>
      <c r="CZ25" s="496">
        <f t="shared" si="85"/>
        <v>0</v>
      </c>
      <c r="DA25" s="496">
        <f t="shared" si="86"/>
        <v>0</v>
      </c>
      <c r="DB25" s="496">
        <f t="shared" si="87"/>
        <v>0</v>
      </c>
      <c r="DC25" s="496">
        <f t="shared" si="88"/>
        <v>0</v>
      </c>
      <c r="DD25" s="496">
        <f t="shared" si="89"/>
        <v>0</v>
      </c>
      <c r="DE25" s="841"/>
    </row>
    <row r="26" spans="2:109" ht="24">
      <c r="B26" s="839"/>
      <c r="C26" s="846">
        <v>1125</v>
      </c>
      <c r="D26" s="504" t="s">
        <v>1154</v>
      </c>
      <c r="E26" s="500">
        <f ca="1">SUMIF(BC[],MID(C26,1,4)&amp;"*",bc_2017)</f>
        <v>0</v>
      </c>
      <c r="F26" s="500">
        <f ca="1">SUMIF(BC[],MID(C26,1,4)&amp;"*",bc_2016)</f>
        <v>0</v>
      </c>
      <c r="G26" s="824">
        <v>2129</v>
      </c>
      <c r="H26" s="504" t="s">
        <v>1155</v>
      </c>
      <c r="I26" s="500">
        <f ca="1">-SUMIF(BC[],MID(G26,1,4)&amp;"*",bc_2017)</f>
        <v>0</v>
      </c>
      <c r="J26" s="505">
        <f ca="1">-SUMIF(BC[],MID(G26,1,4)&amp;"*",bc_2016)</f>
        <v>0</v>
      </c>
      <c r="K26" s="841"/>
      <c r="N26" s="839"/>
      <c r="O26" s="846"/>
      <c r="P26" s="489" t="s">
        <v>1164</v>
      </c>
      <c r="Q26" s="500">
        <v>0</v>
      </c>
      <c r="R26" s="500">
        <v>0</v>
      </c>
      <c r="S26" s="500">
        <v>0</v>
      </c>
      <c r="T26" s="500">
        <v>0</v>
      </c>
      <c r="U26" s="500">
        <v>0</v>
      </c>
      <c r="V26" s="475"/>
      <c r="W26" s="476"/>
      <c r="X26" s="841"/>
      <c r="AQ26" s="839"/>
      <c r="AR26" s="847"/>
      <c r="AS26" s="477" t="s">
        <v>1157</v>
      </c>
      <c r="AT26" s="478">
        <f>+AT25-AT20</f>
        <v>0</v>
      </c>
      <c r="AU26" s="478">
        <f t="shared" ref="AU26:AV26" si="91">+AU25-AU20</f>
        <v>2670534.3100000024</v>
      </c>
      <c r="AV26" s="478">
        <f t="shared" si="91"/>
        <v>3991643.1599999815</v>
      </c>
      <c r="AW26" s="841"/>
      <c r="AY26" s="834"/>
      <c r="AZ26" s="839"/>
      <c r="BA26" s="882">
        <v>81</v>
      </c>
      <c r="BB26" s="512" t="s">
        <v>1165</v>
      </c>
      <c r="BC26" s="494">
        <f t="shared" si="56"/>
        <v>0</v>
      </c>
      <c r="BD26" s="494">
        <f t="shared" si="57"/>
        <v>0</v>
      </c>
      <c r="BE26" s="494">
        <f t="shared" si="11"/>
        <v>0</v>
      </c>
      <c r="BF26" s="494">
        <f t="shared" si="58"/>
        <v>0</v>
      </c>
      <c r="BG26" s="494">
        <f t="shared" si="59"/>
        <v>0</v>
      </c>
      <c r="BH26" s="494">
        <f t="shared" si="14"/>
        <v>0</v>
      </c>
      <c r="BI26" s="841"/>
      <c r="BL26" s="839"/>
      <c r="BM26" s="846">
        <v>2600</v>
      </c>
      <c r="BN26" s="503" t="s">
        <v>1159</v>
      </c>
      <c r="BO26" s="497">
        <f t="shared" si="62"/>
        <v>809561.62000000011</v>
      </c>
      <c r="BP26" s="497">
        <f t="shared" si="63"/>
        <v>-32779.580000000024</v>
      </c>
      <c r="BQ26" s="497">
        <f t="shared" si="35"/>
        <v>776782.04</v>
      </c>
      <c r="BR26" s="497">
        <f t="shared" si="64"/>
        <v>776782.04</v>
      </c>
      <c r="BS26" s="497">
        <f t="shared" si="65"/>
        <v>776782.04</v>
      </c>
      <c r="BT26" s="497">
        <f t="shared" si="38"/>
        <v>0</v>
      </c>
      <c r="BU26" s="841"/>
      <c r="BX26" s="839"/>
      <c r="BY26" s="846" t="s">
        <v>1048</v>
      </c>
      <c r="BZ26" s="495" t="s">
        <v>1160</v>
      </c>
      <c r="CA26" s="497">
        <f t="shared" si="68"/>
        <v>0</v>
      </c>
      <c r="CB26" s="497">
        <f t="shared" si="69"/>
        <v>0</v>
      </c>
      <c r="CC26" s="497">
        <f t="shared" si="74"/>
        <v>0</v>
      </c>
      <c r="CD26" s="497">
        <f t="shared" si="70"/>
        <v>0</v>
      </c>
      <c r="CE26" s="497">
        <f t="shared" si="71"/>
        <v>0</v>
      </c>
      <c r="CF26" s="497">
        <f t="shared" si="75"/>
        <v>0</v>
      </c>
      <c r="CG26" s="841"/>
      <c r="CJ26" s="839"/>
      <c r="CK26" s="846">
        <v>24</v>
      </c>
      <c r="CL26" s="503" t="s">
        <v>1161</v>
      </c>
      <c r="CM26" s="497">
        <f t="shared" si="76"/>
        <v>0</v>
      </c>
      <c r="CN26" s="497">
        <f t="shared" si="77"/>
        <v>0</v>
      </c>
      <c r="CO26" s="497">
        <f t="shared" si="78"/>
        <v>0</v>
      </c>
      <c r="CP26" s="497">
        <f t="shared" si="79"/>
        <v>0</v>
      </c>
      <c r="CQ26" s="497">
        <f t="shared" si="80"/>
        <v>0</v>
      </c>
      <c r="CR26" s="497">
        <f t="shared" si="81"/>
        <v>0</v>
      </c>
      <c r="CS26" s="841"/>
      <c r="CV26" s="839"/>
      <c r="CW26" s="846" t="s">
        <v>1048</v>
      </c>
      <c r="CX26" s="495" t="s">
        <v>1058</v>
      </c>
      <c r="CY26" s="496">
        <f t="shared" si="84"/>
        <v>0</v>
      </c>
      <c r="CZ26" s="496">
        <f t="shared" si="85"/>
        <v>0</v>
      </c>
      <c r="DA26" s="496">
        <f t="shared" si="86"/>
        <v>0</v>
      </c>
      <c r="DB26" s="496">
        <f t="shared" si="87"/>
        <v>0</v>
      </c>
      <c r="DC26" s="496">
        <f t="shared" si="88"/>
        <v>0</v>
      </c>
      <c r="DD26" s="496">
        <f t="shared" si="89"/>
        <v>0</v>
      </c>
      <c r="DE26" s="841"/>
    </row>
    <row r="27" spans="2:109">
      <c r="B27" s="839"/>
      <c r="C27" s="846">
        <v>1126</v>
      </c>
      <c r="D27" s="504" t="s">
        <v>1162</v>
      </c>
      <c r="E27" s="500">
        <f ca="1">SUMIF(BC[],MID(C27,1,4)&amp;"*",bc_2017)</f>
        <v>0</v>
      </c>
      <c r="F27" s="500">
        <f ca="1">SUMIF(BC[],MID(C27,1,4)&amp;"*",bc_2016)</f>
        <v>0</v>
      </c>
      <c r="G27" s="824">
        <v>2130</v>
      </c>
      <c r="H27" s="479" t="s">
        <v>1163</v>
      </c>
      <c r="I27" s="468">
        <f ca="1">SUM(I28:I29)</f>
        <v>0</v>
      </c>
      <c r="J27" s="491">
        <f ca="1">SUM(J28:J29)</f>
        <v>0</v>
      </c>
      <c r="K27" s="841"/>
      <c r="N27" s="839"/>
      <c r="O27" s="846"/>
      <c r="P27" s="489" t="s">
        <v>1170</v>
      </c>
      <c r="Q27" s="500">
        <v>0</v>
      </c>
      <c r="R27" s="500">
        <v>0</v>
      </c>
      <c r="S27" s="500">
        <v>0</v>
      </c>
      <c r="T27" s="500">
        <v>0</v>
      </c>
      <c r="U27" s="500">
        <v>0</v>
      </c>
      <c r="V27" s="475"/>
      <c r="W27" s="476"/>
      <c r="X27" s="841"/>
      <c r="AQ27" s="839"/>
      <c r="AR27" s="848"/>
      <c r="AS27" s="516"/>
      <c r="AT27" s="517"/>
      <c r="AU27" s="517"/>
      <c r="AV27" s="518"/>
      <c r="AW27" s="841"/>
      <c r="AY27" s="834"/>
      <c r="AZ27" s="839"/>
      <c r="BA27" s="882">
        <v>81</v>
      </c>
      <c r="BB27" s="512" t="s">
        <v>1171</v>
      </c>
      <c r="BC27" s="494">
        <f t="shared" si="56"/>
        <v>0</v>
      </c>
      <c r="BD27" s="494">
        <f t="shared" si="57"/>
        <v>0</v>
      </c>
      <c r="BE27" s="494">
        <f t="shared" si="11"/>
        <v>0</v>
      </c>
      <c r="BF27" s="494">
        <f t="shared" si="58"/>
        <v>0</v>
      </c>
      <c r="BG27" s="494">
        <f t="shared" si="59"/>
        <v>0</v>
      </c>
      <c r="BH27" s="494">
        <f t="shared" si="14"/>
        <v>0</v>
      </c>
      <c r="BI27" s="841"/>
      <c r="BL27" s="839"/>
      <c r="BM27" s="846">
        <v>2700</v>
      </c>
      <c r="BN27" s="503" t="s">
        <v>1166</v>
      </c>
      <c r="BO27" s="497">
        <f t="shared" si="62"/>
        <v>82250.880000000005</v>
      </c>
      <c r="BP27" s="497">
        <f t="shared" si="63"/>
        <v>-217.02999999997792</v>
      </c>
      <c r="BQ27" s="497">
        <f t="shared" si="35"/>
        <v>82033.85000000002</v>
      </c>
      <c r="BR27" s="497">
        <f t="shared" si="64"/>
        <v>82033.850000000006</v>
      </c>
      <c r="BS27" s="497">
        <f t="shared" si="65"/>
        <v>82033.850000000006</v>
      </c>
      <c r="BT27" s="497">
        <f t="shared" si="38"/>
        <v>0</v>
      </c>
      <c r="BU27" s="841"/>
      <c r="BX27" s="839"/>
      <c r="BY27" s="846" t="s">
        <v>1048</v>
      </c>
      <c r="BZ27" s="495" t="s">
        <v>1082</v>
      </c>
      <c r="CA27" s="497">
        <f t="shared" si="68"/>
        <v>0</v>
      </c>
      <c r="CB27" s="497">
        <f t="shared" si="69"/>
        <v>0</v>
      </c>
      <c r="CC27" s="497">
        <f t="shared" si="74"/>
        <v>0</v>
      </c>
      <c r="CD27" s="497">
        <f t="shared" si="70"/>
        <v>0</v>
      </c>
      <c r="CE27" s="497">
        <f t="shared" si="71"/>
        <v>0</v>
      </c>
      <c r="CF27" s="497">
        <f t="shared" si="75"/>
        <v>0</v>
      </c>
      <c r="CG27" s="841"/>
      <c r="CJ27" s="839"/>
      <c r="CK27" s="846">
        <v>25</v>
      </c>
      <c r="CL27" s="503" t="s">
        <v>1167</v>
      </c>
      <c r="CM27" s="497">
        <f t="shared" si="76"/>
        <v>0</v>
      </c>
      <c r="CN27" s="497">
        <f t="shared" si="77"/>
        <v>0</v>
      </c>
      <c r="CO27" s="497">
        <f t="shared" si="78"/>
        <v>0</v>
      </c>
      <c r="CP27" s="497">
        <f t="shared" si="79"/>
        <v>0</v>
      </c>
      <c r="CQ27" s="497">
        <f t="shared" si="80"/>
        <v>0</v>
      </c>
      <c r="CR27" s="497">
        <f t="shared" si="81"/>
        <v>0</v>
      </c>
      <c r="CS27" s="841"/>
      <c r="CV27" s="839"/>
      <c r="CW27" s="846" t="s">
        <v>1048</v>
      </c>
      <c r="CX27" s="503" t="s">
        <v>1066</v>
      </c>
      <c r="CY27" s="497">
        <f t="shared" si="84"/>
        <v>0</v>
      </c>
      <c r="CZ27" s="497">
        <f t="shared" si="85"/>
        <v>0</v>
      </c>
      <c r="DA27" s="497">
        <f t="shared" si="86"/>
        <v>0</v>
      </c>
      <c r="DB27" s="497">
        <f t="shared" si="87"/>
        <v>0</v>
      </c>
      <c r="DC27" s="497">
        <f t="shared" si="88"/>
        <v>0</v>
      </c>
      <c r="DD27" s="497">
        <f t="shared" si="89"/>
        <v>0</v>
      </c>
      <c r="DE27" s="841"/>
    </row>
    <row r="28" spans="2:109">
      <c r="B28" s="839"/>
      <c r="C28" s="846">
        <v>1129</v>
      </c>
      <c r="D28" s="504" t="s">
        <v>1168</v>
      </c>
      <c r="E28" s="500">
        <f ca="1">SUMIF(BC[],MID(C28,1,4)&amp;"*",bc_2017)</f>
        <v>102.12</v>
      </c>
      <c r="F28" s="500">
        <f ca="1">SUMIF(BC[],MID(C28,1,4)&amp;"*",bc_2016)</f>
        <v>3.02</v>
      </c>
      <c r="G28" s="824">
        <v>2131</v>
      </c>
      <c r="H28" s="504" t="s">
        <v>1169</v>
      </c>
      <c r="I28" s="500">
        <f ca="1">-SUMIF(BC[],MID(G28,1,4)&amp;"*",bc_2017)</f>
        <v>0</v>
      </c>
      <c r="J28" s="505">
        <f ca="1">-SUMIF(BC[],MID(G28,1,4)&amp;"*",bc_2016)</f>
        <v>0</v>
      </c>
      <c r="K28" s="841"/>
      <c r="N28" s="839"/>
      <c r="O28" s="846"/>
      <c r="P28" s="475"/>
      <c r="Q28" s="475"/>
      <c r="R28" s="475"/>
      <c r="S28" s="475"/>
      <c r="T28" s="475"/>
      <c r="U28" s="475"/>
      <c r="V28" s="475"/>
      <c r="W28" s="476"/>
      <c r="X28" s="841"/>
      <c r="AQ28" s="839"/>
      <c r="AR28" s="834"/>
      <c r="AS28" s="834"/>
      <c r="AT28" s="834"/>
      <c r="AU28" s="834"/>
      <c r="AV28" s="834"/>
      <c r="AW28" s="841"/>
      <c r="AY28" s="834"/>
      <c r="AZ28" s="839"/>
      <c r="BA28" s="882">
        <v>81</v>
      </c>
      <c r="BB28" s="512" t="s">
        <v>1176</v>
      </c>
      <c r="BC28" s="494">
        <f t="shared" si="56"/>
        <v>0</v>
      </c>
      <c r="BD28" s="494">
        <f t="shared" si="57"/>
        <v>0</v>
      </c>
      <c r="BE28" s="494">
        <f t="shared" si="11"/>
        <v>0</v>
      </c>
      <c r="BF28" s="494">
        <f t="shared" si="58"/>
        <v>0</v>
      </c>
      <c r="BG28" s="494">
        <f t="shared" si="59"/>
        <v>0</v>
      </c>
      <c r="BH28" s="494">
        <f t="shared" si="14"/>
        <v>0</v>
      </c>
      <c r="BI28" s="841"/>
      <c r="BL28" s="839"/>
      <c r="BM28" s="846">
        <v>2800</v>
      </c>
      <c r="BN28" s="503" t="s">
        <v>1172</v>
      </c>
      <c r="BO28" s="497">
        <f t="shared" si="62"/>
        <v>0</v>
      </c>
      <c r="BP28" s="497">
        <f t="shared" si="63"/>
        <v>0</v>
      </c>
      <c r="BQ28" s="497">
        <f t="shared" si="35"/>
        <v>0</v>
      </c>
      <c r="BR28" s="497">
        <f t="shared" si="64"/>
        <v>0</v>
      </c>
      <c r="BS28" s="497">
        <f t="shared" si="65"/>
        <v>0</v>
      </c>
      <c r="BT28" s="497">
        <f t="shared" si="38"/>
        <v>0</v>
      </c>
      <c r="BU28" s="841"/>
      <c r="BX28" s="839"/>
      <c r="BY28" s="846" t="s">
        <v>1048</v>
      </c>
      <c r="BZ28" s="495" t="s">
        <v>1092</v>
      </c>
      <c r="CA28" s="497">
        <f t="shared" si="68"/>
        <v>0</v>
      </c>
      <c r="CB28" s="497">
        <f t="shared" si="69"/>
        <v>0</v>
      </c>
      <c r="CC28" s="497">
        <f t="shared" si="74"/>
        <v>0</v>
      </c>
      <c r="CD28" s="497">
        <f t="shared" si="70"/>
        <v>0</v>
      </c>
      <c r="CE28" s="497">
        <f t="shared" si="71"/>
        <v>0</v>
      </c>
      <c r="CF28" s="497">
        <f t="shared" si="75"/>
        <v>0</v>
      </c>
      <c r="CG28" s="841"/>
      <c r="CJ28" s="839"/>
      <c r="CK28" s="846">
        <v>26</v>
      </c>
      <c r="CL28" s="503" t="s">
        <v>1173</v>
      </c>
      <c r="CM28" s="497">
        <f t="shared" si="76"/>
        <v>0</v>
      </c>
      <c r="CN28" s="497">
        <f t="shared" si="77"/>
        <v>0</v>
      </c>
      <c r="CO28" s="497">
        <f t="shared" si="78"/>
        <v>0</v>
      </c>
      <c r="CP28" s="497">
        <f t="shared" si="79"/>
        <v>0</v>
      </c>
      <c r="CQ28" s="497">
        <f t="shared" si="80"/>
        <v>0</v>
      </c>
      <c r="CR28" s="497">
        <f t="shared" si="81"/>
        <v>0</v>
      </c>
      <c r="CS28" s="841"/>
      <c r="CV28" s="839"/>
      <c r="CW28" s="846" t="s">
        <v>1048</v>
      </c>
      <c r="CX28" s="503" t="s">
        <v>1075</v>
      </c>
      <c r="CY28" s="497">
        <f t="shared" si="84"/>
        <v>0</v>
      </c>
      <c r="CZ28" s="497">
        <f t="shared" si="85"/>
        <v>0</v>
      </c>
      <c r="DA28" s="497">
        <f t="shared" si="86"/>
        <v>0</v>
      </c>
      <c r="DB28" s="497">
        <f t="shared" si="87"/>
        <v>0</v>
      </c>
      <c r="DC28" s="497">
        <f t="shared" si="88"/>
        <v>0</v>
      </c>
      <c r="DD28" s="497">
        <f t="shared" si="89"/>
        <v>0</v>
      </c>
      <c r="DE28" s="841"/>
    </row>
    <row r="29" spans="2:109">
      <c r="B29" s="839"/>
      <c r="C29" s="846">
        <v>1130</v>
      </c>
      <c r="D29" s="479" t="s">
        <v>1174</v>
      </c>
      <c r="E29" s="468">
        <f ca="1">SUM(E30:E34)</f>
        <v>19632.43</v>
      </c>
      <c r="F29" s="468">
        <f ca="1">SUM(F30:F34)</f>
        <v>19509.560000000001</v>
      </c>
      <c r="G29" s="824">
        <v>2133</v>
      </c>
      <c r="H29" s="504" t="s">
        <v>1175</v>
      </c>
      <c r="I29" s="500">
        <f ca="1">-SUMIF(BC[],MID(G29,1,4)&amp;"*",bc_2017)</f>
        <v>0</v>
      </c>
      <c r="J29" s="505">
        <f ca="1">-SUMIF(BC[],MID(G29,1,4)&amp;"*",bc_2016)</f>
        <v>0</v>
      </c>
      <c r="K29" s="841"/>
      <c r="N29" s="839"/>
      <c r="O29" s="846"/>
      <c r="P29" s="467" t="s">
        <v>1181</v>
      </c>
      <c r="Q29" s="475"/>
      <c r="R29" s="475"/>
      <c r="S29" s="475"/>
      <c r="T29" s="475"/>
      <c r="U29" s="475"/>
      <c r="V29" s="475"/>
      <c r="W29" s="476"/>
      <c r="X29" s="841"/>
      <c r="AQ29" s="839"/>
      <c r="AR29" s="845"/>
      <c r="AS29" s="875" t="s">
        <v>384</v>
      </c>
      <c r="AT29" s="829" t="s">
        <v>357</v>
      </c>
      <c r="AU29" s="829" t="s">
        <v>359</v>
      </c>
      <c r="AV29" s="861" t="s">
        <v>397</v>
      </c>
      <c r="AW29" s="841"/>
      <c r="AY29" s="834"/>
      <c r="AZ29" s="839"/>
      <c r="BA29" s="882">
        <v>81</v>
      </c>
      <c r="BB29" s="512" t="s">
        <v>1182</v>
      </c>
      <c r="BC29" s="494">
        <f t="shared" si="56"/>
        <v>0</v>
      </c>
      <c r="BD29" s="494">
        <f t="shared" si="57"/>
        <v>0</v>
      </c>
      <c r="BE29" s="494">
        <f t="shared" si="11"/>
        <v>0</v>
      </c>
      <c r="BF29" s="494">
        <f t="shared" si="58"/>
        <v>0</v>
      </c>
      <c r="BG29" s="494">
        <f t="shared" si="59"/>
        <v>0</v>
      </c>
      <c r="BH29" s="494">
        <f t="shared" si="14"/>
        <v>0</v>
      </c>
      <c r="BI29" s="841"/>
      <c r="BL29" s="839"/>
      <c r="BM29" s="846">
        <v>2900</v>
      </c>
      <c r="BN29" s="503" t="s">
        <v>1177</v>
      </c>
      <c r="BO29" s="497">
        <f t="shared" si="62"/>
        <v>82026.040000000008</v>
      </c>
      <c r="BP29" s="497">
        <f t="shared" si="63"/>
        <v>8813.1199999999953</v>
      </c>
      <c r="BQ29" s="497">
        <f t="shared" si="35"/>
        <v>90839.16</v>
      </c>
      <c r="BR29" s="497">
        <f t="shared" si="64"/>
        <v>90839.16</v>
      </c>
      <c r="BS29" s="497">
        <f t="shared" si="65"/>
        <v>90839.16</v>
      </c>
      <c r="BT29" s="497">
        <f t="shared" si="38"/>
        <v>0</v>
      </c>
      <c r="BU29" s="841"/>
      <c r="BX29" s="839"/>
      <c r="BY29" s="846" t="s">
        <v>1048</v>
      </c>
      <c r="BZ29" s="495" t="s">
        <v>1101</v>
      </c>
      <c r="CA29" s="497">
        <f t="shared" si="68"/>
        <v>0</v>
      </c>
      <c r="CB29" s="497">
        <f t="shared" si="69"/>
        <v>0</v>
      </c>
      <c r="CC29" s="497">
        <f t="shared" si="74"/>
        <v>0</v>
      </c>
      <c r="CD29" s="497">
        <f t="shared" si="70"/>
        <v>0</v>
      </c>
      <c r="CE29" s="497">
        <f t="shared" si="71"/>
        <v>0</v>
      </c>
      <c r="CF29" s="497">
        <f t="shared" si="75"/>
        <v>0</v>
      </c>
      <c r="CG29" s="841"/>
      <c r="CJ29" s="839"/>
      <c r="CK29" s="846">
        <v>27</v>
      </c>
      <c r="CL29" s="503" t="s">
        <v>1178</v>
      </c>
      <c r="CM29" s="497">
        <f t="shared" si="76"/>
        <v>0</v>
      </c>
      <c r="CN29" s="497">
        <f t="shared" si="77"/>
        <v>0</v>
      </c>
      <c r="CO29" s="497">
        <f t="shared" si="78"/>
        <v>0</v>
      </c>
      <c r="CP29" s="497">
        <f t="shared" si="79"/>
        <v>0</v>
      </c>
      <c r="CQ29" s="497">
        <f t="shared" si="80"/>
        <v>0</v>
      </c>
      <c r="CR29" s="497">
        <f t="shared" si="81"/>
        <v>0</v>
      </c>
      <c r="CS29" s="841"/>
      <c r="CV29" s="839"/>
      <c r="CW29" s="846" t="s">
        <v>1048</v>
      </c>
      <c r="CX29" s="495" t="s">
        <v>1084</v>
      </c>
      <c r="CY29" s="496">
        <f t="shared" si="84"/>
        <v>0</v>
      </c>
      <c r="CZ29" s="496">
        <f t="shared" si="85"/>
        <v>0</v>
      </c>
      <c r="DA29" s="496">
        <f t="shared" si="86"/>
        <v>0</v>
      </c>
      <c r="DB29" s="496">
        <f t="shared" si="87"/>
        <v>0</v>
      </c>
      <c r="DC29" s="496">
        <f t="shared" si="88"/>
        <v>0</v>
      </c>
      <c r="DD29" s="496">
        <f t="shared" si="89"/>
        <v>0</v>
      </c>
      <c r="DE29" s="841"/>
    </row>
    <row r="30" spans="2:109">
      <c r="B30" s="839"/>
      <c r="C30" s="846">
        <v>1131</v>
      </c>
      <c r="D30" s="504" t="s">
        <v>1179</v>
      </c>
      <c r="E30" s="500">
        <f ca="1">SUMIF(BC[],MID(C30,1,4)&amp;"*",bc_2017)</f>
        <v>19632.43</v>
      </c>
      <c r="F30" s="500">
        <f ca="1">SUMIF(BC[],MID(C30,1,4)&amp;"*",bc_2016)</f>
        <v>19509.560000000001</v>
      </c>
      <c r="G30" s="824">
        <v>2140</v>
      </c>
      <c r="H30" s="479" t="s">
        <v>1180</v>
      </c>
      <c r="I30" s="468">
        <f ca="1">-SUMIF(BC[],MID(G30,1,3)&amp;"*",bc_2017)</f>
        <v>0</v>
      </c>
      <c r="J30" s="491">
        <f ca="1">-SUMIF(BC[],MID(G30,1,3)&amp;"*",bc_2016)</f>
        <v>0</v>
      </c>
      <c r="K30" s="841"/>
      <c r="N30" s="839"/>
      <c r="O30" s="846"/>
      <c r="P30" s="489" t="s">
        <v>1186</v>
      </c>
      <c r="Q30" s="500">
        <v>0</v>
      </c>
      <c r="R30" s="500">
        <v>0</v>
      </c>
      <c r="S30" s="500">
        <v>0</v>
      </c>
      <c r="T30" s="500">
        <v>0</v>
      </c>
      <c r="U30" s="500">
        <v>0</v>
      </c>
      <c r="V30" s="475"/>
      <c r="W30" s="476"/>
      <c r="X30" s="841"/>
      <c r="AQ30" s="839"/>
      <c r="AR30" s="847"/>
      <c r="AS30" s="470"/>
      <c r="AT30" s="471"/>
      <c r="AU30" s="471"/>
      <c r="AV30" s="472"/>
      <c r="AW30" s="841"/>
      <c r="AY30" s="834"/>
      <c r="AZ30" s="839"/>
      <c r="BA30" s="882">
        <v>81</v>
      </c>
      <c r="BB30" s="512" t="s">
        <v>1188</v>
      </c>
      <c r="BC30" s="494">
        <f t="shared" si="56"/>
        <v>0</v>
      </c>
      <c r="BD30" s="494">
        <f t="shared" si="57"/>
        <v>0</v>
      </c>
      <c r="BE30" s="494">
        <f t="shared" si="11"/>
        <v>0</v>
      </c>
      <c r="BF30" s="494">
        <f t="shared" si="58"/>
        <v>0</v>
      </c>
      <c r="BG30" s="494">
        <f t="shared" si="59"/>
        <v>0</v>
      </c>
      <c r="BH30" s="494">
        <f t="shared" si="14"/>
        <v>0</v>
      </c>
      <c r="BI30" s="841"/>
      <c r="BL30" s="839"/>
      <c r="BM30" s="846">
        <v>3000</v>
      </c>
      <c r="BN30" s="495" t="s">
        <v>1183</v>
      </c>
      <c r="BO30" s="496">
        <f t="shared" ref="BO30:BT30" si="92">SUM(BO31:BO39)</f>
        <v>15301571</v>
      </c>
      <c r="BP30" s="496">
        <f t="shared" si="92"/>
        <v>350566.11000000045</v>
      </c>
      <c r="BQ30" s="496">
        <f t="shared" si="92"/>
        <v>15652137.109999999</v>
      </c>
      <c r="BR30" s="496">
        <f t="shared" si="92"/>
        <v>15652137.110000001</v>
      </c>
      <c r="BS30" s="496">
        <f t="shared" si="92"/>
        <v>15517128.110000001</v>
      </c>
      <c r="BT30" s="496">
        <f t="shared" si="92"/>
        <v>0</v>
      </c>
      <c r="BU30" s="841"/>
      <c r="BX30" s="839"/>
      <c r="BY30" s="846"/>
      <c r="BZ30" s="495"/>
      <c r="CA30" s="481"/>
      <c r="CB30" s="481"/>
      <c r="CC30" s="481"/>
      <c r="CD30" s="481"/>
      <c r="CE30" s="481"/>
      <c r="CF30" s="481"/>
      <c r="CG30" s="841"/>
      <c r="CJ30" s="839"/>
      <c r="CK30" s="846"/>
      <c r="CL30" s="503"/>
      <c r="CM30" s="497"/>
      <c r="CN30" s="497"/>
      <c r="CO30" s="497"/>
      <c r="CP30" s="497"/>
      <c r="CQ30" s="497"/>
      <c r="CR30" s="497"/>
      <c r="CS30" s="841"/>
      <c r="CV30" s="839"/>
      <c r="CW30" s="846" t="s">
        <v>1048</v>
      </c>
      <c r="CX30" s="495" t="s">
        <v>1094</v>
      </c>
      <c r="CY30" s="496">
        <f t="shared" si="84"/>
        <v>0</v>
      </c>
      <c r="CZ30" s="496">
        <f t="shared" si="85"/>
        <v>0</v>
      </c>
      <c r="DA30" s="496">
        <f t="shared" si="86"/>
        <v>0</v>
      </c>
      <c r="DB30" s="496">
        <f t="shared" si="87"/>
        <v>0</v>
      </c>
      <c r="DC30" s="496">
        <f t="shared" si="88"/>
        <v>0</v>
      </c>
      <c r="DD30" s="496">
        <f t="shared" si="89"/>
        <v>0</v>
      </c>
      <c r="DE30" s="841"/>
    </row>
    <row r="31" spans="2:109">
      <c r="B31" s="839"/>
      <c r="C31" s="846">
        <v>1132</v>
      </c>
      <c r="D31" s="504" t="s">
        <v>1184</v>
      </c>
      <c r="E31" s="500">
        <f ca="1">SUMIF(BC[],MID(C31,1,4)&amp;"*",bc_2017)</f>
        <v>0</v>
      </c>
      <c r="F31" s="500">
        <f ca="1">SUMIF(BC[],MID(C31,1,4)&amp;"*",bc_2016)</f>
        <v>0</v>
      </c>
      <c r="G31" s="824">
        <v>2150</v>
      </c>
      <c r="H31" s="479" t="s">
        <v>1185</v>
      </c>
      <c r="I31" s="468">
        <f ca="1">SUM(I32:I34)</f>
        <v>18500</v>
      </c>
      <c r="J31" s="491">
        <f ca="1">SUM(J32:J34)</f>
        <v>18500</v>
      </c>
      <c r="K31" s="841"/>
      <c r="N31" s="839"/>
      <c r="O31" s="846"/>
      <c r="P31" s="489" t="s">
        <v>1194</v>
      </c>
      <c r="Q31" s="500">
        <v>0</v>
      </c>
      <c r="R31" s="500">
        <v>0</v>
      </c>
      <c r="S31" s="500">
        <v>0</v>
      </c>
      <c r="T31" s="500">
        <v>0</v>
      </c>
      <c r="U31" s="500">
        <v>0</v>
      </c>
      <c r="V31" s="475"/>
      <c r="W31" s="476"/>
      <c r="X31" s="841"/>
      <c r="AQ31" s="839"/>
      <c r="AR31" s="847"/>
      <c r="AS31" s="477" t="s">
        <v>1187</v>
      </c>
      <c r="AT31" s="519">
        <f>+AT32+AT33</f>
        <v>0</v>
      </c>
      <c r="AU31" s="519">
        <f t="shared" ref="AU31:AV31" si="93">+AU32+AU33</f>
        <v>0</v>
      </c>
      <c r="AV31" s="519">
        <f t="shared" si="93"/>
        <v>0</v>
      </c>
      <c r="AW31" s="841"/>
      <c r="AY31" s="834"/>
      <c r="AZ31" s="839"/>
      <c r="BA31" s="882">
        <v>81</v>
      </c>
      <c r="BB31" s="479" t="s">
        <v>1196</v>
      </c>
      <c r="BC31" s="502">
        <f t="shared" si="56"/>
        <v>0</v>
      </c>
      <c r="BD31" s="502">
        <f t="shared" si="57"/>
        <v>0</v>
      </c>
      <c r="BE31" s="502">
        <f t="shared" si="11"/>
        <v>0</v>
      </c>
      <c r="BF31" s="502">
        <f t="shared" si="58"/>
        <v>0</v>
      </c>
      <c r="BG31" s="502">
        <f t="shared" si="59"/>
        <v>0</v>
      </c>
      <c r="BH31" s="502">
        <f t="shared" si="14"/>
        <v>0</v>
      </c>
      <c r="BI31" s="841"/>
      <c r="BL31" s="839"/>
      <c r="BM31" s="846">
        <v>3100</v>
      </c>
      <c r="BN31" s="503" t="s">
        <v>1189</v>
      </c>
      <c r="BO31" s="497">
        <f t="shared" ref="BO31:BO39" si="94">SUMIF(PE_COG,MID(BM31,1,2)&amp;"*",PE_A)</f>
        <v>1090627.8</v>
      </c>
      <c r="BP31" s="497">
        <f t="shared" ref="BP31:BP39" si="95">SUMIF(PE_COG,MID(BM31,1,2)&amp;"*",PE_M)</f>
        <v>-93173.98000000001</v>
      </c>
      <c r="BQ31" s="497">
        <f t="shared" si="35"/>
        <v>997453.82000000007</v>
      </c>
      <c r="BR31" s="497">
        <f t="shared" ref="BR31:BR39" si="96">SUMIF(PE_COG,MID(BM31,1,2)&amp;"*",PE_D)</f>
        <v>997453.82000000007</v>
      </c>
      <c r="BS31" s="497">
        <f t="shared" ref="BS31:BS39" si="97">SUMIF(PE_COG,MID(BM31,1,2)&amp;"*",PE_P)</f>
        <v>910822.82000000007</v>
      </c>
      <c r="BT31" s="497">
        <f t="shared" si="38"/>
        <v>0</v>
      </c>
      <c r="BU31" s="841"/>
      <c r="BX31" s="839"/>
      <c r="BY31" s="846"/>
      <c r="BZ31" s="498" t="s">
        <v>1190</v>
      </c>
      <c r="CA31" s="496">
        <f>+CA11+CA21</f>
        <v>80405840.50999999</v>
      </c>
      <c r="CB31" s="496">
        <f t="shared" ref="CB31:CF31" si="98">+CB11+CB21</f>
        <v>8457903.8100000024</v>
      </c>
      <c r="CC31" s="496">
        <f t="shared" si="98"/>
        <v>88863744.319999993</v>
      </c>
      <c r="CD31" s="496">
        <f t="shared" si="98"/>
        <v>86193205.109999999</v>
      </c>
      <c r="CE31" s="496">
        <f t="shared" si="98"/>
        <v>84872096.260000005</v>
      </c>
      <c r="CF31" s="496">
        <f t="shared" si="98"/>
        <v>2670539.2099999934</v>
      </c>
      <c r="CG31" s="841"/>
      <c r="CJ31" s="839"/>
      <c r="CK31" s="846">
        <v>30</v>
      </c>
      <c r="CL31" s="498" t="s">
        <v>1191</v>
      </c>
      <c r="CM31" s="496">
        <f>SUM(CM32:CM40)</f>
        <v>0</v>
      </c>
      <c r="CN31" s="496">
        <f>SUM(CN32:CN39)</f>
        <v>0</v>
      </c>
      <c r="CO31" s="496">
        <f>SUM(CO32:CO39)</f>
        <v>0</v>
      </c>
      <c r="CP31" s="496">
        <f>SUM(CP32:CP39)</f>
        <v>0</v>
      </c>
      <c r="CQ31" s="496">
        <f>SUM(CQ32:CQ39)</f>
        <v>0</v>
      </c>
      <c r="CR31" s="496">
        <f>SUM(CR32:CR39)</f>
        <v>0</v>
      </c>
      <c r="CS31" s="841"/>
      <c r="CV31" s="839"/>
      <c r="CW31" s="846" t="s">
        <v>1048</v>
      </c>
      <c r="CX31" s="503" t="s">
        <v>1103</v>
      </c>
      <c r="CY31" s="497">
        <f t="shared" si="84"/>
        <v>0</v>
      </c>
      <c r="CZ31" s="497">
        <f t="shared" si="85"/>
        <v>0</v>
      </c>
      <c r="DA31" s="497">
        <f t="shared" si="86"/>
        <v>0</v>
      </c>
      <c r="DB31" s="497">
        <f t="shared" si="87"/>
        <v>0</v>
      </c>
      <c r="DC31" s="497">
        <f t="shared" si="88"/>
        <v>0</v>
      </c>
      <c r="DD31" s="497">
        <f t="shared" si="89"/>
        <v>0</v>
      </c>
      <c r="DE31" s="841"/>
    </row>
    <row r="32" spans="2:109">
      <c r="B32" s="839"/>
      <c r="C32" s="846">
        <v>1133</v>
      </c>
      <c r="D32" s="504" t="s">
        <v>1192</v>
      </c>
      <c r="E32" s="500">
        <f ca="1">SUMIF(BC[],MID(C32,1,4)&amp;"*",bc_2017)</f>
        <v>0</v>
      </c>
      <c r="F32" s="500">
        <f ca="1">SUMIF(BC[],MID(C32,1,4)&amp;"*",bc_2016)</f>
        <v>0</v>
      </c>
      <c r="G32" s="824">
        <v>2151</v>
      </c>
      <c r="H32" s="504" t="s">
        <v>1193</v>
      </c>
      <c r="I32" s="500">
        <f ca="1">-SUMIF(BC[],MID(G32,1,4)&amp;"*",bc_2017)</f>
        <v>0</v>
      </c>
      <c r="J32" s="505">
        <f ca="1">-SUMIF(BC[],MID(G32,1,4)&amp;"*",bc_2016)</f>
        <v>0</v>
      </c>
      <c r="K32" s="841"/>
      <c r="N32" s="839"/>
      <c r="O32" s="846"/>
      <c r="P32" s="489" t="s">
        <v>1201</v>
      </c>
      <c r="Q32" s="500">
        <v>0</v>
      </c>
      <c r="R32" s="500">
        <v>0</v>
      </c>
      <c r="S32" s="500">
        <v>0</v>
      </c>
      <c r="T32" s="500">
        <v>0</v>
      </c>
      <c r="U32" s="500">
        <v>0</v>
      </c>
      <c r="V32" s="475"/>
      <c r="W32" s="476"/>
      <c r="X32" s="841"/>
      <c r="AQ32" s="839"/>
      <c r="AR32" s="847"/>
      <c r="AS32" s="499" t="s">
        <v>1195</v>
      </c>
      <c r="AT32" s="501">
        <f>+BO79+BO80+BO81</f>
        <v>0</v>
      </c>
      <c r="AU32" s="501">
        <f>+BR79+BR80+BR81</f>
        <v>0</v>
      </c>
      <c r="AV32" s="501">
        <f>+BS79+BS80+BS81</f>
        <v>0</v>
      </c>
      <c r="AW32" s="841"/>
      <c r="AY32" s="834"/>
      <c r="AZ32" s="839"/>
      <c r="BA32" s="882">
        <v>81</v>
      </c>
      <c r="BB32" s="512" t="s">
        <v>1203</v>
      </c>
      <c r="BC32" s="494">
        <f t="shared" si="56"/>
        <v>0</v>
      </c>
      <c r="BD32" s="494">
        <f t="shared" si="57"/>
        <v>0</v>
      </c>
      <c r="BE32" s="494">
        <f t="shared" si="11"/>
        <v>0</v>
      </c>
      <c r="BF32" s="494">
        <f t="shared" si="58"/>
        <v>0</v>
      </c>
      <c r="BG32" s="494">
        <f t="shared" si="59"/>
        <v>0</v>
      </c>
      <c r="BH32" s="494">
        <f t="shared" si="14"/>
        <v>0</v>
      </c>
      <c r="BI32" s="841"/>
      <c r="BL32" s="839"/>
      <c r="BM32" s="846">
        <v>3200</v>
      </c>
      <c r="BN32" s="503" t="s">
        <v>1197</v>
      </c>
      <c r="BO32" s="497">
        <f t="shared" si="94"/>
        <v>1601484.6199999999</v>
      </c>
      <c r="BP32" s="497">
        <f t="shared" si="95"/>
        <v>77391.70000000007</v>
      </c>
      <c r="BQ32" s="497">
        <f t="shared" si="35"/>
        <v>1678876.3199999998</v>
      </c>
      <c r="BR32" s="497">
        <f t="shared" si="96"/>
        <v>1678876.3199999998</v>
      </c>
      <c r="BS32" s="497">
        <f t="shared" si="97"/>
        <v>1672148.3199999998</v>
      </c>
      <c r="BT32" s="497">
        <f t="shared" si="38"/>
        <v>0</v>
      </c>
      <c r="BU32" s="841"/>
      <c r="BX32" s="839"/>
      <c r="BY32" s="846"/>
      <c r="BZ32" s="495"/>
      <c r="CA32" s="481"/>
      <c r="CB32" s="481"/>
      <c r="CC32" s="481"/>
      <c r="CD32" s="481"/>
      <c r="CE32" s="481"/>
      <c r="CF32" s="481"/>
      <c r="CG32" s="841"/>
      <c r="CJ32" s="839"/>
      <c r="CK32" s="846">
        <v>31</v>
      </c>
      <c r="CL32" s="503" t="s">
        <v>1198</v>
      </c>
      <c r="CM32" s="497">
        <f t="shared" ref="CM32:CM40" si="99">SUMIF(PE_CFG,MID(CK30,1,1)&amp;"."&amp;MID(CK30,2,1)&amp;".*",PE_A)</f>
        <v>0</v>
      </c>
      <c r="CN32" s="497">
        <f t="shared" ref="CN32:CN40" si="100">SUMIF(PE_CFG,MID(CK30,1,1)&amp;"."&amp;MID(CK30,2,1)&amp;".*",PE_M)</f>
        <v>0</v>
      </c>
      <c r="CO32" s="497">
        <f t="shared" ref="CO32:CO40" si="101">+CM32+CN32</f>
        <v>0</v>
      </c>
      <c r="CP32" s="497">
        <f t="shared" ref="CP32:CP40" si="102">SUMIF(PE_CFG,MID(CK30,1,1)&amp;"."&amp;MID(CK30,2,1)&amp;".*",PE_D)</f>
        <v>0</v>
      </c>
      <c r="CQ32" s="497">
        <f t="shared" ref="CQ32:CQ40" si="103">SUMIF(PE_CFG,MID(CK30,1,1)&amp;"."&amp;MID(CK30,2,1)&amp;".*",PE_P)</f>
        <v>0</v>
      </c>
      <c r="CR32" s="497">
        <f t="shared" ref="CR32:CR40" si="104">+CO32-CP32</f>
        <v>0</v>
      </c>
      <c r="CS32" s="841"/>
      <c r="CV32" s="839"/>
      <c r="CW32" s="846" t="s">
        <v>1048</v>
      </c>
      <c r="CX32" s="503" t="s">
        <v>1112</v>
      </c>
      <c r="CY32" s="497">
        <f t="shared" si="84"/>
        <v>0</v>
      </c>
      <c r="CZ32" s="497">
        <f t="shared" si="85"/>
        <v>0</v>
      </c>
      <c r="DA32" s="497">
        <f t="shared" si="86"/>
        <v>0</v>
      </c>
      <c r="DB32" s="497">
        <f t="shared" si="87"/>
        <v>0</v>
      </c>
      <c r="DC32" s="497">
        <f t="shared" si="88"/>
        <v>0</v>
      </c>
      <c r="DD32" s="497">
        <f t="shared" si="89"/>
        <v>0</v>
      </c>
      <c r="DE32" s="841"/>
    </row>
    <row r="33" spans="2:109">
      <c r="B33" s="839"/>
      <c r="C33" s="846">
        <v>1134</v>
      </c>
      <c r="D33" s="504" t="s">
        <v>1199</v>
      </c>
      <c r="E33" s="500">
        <f ca="1">SUMIF(BC[],MID(C33,1,4)&amp;"*",bc_2017)</f>
        <v>0</v>
      </c>
      <c r="F33" s="500">
        <f ca="1">SUMIF(BC[],MID(C33,1,4)&amp;"*",bc_2016)</f>
        <v>0</v>
      </c>
      <c r="G33" s="824">
        <v>2152</v>
      </c>
      <c r="H33" s="504" t="s">
        <v>1200</v>
      </c>
      <c r="I33" s="500">
        <f ca="1">-SUMIF(BC[],MID(G33,1,4)&amp;"*",bc_2017)</f>
        <v>0</v>
      </c>
      <c r="J33" s="505">
        <f ca="1">-SUMIF(BC[],MID(G33,1,4)&amp;"*",bc_2016)</f>
        <v>0</v>
      </c>
      <c r="K33" s="841"/>
      <c r="N33" s="839"/>
      <c r="O33" s="858"/>
      <c r="P33" s="520"/>
      <c r="Q33" s="520"/>
      <c r="R33" s="520"/>
      <c r="S33" s="520"/>
      <c r="T33" s="520"/>
      <c r="U33" s="520"/>
      <c r="V33" s="520"/>
      <c r="W33" s="521"/>
      <c r="X33" s="841"/>
      <c r="AQ33" s="839"/>
      <c r="AR33" s="847"/>
      <c r="AS33" s="499" t="s">
        <v>1202</v>
      </c>
      <c r="AT33" s="501">
        <f>+BO154+BO155+BO156</f>
        <v>0</v>
      </c>
      <c r="AU33" s="501">
        <f>+BR154+BR155+BR156</f>
        <v>0</v>
      </c>
      <c r="AV33" s="501">
        <f>+BS154+BS155+BS156</f>
        <v>0</v>
      </c>
      <c r="AW33" s="841"/>
      <c r="AY33" s="834"/>
      <c r="AZ33" s="839"/>
      <c r="BA33" s="882">
        <v>81</v>
      </c>
      <c r="BB33" s="512" t="s">
        <v>1208</v>
      </c>
      <c r="BC33" s="494">
        <f t="shared" si="56"/>
        <v>0</v>
      </c>
      <c r="BD33" s="494">
        <f t="shared" si="57"/>
        <v>0</v>
      </c>
      <c r="BE33" s="494">
        <f t="shared" si="11"/>
        <v>0</v>
      </c>
      <c r="BF33" s="494">
        <f t="shared" si="58"/>
        <v>0</v>
      </c>
      <c r="BG33" s="494">
        <f t="shared" si="59"/>
        <v>0</v>
      </c>
      <c r="BH33" s="494">
        <f t="shared" si="14"/>
        <v>0</v>
      </c>
      <c r="BI33" s="841"/>
      <c r="BL33" s="839"/>
      <c r="BM33" s="846">
        <v>3300</v>
      </c>
      <c r="BN33" s="503" t="s">
        <v>1204</v>
      </c>
      <c r="BO33" s="497">
        <f t="shared" si="94"/>
        <v>3691811.1199999996</v>
      </c>
      <c r="BP33" s="497">
        <f t="shared" si="95"/>
        <v>775668.73000000033</v>
      </c>
      <c r="BQ33" s="497">
        <f t="shared" si="35"/>
        <v>4467479.8499999996</v>
      </c>
      <c r="BR33" s="497">
        <f t="shared" si="96"/>
        <v>4467479.8499999996</v>
      </c>
      <c r="BS33" s="497">
        <f t="shared" si="97"/>
        <v>4426879.8499999996</v>
      </c>
      <c r="BT33" s="497">
        <f t="shared" si="38"/>
        <v>0</v>
      </c>
      <c r="BU33" s="841"/>
      <c r="BX33" s="839"/>
      <c r="BY33" s="858"/>
      <c r="BZ33" s="852"/>
      <c r="CA33" s="852"/>
      <c r="CB33" s="852"/>
      <c r="CC33" s="852"/>
      <c r="CD33" s="852"/>
      <c r="CE33" s="852"/>
      <c r="CF33" s="852"/>
      <c r="CG33" s="841"/>
      <c r="CJ33" s="839"/>
      <c r="CK33" s="846">
        <v>32</v>
      </c>
      <c r="CL33" s="503" t="s">
        <v>1205</v>
      </c>
      <c r="CM33" s="497">
        <f t="shared" si="99"/>
        <v>0</v>
      </c>
      <c r="CN33" s="497">
        <f t="shared" si="100"/>
        <v>0</v>
      </c>
      <c r="CO33" s="497">
        <f t="shared" si="101"/>
        <v>0</v>
      </c>
      <c r="CP33" s="497">
        <f t="shared" si="102"/>
        <v>0</v>
      </c>
      <c r="CQ33" s="497">
        <f t="shared" si="103"/>
        <v>0</v>
      </c>
      <c r="CR33" s="497">
        <f t="shared" si="104"/>
        <v>0</v>
      </c>
      <c r="CS33" s="841"/>
      <c r="CV33" s="839"/>
      <c r="CW33" s="846" t="s">
        <v>1048</v>
      </c>
      <c r="CX33" s="495" t="s">
        <v>1121</v>
      </c>
      <c r="CY33" s="496">
        <f t="shared" si="84"/>
        <v>0</v>
      </c>
      <c r="CZ33" s="496">
        <f t="shared" si="85"/>
        <v>0</v>
      </c>
      <c r="DA33" s="496">
        <f t="shared" si="86"/>
        <v>0</v>
      </c>
      <c r="DB33" s="496">
        <f t="shared" si="87"/>
        <v>0</v>
      </c>
      <c r="DC33" s="496">
        <f t="shared" si="88"/>
        <v>0</v>
      </c>
      <c r="DD33" s="496">
        <f t="shared" si="89"/>
        <v>0</v>
      </c>
      <c r="DE33" s="841"/>
    </row>
    <row r="34" spans="2:109" ht="12.75" thickBot="1">
      <c r="B34" s="839"/>
      <c r="C34" s="846">
        <v>1139</v>
      </c>
      <c r="D34" s="504" t="s">
        <v>1206</v>
      </c>
      <c r="E34" s="500">
        <f ca="1">SUMIF(BC[],MID(C34,1,4)&amp;"*",bc_2017)</f>
        <v>0</v>
      </c>
      <c r="F34" s="500">
        <f ca="1">SUMIF(BC[],MID(C34,1,4)&amp;"*",bc_2016)</f>
        <v>0</v>
      </c>
      <c r="G34" s="824">
        <v>2159</v>
      </c>
      <c r="H34" s="504" t="s">
        <v>1207</v>
      </c>
      <c r="I34" s="500">
        <f ca="1">-SUMIF(BC[],MID(G34,1,4)&amp;"*",bc_2017)</f>
        <v>18500</v>
      </c>
      <c r="J34" s="505">
        <f ca="1">-SUMIF(BC[],MID(G34,1,4)&amp;"*",bc_2016)</f>
        <v>18500</v>
      </c>
      <c r="K34" s="841"/>
      <c r="N34" s="839"/>
      <c r="O34" s="840"/>
      <c r="P34" s="834"/>
      <c r="Q34" s="834"/>
      <c r="R34" s="834"/>
      <c r="S34" s="834"/>
      <c r="T34" s="834"/>
      <c r="U34" s="834"/>
      <c r="V34" s="834"/>
      <c r="W34" s="834"/>
      <c r="X34" s="841"/>
      <c r="AQ34" s="839"/>
      <c r="AR34" s="847"/>
      <c r="AS34" s="470"/>
      <c r="AT34" s="471"/>
      <c r="AU34" s="471"/>
      <c r="AV34" s="472"/>
      <c r="AW34" s="841"/>
      <c r="AY34" s="834"/>
      <c r="AZ34" s="839"/>
      <c r="BA34" s="882">
        <v>81</v>
      </c>
      <c r="BB34" s="512" t="s">
        <v>1214</v>
      </c>
      <c r="BC34" s="494">
        <f t="shared" si="56"/>
        <v>0</v>
      </c>
      <c r="BD34" s="494">
        <f t="shared" si="57"/>
        <v>0</v>
      </c>
      <c r="BE34" s="494">
        <f t="shared" si="11"/>
        <v>0</v>
      </c>
      <c r="BF34" s="494">
        <f t="shared" si="58"/>
        <v>0</v>
      </c>
      <c r="BG34" s="494">
        <f t="shared" si="59"/>
        <v>0</v>
      </c>
      <c r="BH34" s="494">
        <f t="shared" si="14"/>
        <v>0</v>
      </c>
      <c r="BI34" s="841"/>
      <c r="BL34" s="839"/>
      <c r="BM34" s="846">
        <v>3400</v>
      </c>
      <c r="BN34" s="503" t="s">
        <v>1209</v>
      </c>
      <c r="BO34" s="497">
        <f t="shared" si="94"/>
        <v>168973.96</v>
      </c>
      <c r="BP34" s="497">
        <f t="shared" si="95"/>
        <v>21766.150000000005</v>
      </c>
      <c r="BQ34" s="497">
        <f t="shared" si="35"/>
        <v>190740.11</v>
      </c>
      <c r="BR34" s="497">
        <f t="shared" si="96"/>
        <v>190740.11</v>
      </c>
      <c r="BS34" s="497">
        <f t="shared" si="97"/>
        <v>190740.11</v>
      </c>
      <c r="BT34" s="497">
        <f t="shared" si="38"/>
        <v>0</v>
      </c>
      <c r="BU34" s="841"/>
      <c r="BX34" s="849"/>
      <c r="BY34" s="859"/>
      <c r="BZ34" s="850"/>
      <c r="CA34" s="850"/>
      <c r="CB34" s="850"/>
      <c r="CC34" s="850"/>
      <c r="CD34" s="850"/>
      <c r="CE34" s="850"/>
      <c r="CF34" s="850"/>
      <c r="CG34" s="851"/>
      <c r="CJ34" s="839"/>
      <c r="CK34" s="846">
        <v>33</v>
      </c>
      <c r="CL34" s="503" t="s">
        <v>1210</v>
      </c>
      <c r="CM34" s="497">
        <f t="shared" si="99"/>
        <v>0</v>
      </c>
      <c r="CN34" s="497">
        <f t="shared" si="100"/>
        <v>0</v>
      </c>
      <c r="CO34" s="497">
        <f t="shared" si="101"/>
        <v>0</v>
      </c>
      <c r="CP34" s="497">
        <f t="shared" si="102"/>
        <v>0</v>
      </c>
      <c r="CQ34" s="497">
        <f t="shared" si="103"/>
        <v>0</v>
      </c>
      <c r="CR34" s="497">
        <f t="shared" si="104"/>
        <v>0</v>
      </c>
      <c r="CS34" s="841"/>
      <c r="CV34" s="839"/>
      <c r="CW34" s="846"/>
      <c r="CX34" s="495"/>
      <c r="CY34" s="481"/>
      <c r="CZ34" s="481"/>
      <c r="DA34" s="481"/>
      <c r="DB34" s="481"/>
      <c r="DC34" s="481"/>
      <c r="DD34" s="481"/>
      <c r="DE34" s="841"/>
    </row>
    <row r="35" spans="2:109">
      <c r="B35" s="839"/>
      <c r="C35" s="846">
        <v>1140</v>
      </c>
      <c r="D35" s="479" t="s">
        <v>1211</v>
      </c>
      <c r="E35" s="468">
        <f ca="1">SUM(E36:E40)</f>
        <v>0</v>
      </c>
      <c r="F35" s="468">
        <f ca="1">SUM(F36:F40)</f>
        <v>0</v>
      </c>
      <c r="G35" s="824">
        <v>2160</v>
      </c>
      <c r="H35" s="479" t="s">
        <v>1212</v>
      </c>
      <c r="I35" s="468">
        <f ca="1">SUM(I36:I41)</f>
        <v>0</v>
      </c>
      <c r="J35" s="491">
        <f ca="1">SUM(J36:J41)</f>
        <v>0</v>
      </c>
      <c r="K35" s="841"/>
      <c r="N35" s="839"/>
      <c r="O35" s="1073"/>
      <c r="P35" s="1076" t="s">
        <v>1220</v>
      </c>
      <c r="Q35" s="1068" t="s">
        <v>1221</v>
      </c>
      <c r="R35" s="1068" t="s">
        <v>1222</v>
      </c>
      <c r="S35" s="1068" t="s">
        <v>1223</v>
      </c>
      <c r="T35" s="1068" t="s">
        <v>1224</v>
      </c>
      <c r="U35" s="1068" t="s">
        <v>1225</v>
      </c>
      <c r="V35" s="834"/>
      <c r="W35" s="834"/>
      <c r="X35" s="841"/>
      <c r="AQ35" s="839"/>
      <c r="AR35" s="847"/>
      <c r="AS35" s="477" t="s">
        <v>1213</v>
      </c>
      <c r="AT35" s="478">
        <f>+AT26-AT31</f>
        <v>0</v>
      </c>
      <c r="AU35" s="478">
        <f t="shared" ref="AU35:AV35" si="105">+AU26-AU31</f>
        <v>2670534.3100000024</v>
      </c>
      <c r="AV35" s="478">
        <f t="shared" si="105"/>
        <v>3991643.1599999815</v>
      </c>
      <c r="AW35" s="841"/>
      <c r="AY35" s="834"/>
      <c r="AZ35" s="839"/>
      <c r="BA35" s="882">
        <v>81</v>
      </c>
      <c r="BB35" s="512" t="s">
        <v>1226</v>
      </c>
      <c r="BC35" s="494">
        <f t="shared" si="56"/>
        <v>0</v>
      </c>
      <c r="BD35" s="494">
        <f t="shared" si="57"/>
        <v>0</v>
      </c>
      <c r="BE35" s="494">
        <f t="shared" si="11"/>
        <v>0</v>
      </c>
      <c r="BF35" s="494">
        <f t="shared" si="58"/>
        <v>0</v>
      </c>
      <c r="BG35" s="494">
        <f t="shared" si="59"/>
        <v>0</v>
      </c>
      <c r="BH35" s="494">
        <f t="shared" si="14"/>
        <v>0</v>
      </c>
      <c r="BI35" s="841"/>
      <c r="BL35" s="839"/>
      <c r="BM35" s="846">
        <v>3500</v>
      </c>
      <c r="BN35" s="503" t="s">
        <v>1215</v>
      </c>
      <c r="BO35" s="497">
        <f t="shared" si="94"/>
        <v>725418.49</v>
      </c>
      <c r="BP35" s="497">
        <f t="shared" si="95"/>
        <v>-258208.96000000011</v>
      </c>
      <c r="BQ35" s="497">
        <f t="shared" si="35"/>
        <v>467209.52999999991</v>
      </c>
      <c r="BR35" s="497">
        <f t="shared" si="96"/>
        <v>467209.53</v>
      </c>
      <c r="BS35" s="497">
        <f t="shared" si="97"/>
        <v>467209.53</v>
      </c>
      <c r="BT35" s="497">
        <f t="shared" si="38"/>
        <v>0</v>
      </c>
      <c r="BU35" s="841"/>
      <c r="CJ35" s="839"/>
      <c r="CK35" s="846">
        <v>34</v>
      </c>
      <c r="CL35" s="503" t="s">
        <v>1216</v>
      </c>
      <c r="CM35" s="497">
        <f t="shared" si="99"/>
        <v>0</v>
      </c>
      <c r="CN35" s="497">
        <f t="shared" si="100"/>
        <v>0</v>
      </c>
      <c r="CO35" s="497">
        <f t="shared" si="101"/>
        <v>0</v>
      </c>
      <c r="CP35" s="497">
        <f t="shared" si="102"/>
        <v>0</v>
      </c>
      <c r="CQ35" s="497">
        <f t="shared" si="103"/>
        <v>0</v>
      </c>
      <c r="CR35" s="497">
        <f t="shared" si="104"/>
        <v>0</v>
      </c>
      <c r="CS35" s="841"/>
      <c r="CV35" s="839"/>
      <c r="CW35" s="846"/>
      <c r="CX35" s="498" t="s">
        <v>1217</v>
      </c>
      <c r="CY35" s="496">
        <f>+CY11+CY23</f>
        <v>59875476.900000006</v>
      </c>
      <c r="CZ35" s="496">
        <f t="shared" ref="CZ35:DD35" si="106">+CZ11+CZ23</f>
        <v>6048652.1900000013</v>
      </c>
      <c r="DA35" s="496">
        <f t="shared" si="106"/>
        <v>65924129.090000004</v>
      </c>
      <c r="DB35" s="496">
        <f t="shared" si="106"/>
        <v>65924124.189999998</v>
      </c>
      <c r="DC35" s="496">
        <f t="shared" si="106"/>
        <v>64738024.339999996</v>
      </c>
      <c r="DD35" s="496">
        <f t="shared" si="106"/>
        <v>4.9000000059604645</v>
      </c>
      <c r="DE35" s="841"/>
    </row>
    <row r="36" spans="2:109">
      <c r="B36" s="839"/>
      <c r="C36" s="846">
        <v>1141</v>
      </c>
      <c r="D36" s="504" t="s">
        <v>1218</v>
      </c>
      <c r="E36" s="500">
        <f ca="1">SUMIF(BC[],MID(C36,1,4)&amp;"*",bc_2017)</f>
        <v>0</v>
      </c>
      <c r="F36" s="500">
        <f ca="1">SUMIF(BC[],MID(C36,1,4)&amp;"*",bc_2016)</f>
        <v>0</v>
      </c>
      <c r="G36" s="824">
        <v>2161</v>
      </c>
      <c r="H36" s="504" t="s">
        <v>1219</v>
      </c>
      <c r="I36" s="500">
        <f ca="1">-SUMIF(BC[],MID(G36,1,4)&amp;"*",bc_2017)</f>
        <v>0</v>
      </c>
      <c r="J36" s="505">
        <f ca="1">-SUMIF(BC[],MID(G36,1,4)&amp;"*",bc_2016)</f>
        <v>0</v>
      </c>
      <c r="K36" s="841"/>
      <c r="N36" s="839"/>
      <c r="O36" s="1074"/>
      <c r="P36" s="1077"/>
      <c r="Q36" s="1069"/>
      <c r="R36" s="1069"/>
      <c r="S36" s="1069"/>
      <c r="T36" s="1069"/>
      <c r="U36" s="1069"/>
      <c r="V36" s="834"/>
      <c r="W36" s="834"/>
      <c r="X36" s="841"/>
      <c r="AQ36" s="839"/>
      <c r="AR36" s="848"/>
      <c r="AS36" s="516"/>
      <c r="AT36" s="517"/>
      <c r="AU36" s="517"/>
      <c r="AV36" s="518"/>
      <c r="AW36" s="841"/>
      <c r="AY36" s="834"/>
      <c r="AZ36" s="839"/>
      <c r="BA36" s="882">
        <v>81</v>
      </c>
      <c r="BB36" s="512" t="s">
        <v>1231</v>
      </c>
      <c r="BC36" s="494">
        <f t="shared" si="56"/>
        <v>0</v>
      </c>
      <c r="BD36" s="494">
        <f t="shared" si="57"/>
        <v>0</v>
      </c>
      <c r="BE36" s="494">
        <f t="shared" si="11"/>
        <v>0</v>
      </c>
      <c r="BF36" s="494">
        <f t="shared" si="58"/>
        <v>0</v>
      </c>
      <c r="BG36" s="494">
        <f t="shared" si="59"/>
        <v>0</v>
      </c>
      <c r="BH36" s="494">
        <f t="shared" si="14"/>
        <v>0</v>
      </c>
      <c r="BI36" s="841"/>
      <c r="BL36" s="839"/>
      <c r="BM36" s="846">
        <v>3600</v>
      </c>
      <c r="BN36" s="503" t="s">
        <v>1227</v>
      </c>
      <c r="BO36" s="497">
        <f t="shared" si="94"/>
        <v>5081858.47</v>
      </c>
      <c r="BP36" s="497">
        <f t="shared" si="95"/>
        <v>65755.799999999988</v>
      </c>
      <c r="BQ36" s="497">
        <f t="shared" si="35"/>
        <v>5147614.2699999996</v>
      </c>
      <c r="BR36" s="497">
        <f t="shared" si="96"/>
        <v>5147614.2700000005</v>
      </c>
      <c r="BS36" s="497">
        <f t="shared" si="97"/>
        <v>5147614.2700000005</v>
      </c>
      <c r="BT36" s="497">
        <f t="shared" si="38"/>
        <v>0</v>
      </c>
      <c r="BU36" s="841"/>
      <c r="CJ36" s="839"/>
      <c r="CK36" s="846">
        <v>35</v>
      </c>
      <c r="CL36" s="503" t="s">
        <v>1228</v>
      </c>
      <c r="CM36" s="497">
        <f t="shared" si="99"/>
        <v>0</v>
      </c>
      <c r="CN36" s="497">
        <f t="shared" si="100"/>
        <v>0</v>
      </c>
      <c r="CO36" s="497">
        <f t="shared" si="101"/>
        <v>0</v>
      </c>
      <c r="CP36" s="497">
        <f t="shared" si="102"/>
        <v>0</v>
      </c>
      <c r="CQ36" s="497">
        <f t="shared" si="103"/>
        <v>0</v>
      </c>
      <c r="CR36" s="497">
        <f t="shared" si="104"/>
        <v>0</v>
      </c>
      <c r="CS36" s="841"/>
      <c r="CV36" s="839"/>
      <c r="CW36" s="846"/>
      <c r="CX36" s="495"/>
      <c r="CY36" s="481"/>
      <c r="CZ36" s="481"/>
      <c r="DA36" s="481"/>
      <c r="DB36" s="481"/>
      <c r="DC36" s="481"/>
      <c r="DD36" s="481"/>
      <c r="DE36" s="841"/>
    </row>
    <row r="37" spans="2:109">
      <c r="B37" s="839"/>
      <c r="C37" s="846">
        <v>1142</v>
      </c>
      <c r="D37" s="504" t="s">
        <v>1229</v>
      </c>
      <c r="E37" s="500">
        <f ca="1">SUMIF(BC[],MID(C37,1,4)&amp;"*",bc_2017)</f>
        <v>0</v>
      </c>
      <c r="F37" s="500">
        <f ca="1">SUMIF(BC[],MID(C37,1,4)&amp;"*",bc_2016)</f>
        <v>0</v>
      </c>
      <c r="G37" s="824">
        <v>2162</v>
      </c>
      <c r="H37" s="504" t="s">
        <v>1230</v>
      </c>
      <c r="I37" s="500">
        <f ca="1">-SUMIF(BC[],MID(G37,1,4)&amp;"*",bc_2017)</f>
        <v>0</v>
      </c>
      <c r="J37" s="505">
        <f ca="1">-SUMIF(BC[],MID(G37,1,4)&amp;"*",bc_2016)</f>
        <v>0</v>
      </c>
      <c r="K37" s="841"/>
      <c r="N37" s="839"/>
      <c r="O37" s="1075"/>
      <c r="P37" s="1078"/>
      <c r="Q37" s="1079"/>
      <c r="R37" s="1079"/>
      <c r="S37" s="1079"/>
      <c r="T37" s="1079"/>
      <c r="U37" s="1079"/>
      <c r="V37" s="834"/>
      <c r="W37" s="834"/>
      <c r="X37" s="841"/>
      <c r="AQ37" s="839"/>
      <c r="AR37" s="834"/>
      <c r="AS37" s="834"/>
      <c r="AT37" s="834"/>
      <c r="AU37" s="834"/>
      <c r="AV37" s="834"/>
      <c r="AW37" s="841"/>
      <c r="AY37" s="834"/>
      <c r="AZ37" s="839"/>
      <c r="BA37" s="882">
        <v>91</v>
      </c>
      <c r="BB37" s="479" t="s">
        <v>1236</v>
      </c>
      <c r="BC37" s="502">
        <f t="shared" si="56"/>
        <v>79093840.510000005</v>
      </c>
      <c r="BD37" s="502">
        <f t="shared" si="57"/>
        <v>6844369.5</v>
      </c>
      <c r="BE37" s="502">
        <f t="shared" si="11"/>
        <v>85938210.010000005</v>
      </c>
      <c r="BF37" s="502">
        <f t="shared" si="58"/>
        <v>85938205.109999985</v>
      </c>
      <c r="BG37" s="502">
        <f t="shared" si="59"/>
        <v>85938205.109999985</v>
      </c>
      <c r="BH37" s="502">
        <f t="shared" si="14"/>
        <v>6844364.5999999791</v>
      </c>
      <c r="BI37" s="841"/>
      <c r="BL37" s="839"/>
      <c r="BM37" s="846">
        <v>3700</v>
      </c>
      <c r="BN37" s="503" t="s">
        <v>1232</v>
      </c>
      <c r="BO37" s="497">
        <f t="shared" si="94"/>
        <v>510777.37999999995</v>
      </c>
      <c r="BP37" s="497">
        <f t="shared" si="95"/>
        <v>-337315.05999999994</v>
      </c>
      <c r="BQ37" s="497">
        <f t="shared" si="35"/>
        <v>173462.32</v>
      </c>
      <c r="BR37" s="497">
        <f t="shared" si="96"/>
        <v>173462.32</v>
      </c>
      <c r="BS37" s="497">
        <f t="shared" si="97"/>
        <v>172412.32</v>
      </c>
      <c r="BT37" s="497">
        <f t="shared" si="38"/>
        <v>0</v>
      </c>
      <c r="BU37" s="841"/>
      <c r="CJ37" s="839"/>
      <c r="CK37" s="846">
        <v>36</v>
      </c>
      <c r="CL37" s="503" t="s">
        <v>1233</v>
      </c>
      <c r="CM37" s="497">
        <f t="shared" si="99"/>
        <v>0</v>
      </c>
      <c r="CN37" s="497">
        <f t="shared" si="100"/>
        <v>0</v>
      </c>
      <c r="CO37" s="497">
        <f t="shared" si="101"/>
        <v>0</v>
      </c>
      <c r="CP37" s="497">
        <f t="shared" si="102"/>
        <v>0</v>
      </c>
      <c r="CQ37" s="497">
        <f t="shared" si="103"/>
        <v>0</v>
      </c>
      <c r="CR37" s="497">
        <f t="shared" si="104"/>
        <v>0</v>
      </c>
      <c r="CS37" s="841"/>
      <c r="CV37" s="839"/>
      <c r="CW37" s="858"/>
      <c r="CX37" s="852"/>
      <c r="CY37" s="852"/>
      <c r="CZ37" s="852"/>
      <c r="DA37" s="852"/>
      <c r="DB37" s="852"/>
      <c r="DC37" s="852"/>
      <c r="DD37" s="852"/>
      <c r="DE37" s="841"/>
    </row>
    <row r="38" spans="2:109" ht="12.75" thickBot="1">
      <c r="B38" s="839"/>
      <c r="C38" s="846">
        <v>1143</v>
      </c>
      <c r="D38" s="504" t="s">
        <v>1234</v>
      </c>
      <c r="E38" s="500">
        <f ca="1">SUMIF(BC[],MID(C38,1,4)&amp;"*",bc_2017)</f>
        <v>0</v>
      </c>
      <c r="F38" s="500">
        <f ca="1">SUMIF(BC[],MID(C38,1,4)&amp;"*",bc_2016)</f>
        <v>0</v>
      </c>
      <c r="G38" s="824">
        <v>2163</v>
      </c>
      <c r="H38" s="504" t="s">
        <v>1235</v>
      </c>
      <c r="I38" s="500">
        <f ca="1">-SUMIF(BC[],MID(G38,1,4)&amp;"*",bc_2017)</f>
        <v>0</v>
      </c>
      <c r="J38" s="505">
        <f ca="1">-SUMIF(BC[],MID(G38,1,4)&amp;"*",bc_2016)</f>
        <v>0</v>
      </c>
      <c r="K38" s="841"/>
      <c r="N38" s="839"/>
      <c r="O38" s="845"/>
      <c r="P38" s="862" t="s">
        <v>1014</v>
      </c>
      <c r="Q38" s="861" t="s">
        <v>1015</v>
      </c>
      <c r="R38" s="829" t="s">
        <v>1241</v>
      </c>
      <c r="S38" s="829" t="s">
        <v>1242</v>
      </c>
      <c r="T38" s="829" t="s">
        <v>1243</v>
      </c>
      <c r="U38" s="829" t="s">
        <v>1244</v>
      </c>
      <c r="V38" s="834"/>
      <c r="W38" s="834"/>
      <c r="X38" s="841"/>
      <c r="AQ38" s="839"/>
      <c r="AR38" s="1073"/>
      <c r="AS38" s="1080" t="s">
        <v>1009</v>
      </c>
      <c r="AT38" s="1068" t="s">
        <v>1010</v>
      </c>
      <c r="AU38" s="1068" t="s">
        <v>359</v>
      </c>
      <c r="AV38" s="1068" t="s">
        <v>1011</v>
      </c>
      <c r="AW38" s="841"/>
      <c r="AY38" s="834"/>
      <c r="AZ38" s="839"/>
      <c r="BA38" s="882">
        <v>83</v>
      </c>
      <c r="BB38" s="479" t="s">
        <v>1245</v>
      </c>
      <c r="BC38" s="502">
        <f t="shared" si="56"/>
        <v>0</v>
      </c>
      <c r="BD38" s="502">
        <f t="shared" si="57"/>
        <v>0</v>
      </c>
      <c r="BE38" s="502">
        <f t="shared" si="11"/>
        <v>0</v>
      </c>
      <c r="BF38" s="502">
        <f t="shared" si="58"/>
        <v>0</v>
      </c>
      <c r="BG38" s="502">
        <f t="shared" si="59"/>
        <v>0</v>
      </c>
      <c r="BH38" s="502">
        <f t="shared" si="14"/>
        <v>0</v>
      </c>
      <c r="BI38" s="841"/>
      <c r="BL38" s="839"/>
      <c r="BM38" s="846">
        <v>3800</v>
      </c>
      <c r="BN38" s="503" t="s">
        <v>1237</v>
      </c>
      <c r="BO38" s="497">
        <f t="shared" si="94"/>
        <v>1398937.78</v>
      </c>
      <c r="BP38" s="497">
        <f t="shared" si="95"/>
        <v>-42651.470000000016</v>
      </c>
      <c r="BQ38" s="497">
        <f t="shared" si="35"/>
        <v>1356286.31</v>
      </c>
      <c r="BR38" s="497">
        <f t="shared" si="96"/>
        <v>1356286.31</v>
      </c>
      <c r="BS38" s="497">
        <f t="shared" si="97"/>
        <v>1356286.31</v>
      </c>
      <c r="BT38" s="497">
        <f t="shared" si="38"/>
        <v>0</v>
      </c>
      <c r="BU38" s="841"/>
      <c r="CJ38" s="839"/>
      <c r="CK38" s="846">
        <v>37</v>
      </c>
      <c r="CL38" s="503" t="s">
        <v>1238</v>
      </c>
      <c r="CM38" s="497">
        <f t="shared" si="99"/>
        <v>0</v>
      </c>
      <c r="CN38" s="497">
        <f t="shared" si="100"/>
        <v>0</v>
      </c>
      <c r="CO38" s="497">
        <f t="shared" si="101"/>
        <v>0</v>
      </c>
      <c r="CP38" s="497">
        <f t="shared" si="102"/>
        <v>0</v>
      </c>
      <c r="CQ38" s="497">
        <f t="shared" si="103"/>
        <v>0</v>
      </c>
      <c r="CR38" s="497">
        <f t="shared" si="104"/>
        <v>0</v>
      </c>
      <c r="CS38" s="841"/>
      <c r="CV38" s="849"/>
      <c r="CW38" s="859"/>
      <c r="CX38" s="850"/>
      <c r="CY38" s="850"/>
      <c r="CZ38" s="850"/>
      <c r="DA38" s="850"/>
      <c r="DB38" s="850"/>
      <c r="DC38" s="850"/>
      <c r="DD38" s="850"/>
      <c r="DE38" s="851"/>
    </row>
    <row r="39" spans="2:109">
      <c r="B39" s="839"/>
      <c r="C39" s="846">
        <v>1144</v>
      </c>
      <c r="D39" s="504" t="s">
        <v>1239</v>
      </c>
      <c r="E39" s="500">
        <f ca="1">SUMIF(BC[],MID(C39,1,4)&amp;"*",bc_2017)</f>
        <v>0</v>
      </c>
      <c r="F39" s="500">
        <f ca="1">SUMIF(BC[],MID(C39,1,4)&amp;"*",bc_2016)</f>
        <v>0</v>
      </c>
      <c r="G39" s="824">
        <v>2164</v>
      </c>
      <c r="H39" s="504" t="s">
        <v>1240</v>
      </c>
      <c r="I39" s="500">
        <f ca="1">-SUMIF(BC[],MID(G39,1,4)&amp;"*",bc_2017)</f>
        <v>0</v>
      </c>
      <c r="J39" s="505">
        <f ca="1">-SUMIF(BC[],MID(G39,1,4)&amp;"*",bc_2016)</f>
        <v>0</v>
      </c>
      <c r="K39" s="841"/>
      <c r="N39" s="839"/>
      <c r="O39" s="863"/>
      <c r="P39" s="864" t="s">
        <v>1250</v>
      </c>
      <c r="Q39" s="865"/>
      <c r="R39" s="865"/>
      <c r="S39" s="865"/>
      <c r="T39" s="865"/>
      <c r="U39" s="866"/>
      <c r="V39" s="834"/>
      <c r="W39" s="834"/>
      <c r="X39" s="841"/>
      <c r="AQ39" s="839"/>
      <c r="AR39" s="1074"/>
      <c r="AS39" s="1081"/>
      <c r="AT39" s="1069"/>
      <c r="AU39" s="1069"/>
      <c r="AV39" s="1069"/>
      <c r="AW39" s="841"/>
      <c r="AY39" s="834"/>
      <c r="AZ39" s="839"/>
      <c r="BA39" s="882">
        <v>83</v>
      </c>
      <c r="BB39" s="512" t="s">
        <v>1251</v>
      </c>
      <c r="BC39" s="494">
        <f t="shared" si="56"/>
        <v>0</v>
      </c>
      <c r="BD39" s="494">
        <f t="shared" si="57"/>
        <v>0</v>
      </c>
      <c r="BE39" s="494">
        <f t="shared" si="11"/>
        <v>0</v>
      </c>
      <c r="BF39" s="494">
        <f t="shared" si="58"/>
        <v>0</v>
      </c>
      <c r="BG39" s="494">
        <f t="shared" si="59"/>
        <v>0</v>
      </c>
      <c r="BH39" s="494">
        <f t="shared" si="14"/>
        <v>0</v>
      </c>
      <c r="BI39" s="841"/>
      <c r="BL39" s="839"/>
      <c r="BM39" s="846">
        <v>3900</v>
      </c>
      <c r="BN39" s="503" t="s">
        <v>1246</v>
      </c>
      <c r="BO39" s="497">
        <f t="shared" si="94"/>
        <v>1031681.38</v>
      </c>
      <c r="BP39" s="497">
        <f t="shared" si="95"/>
        <v>141333.20000000001</v>
      </c>
      <c r="BQ39" s="497">
        <f t="shared" si="35"/>
        <v>1173014.58</v>
      </c>
      <c r="BR39" s="497">
        <f t="shared" si="96"/>
        <v>1173014.58</v>
      </c>
      <c r="BS39" s="497">
        <f t="shared" si="97"/>
        <v>1173014.58</v>
      </c>
      <c r="BT39" s="497">
        <f t="shared" si="38"/>
        <v>0</v>
      </c>
      <c r="BU39" s="841"/>
      <c r="CJ39" s="839"/>
      <c r="CK39" s="846">
        <v>38</v>
      </c>
      <c r="CL39" s="503" t="s">
        <v>1247</v>
      </c>
      <c r="CM39" s="497">
        <f t="shared" si="99"/>
        <v>0</v>
      </c>
      <c r="CN39" s="497">
        <f t="shared" si="100"/>
        <v>0</v>
      </c>
      <c r="CO39" s="497">
        <f t="shared" si="101"/>
        <v>0</v>
      </c>
      <c r="CP39" s="497">
        <f t="shared" si="102"/>
        <v>0</v>
      </c>
      <c r="CQ39" s="497">
        <f t="shared" si="103"/>
        <v>0</v>
      </c>
      <c r="CR39" s="497">
        <f t="shared" si="104"/>
        <v>0</v>
      </c>
      <c r="CS39" s="841"/>
    </row>
    <row r="40" spans="2:109">
      <c r="B40" s="839"/>
      <c r="C40" s="846">
        <v>1145</v>
      </c>
      <c r="D40" s="504" t="s">
        <v>1248</v>
      </c>
      <c r="E40" s="500">
        <f ca="1">SUMIF(BC[],MID(C40,1,4)&amp;"*",bc_2017)</f>
        <v>0</v>
      </c>
      <c r="F40" s="500">
        <f ca="1">SUMIF(BC[],MID(C40,1,4)&amp;"*",bc_2016)</f>
        <v>0</v>
      </c>
      <c r="G40" s="824">
        <v>2165</v>
      </c>
      <c r="H40" s="504" t="s">
        <v>1249</v>
      </c>
      <c r="I40" s="500">
        <f ca="1">-SUMIF(BC[],MID(G40,1,4)&amp;"*",bc_2017)</f>
        <v>0</v>
      </c>
      <c r="J40" s="505">
        <f ca="1">-SUMIF(BC[],MID(G40,1,4)&amp;"*",bc_2016)</f>
        <v>0</v>
      </c>
      <c r="K40" s="841"/>
      <c r="N40" s="839"/>
      <c r="O40" s="846"/>
      <c r="P40" s="489" t="s">
        <v>1256</v>
      </c>
      <c r="Q40" s="500">
        <v>0</v>
      </c>
      <c r="R40" s="500">
        <v>0</v>
      </c>
      <c r="S40" s="500">
        <v>0</v>
      </c>
      <c r="T40" s="500">
        <v>0</v>
      </c>
      <c r="U40" s="505">
        <v>0</v>
      </c>
      <c r="V40" s="834"/>
      <c r="W40" s="834"/>
      <c r="X40" s="841"/>
      <c r="AQ40" s="839"/>
      <c r="AR40" s="847"/>
      <c r="AS40" s="522"/>
      <c r="AT40" s="523"/>
      <c r="AU40" s="523"/>
      <c r="AV40" s="524"/>
      <c r="AW40" s="841"/>
      <c r="AY40" s="834"/>
      <c r="AZ40" s="839"/>
      <c r="BA40" s="882"/>
      <c r="BB40" s="479" t="s">
        <v>1258</v>
      </c>
      <c r="BC40" s="502">
        <v>0</v>
      </c>
      <c r="BD40" s="502">
        <v>0</v>
      </c>
      <c r="BE40" s="502">
        <f t="shared" si="11"/>
        <v>0</v>
      </c>
      <c r="BF40" s="502">
        <v>0</v>
      </c>
      <c r="BG40" s="502">
        <v>0</v>
      </c>
      <c r="BH40" s="502">
        <f t="shared" si="14"/>
        <v>0</v>
      </c>
      <c r="BI40" s="841"/>
      <c r="BL40" s="839"/>
      <c r="BM40" s="846">
        <v>4000</v>
      </c>
      <c r="BN40" s="495" t="s">
        <v>1252</v>
      </c>
      <c r="BO40" s="496">
        <f t="shared" ref="BO40:BT40" si="107">SUM(BO41:BO49)</f>
        <v>0</v>
      </c>
      <c r="BP40" s="496">
        <f t="shared" si="107"/>
        <v>0</v>
      </c>
      <c r="BQ40" s="496">
        <f t="shared" si="107"/>
        <v>0</v>
      </c>
      <c r="BR40" s="496">
        <f t="shared" si="107"/>
        <v>0</v>
      </c>
      <c r="BS40" s="496">
        <f t="shared" si="107"/>
        <v>0</v>
      </c>
      <c r="BT40" s="496">
        <f t="shared" si="107"/>
        <v>0</v>
      </c>
      <c r="BU40" s="841"/>
      <c r="CJ40" s="839"/>
      <c r="CK40" s="846">
        <v>39</v>
      </c>
      <c r="CL40" s="503" t="s">
        <v>1253</v>
      </c>
      <c r="CM40" s="497">
        <f t="shared" si="99"/>
        <v>0</v>
      </c>
      <c r="CN40" s="497">
        <f t="shared" si="100"/>
        <v>0</v>
      </c>
      <c r="CO40" s="497">
        <f t="shared" si="101"/>
        <v>0</v>
      </c>
      <c r="CP40" s="497">
        <f t="shared" si="102"/>
        <v>0</v>
      </c>
      <c r="CQ40" s="497">
        <f t="shared" si="103"/>
        <v>0</v>
      </c>
      <c r="CR40" s="497">
        <f t="shared" si="104"/>
        <v>0</v>
      </c>
      <c r="CS40" s="841"/>
    </row>
    <row r="41" spans="2:109">
      <c r="B41" s="839"/>
      <c r="C41" s="846">
        <v>1150</v>
      </c>
      <c r="D41" s="479" t="s">
        <v>1254</v>
      </c>
      <c r="E41" s="468">
        <f ca="1">SUMIF(BC[],MID(C41,1,3)&amp;"*",bc_2017)</f>
        <v>0</v>
      </c>
      <c r="F41" s="468">
        <f ca="1">SUMIF(BC[],MID(C41,1,3)&amp;"*",bc_2016)</f>
        <v>0</v>
      </c>
      <c r="G41" s="824">
        <v>2166</v>
      </c>
      <c r="H41" s="504" t="s">
        <v>1255</v>
      </c>
      <c r="I41" s="500">
        <f ca="1">-SUMIF(BC[],MID(G41,1,4)&amp;"*",bc_2017)</f>
        <v>0</v>
      </c>
      <c r="J41" s="505">
        <f ca="1">-SUMIF(BC[],MID(G41,1,4)&amp;"*",bc_2016)</f>
        <v>0</v>
      </c>
      <c r="K41" s="841"/>
      <c r="N41" s="839"/>
      <c r="O41" s="846"/>
      <c r="P41" s="489" t="s">
        <v>1262</v>
      </c>
      <c r="Q41" s="500">
        <v>0</v>
      </c>
      <c r="R41" s="500">
        <v>0</v>
      </c>
      <c r="S41" s="500">
        <v>0</v>
      </c>
      <c r="T41" s="500">
        <v>0</v>
      </c>
      <c r="U41" s="505">
        <v>0</v>
      </c>
      <c r="V41" s="834"/>
      <c r="W41" s="834"/>
      <c r="X41" s="841"/>
      <c r="AQ41" s="839"/>
      <c r="AR41" s="847"/>
      <c r="AS41" s="525" t="s">
        <v>1257</v>
      </c>
      <c r="AT41" s="519">
        <f>+AT42+AT43</f>
        <v>0</v>
      </c>
      <c r="AU41" s="519">
        <f t="shared" ref="AU41:AV41" si="108">+AU42+AU43</f>
        <v>0</v>
      </c>
      <c r="AV41" s="519">
        <f t="shared" si="108"/>
        <v>0</v>
      </c>
      <c r="AW41" s="841"/>
      <c r="AY41" s="834"/>
      <c r="AZ41" s="839"/>
      <c r="BA41" s="882"/>
      <c r="BB41" s="512" t="s">
        <v>1264</v>
      </c>
      <c r="BC41" s="494">
        <v>0</v>
      </c>
      <c r="BD41" s="494">
        <v>0</v>
      </c>
      <c r="BE41" s="494">
        <f t="shared" si="11"/>
        <v>0</v>
      </c>
      <c r="BF41" s="494">
        <v>0</v>
      </c>
      <c r="BG41" s="494">
        <v>0</v>
      </c>
      <c r="BH41" s="494">
        <f t="shared" si="14"/>
        <v>0</v>
      </c>
      <c r="BI41" s="841"/>
      <c r="BL41" s="839"/>
      <c r="BM41" s="846">
        <v>4100</v>
      </c>
      <c r="BN41" s="503" t="s">
        <v>1259</v>
      </c>
      <c r="BO41" s="497">
        <f t="shared" ref="BO41:BO49" si="109">SUMIF(PE_COG,MID(BM41,1,2)&amp;"*",PE_A)</f>
        <v>0</v>
      </c>
      <c r="BP41" s="497">
        <f t="shared" ref="BP41:BP49" si="110">SUMIF(PE_COG,MID(BM41,1,2)&amp;"*",PE_M)</f>
        <v>0</v>
      </c>
      <c r="BQ41" s="497">
        <f t="shared" si="35"/>
        <v>0</v>
      </c>
      <c r="BR41" s="497">
        <f t="shared" ref="BR41:BR49" si="111">SUMIF(PE_COG,MID(BM41,1,2)&amp;"*",PE_D)</f>
        <v>0</v>
      </c>
      <c r="BS41" s="497">
        <f t="shared" ref="BS41:BS49" si="112">SUMIF(PE_COG,MID(BM41,1,2)&amp;"*",PE_P)</f>
        <v>0</v>
      </c>
      <c r="BT41" s="497">
        <f t="shared" si="38"/>
        <v>0</v>
      </c>
      <c r="BU41" s="841"/>
      <c r="CJ41" s="839"/>
      <c r="CK41" s="846"/>
      <c r="CL41" s="503"/>
      <c r="CM41" s="497"/>
      <c r="CN41" s="497"/>
      <c r="CO41" s="497"/>
      <c r="CP41" s="497"/>
      <c r="CQ41" s="497"/>
      <c r="CR41" s="497"/>
      <c r="CS41" s="841"/>
    </row>
    <row r="42" spans="2:109">
      <c r="B42" s="839"/>
      <c r="C42" s="846">
        <v>1160</v>
      </c>
      <c r="D42" s="479" t="s">
        <v>1260</v>
      </c>
      <c r="E42" s="468">
        <f ca="1">SUM(E43:E44)</f>
        <v>0</v>
      </c>
      <c r="F42" s="468">
        <f ca="1">SUM(F43:F44)</f>
        <v>0</v>
      </c>
      <c r="G42" s="824">
        <v>2170</v>
      </c>
      <c r="H42" s="479" t="s">
        <v>1261</v>
      </c>
      <c r="I42" s="468">
        <f ca="1">SUM(I43:I45)</f>
        <v>0</v>
      </c>
      <c r="J42" s="491">
        <f ca="1">SUM(J43:J45)</f>
        <v>0</v>
      </c>
      <c r="K42" s="841"/>
      <c r="N42" s="839"/>
      <c r="O42" s="846"/>
      <c r="P42" s="489" t="s">
        <v>1269</v>
      </c>
      <c r="Q42" s="500">
        <v>0</v>
      </c>
      <c r="R42" s="500">
        <v>0</v>
      </c>
      <c r="S42" s="500">
        <v>0</v>
      </c>
      <c r="T42" s="500">
        <v>0</v>
      </c>
      <c r="U42" s="505">
        <v>0</v>
      </c>
      <c r="V42" s="834"/>
      <c r="W42" s="834"/>
      <c r="X42" s="841"/>
      <c r="AQ42" s="839"/>
      <c r="AR42" s="847"/>
      <c r="AS42" s="526" t="s">
        <v>1263</v>
      </c>
      <c r="AT42" s="527">
        <f>+AT56</f>
        <v>0</v>
      </c>
      <c r="AU42" s="527">
        <f t="shared" ref="AU42:AV42" si="113">+AU56</f>
        <v>0</v>
      </c>
      <c r="AV42" s="527">
        <f t="shared" si="113"/>
        <v>0</v>
      </c>
      <c r="AW42" s="841"/>
      <c r="AY42" s="834"/>
      <c r="AZ42" s="839"/>
      <c r="BA42" s="882"/>
      <c r="BB42" s="512" t="s">
        <v>1271</v>
      </c>
      <c r="BC42" s="494">
        <v>0</v>
      </c>
      <c r="BD42" s="494">
        <v>0</v>
      </c>
      <c r="BE42" s="494">
        <f t="shared" si="11"/>
        <v>0</v>
      </c>
      <c r="BF42" s="494">
        <v>0</v>
      </c>
      <c r="BG42" s="494">
        <v>0</v>
      </c>
      <c r="BH42" s="494">
        <f t="shared" si="14"/>
        <v>0</v>
      </c>
      <c r="BI42" s="841"/>
      <c r="BL42" s="839"/>
      <c r="BM42" s="846">
        <v>4200</v>
      </c>
      <c r="BN42" s="503" t="s">
        <v>1265</v>
      </c>
      <c r="BO42" s="497">
        <f t="shared" si="109"/>
        <v>0</v>
      </c>
      <c r="BP42" s="497">
        <f t="shared" si="110"/>
        <v>0</v>
      </c>
      <c r="BQ42" s="497">
        <f t="shared" si="35"/>
        <v>0</v>
      </c>
      <c r="BR42" s="497">
        <f t="shared" si="111"/>
        <v>0</v>
      </c>
      <c r="BS42" s="497">
        <f t="shared" si="112"/>
        <v>0</v>
      </c>
      <c r="BT42" s="497">
        <f t="shared" si="38"/>
        <v>0</v>
      </c>
      <c r="BU42" s="841"/>
      <c r="CJ42" s="839"/>
      <c r="CK42" s="846">
        <v>40</v>
      </c>
      <c r="CL42" s="498" t="s">
        <v>1266</v>
      </c>
      <c r="CM42" s="496">
        <f t="shared" ref="CM42:CR42" si="114">SUM(CM43:CM46)</f>
        <v>0</v>
      </c>
      <c r="CN42" s="496">
        <f t="shared" si="114"/>
        <v>0</v>
      </c>
      <c r="CO42" s="496">
        <f t="shared" si="114"/>
        <v>0</v>
      </c>
      <c r="CP42" s="496">
        <f t="shared" si="114"/>
        <v>0</v>
      </c>
      <c r="CQ42" s="496">
        <f t="shared" si="114"/>
        <v>0</v>
      </c>
      <c r="CR42" s="496">
        <f t="shared" si="114"/>
        <v>0</v>
      </c>
      <c r="CS42" s="841"/>
    </row>
    <row r="43" spans="2:109">
      <c r="B43" s="839"/>
      <c r="C43" s="846">
        <v>1161</v>
      </c>
      <c r="D43" s="504" t="s">
        <v>1267</v>
      </c>
      <c r="E43" s="500">
        <f ca="1">SUMIF(BC[],MID(C43,1,4)&amp;"*",bc_2017)</f>
        <v>0</v>
      </c>
      <c r="F43" s="500">
        <f ca="1">SUMIF(BC[],MID(C43,1,4)&amp;"*",bc_2016)</f>
        <v>0</v>
      </c>
      <c r="G43" s="824">
        <v>2171</v>
      </c>
      <c r="H43" s="504" t="s">
        <v>1268</v>
      </c>
      <c r="I43" s="500">
        <f ca="1">-SUMIF(BC[],MID(G43,1,4)&amp;"*",bc_2017)</f>
        <v>0</v>
      </c>
      <c r="J43" s="505">
        <f ca="1">-SUMIF(BC[],MID(G43,1,4)&amp;"*",bc_2016)</f>
        <v>0</v>
      </c>
      <c r="K43" s="841"/>
      <c r="N43" s="839"/>
      <c r="O43" s="858"/>
      <c r="P43" s="854"/>
      <c r="Q43" s="854"/>
      <c r="R43" s="854"/>
      <c r="S43" s="854"/>
      <c r="T43" s="854"/>
      <c r="U43" s="852"/>
      <c r="V43" s="834"/>
      <c r="W43" s="834"/>
      <c r="X43" s="841"/>
      <c r="AQ43" s="839"/>
      <c r="AR43" s="847"/>
      <c r="AS43" s="526" t="s">
        <v>1270</v>
      </c>
      <c r="AT43" s="527">
        <f>+AT72</f>
        <v>0</v>
      </c>
      <c r="AU43" s="527">
        <f t="shared" ref="AU43:AV43" si="115">+AU72</f>
        <v>0</v>
      </c>
      <c r="AV43" s="527">
        <f t="shared" si="115"/>
        <v>0</v>
      </c>
      <c r="AW43" s="841"/>
      <c r="AY43" s="834"/>
      <c r="AZ43" s="839"/>
      <c r="BA43" s="883"/>
      <c r="BB43" s="473" t="s">
        <v>1277</v>
      </c>
      <c r="BC43" s="519">
        <f>+BC12+BC13+BC14+BC15+BC16+BC17+BC18+BC19+BC31+BC37+BC38+BC40</f>
        <v>80405840.510000005</v>
      </c>
      <c r="BD43" s="519">
        <f t="shared" ref="BD43:BG43" si="116">+BD12+BD13+BD14+BD15+BD16+BD17+BD18+BD19+BD31+BD37+BD38+BD40</f>
        <v>8457903.8100000005</v>
      </c>
      <c r="BE43" s="502">
        <f t="shared" si="11"/>
        <v>88863744.320000008</v>
      </c>
      <c r="BF43" s="519">
        <f t="shared" si="116"/>
        <v>88863739.419999987</v>
      </c>
      <c r="BG43" s="519">
        <f t="shared" si="116"/>
        <v>88863739.419999987</v>
      </c>
      <c r="BH43" s="502">
        <f t="shared" si="14"/>
        <v>8457898.9099999815</v>
      </c>
      <c r="BI43" s="841"/>
      <c r="BL43" s="839"/>
      <c r="BM43" s="846">
        <v>4300</v>
      </c>
      <c r="BN43" s="503" t="s">
        <v>1272</v>
      </c>
      <c r="BO43" s="497">
        <f t="shared" si="109"/>
        <v>0</v>
      </c>
      <c r="BP43" s="497">
        <f t="shared" si="110"/>
        <v>0</v>
      </c>
      <c r="BQ43" s="497">
        <f t="shared" si="35"/>
        <v>0</v>
      </c>
      <c r="BR43" s="497">
        <f t="shared" si="111"/>
        <v>0</v>
      </c>
      <c r="BS43" s="497">
        <f t="shared" si="112"/>
        <v>0</v>
      </c>
      <c r="BT43" s="497">
        <f t="shared" si="38"/>
        <v>0</v>
      </c>
      <c r="BU43" s="841"/>
      <c r="CJ43" s="839"/>
      <c r="CK43" s="846">
        <v>41</v>
      </c>
      <c r="CL43" s="503" t="s">
        <v>1273</v>
      </c>
      <c r="CM43" s="497">
        <f>SUMIF(PE_CFG,MID(CK40,1,1)&amp;"."&amp;MID(CK40,2,1)&amp;".*",PE_A)</f>
        <v>0</v>
      </c>
      <c r="CN43" s="497">
        <f>SUMIF(PE_CFG,MID(CK40,1,1)&amp;"."&amp;MID(CK40,2,1)&amp;".*",PE_M)</f>
        <v>0</v>
      </c>
      <c r="CO43" s="497">
        <f>+CM43+CN43</f>
        <v>0</v>
      </c>
      <c r="CP43" s="497">
        <f>SUMIF(PE_CFG,MID(CK40,1,1)&amp;"."&amp;MID(CK40,2,1)&amp;".*",PE_D)</f>
        <v>0</v>
      </c>
      <c r="CQ43" s="497">
        <f>SUMIF(PE_CFG,MID(CK40,1,1)&amp;"."&amp;MID(CK40,2,1)&amp;".*",PE_P)</f>
        <v>0</v>
      </c>
      <c r="CR43" s="497">
        <f>+CO43-CP43</f>
        <v>0</v>
      </c>
      <c r="CS43" s="841"/>
    </row>
    <row r="44" spans="2:109">
      <c r="B44" s="839"/>
      <c r="C44" s="846">
        <v>1162</v>
      </c>
      <c r="D44" s="504" t="s">
        <v>1274</v>
      </c>
      <c r="E44" s="500">
        <f ca="1">SUMIF(BC[],MID(C44,1,4)&amp;"*",bc_2017)</f>
        <v>0</v>
      </c>
      <c r="F44" s="500">
        <f ca="1">SUMIF(BC[],MID(C44,1,4)&amp;"*",bc_2016)</f>
        <v>0</v>
      </c>
      <c r="G44" s="824">
        <v>2172</v>
      </c>
      <c r="H44" s="504" t="s">
        <v>1275</v>
      </c>
      <c r="I44" s="500">
        <f ca="1">-SUMIF(BC[],MID(G44,1,4)&amp;"*",bc_2017)</f>
        <v>0</v>
      </c>
      <c r="J44" s="505">
        <f ca="1">-SUMIF(BC[],MID(G44,1,4)&amp;"*",bc_2016)</f>
        <v>0</v>
      </c>
      <c r="K44" s="841"/>
      <c r="N44" s="839"/>
      <c r="O44" s="840"/>
      <c r="P44" s="834"/>
      <c r="Q44" s="834"/>
      <c r="R44" s="834"/>
      <c r="S44" s="834"/>
      <c r="T44" s="834"/>
      <c r="U44" s="834"/>
      <c r="V44" s="834"/>
      <c r="W44" s="834"/>
      <c r="X44" s="841"/>
      <c r="AQ44" s="839"/>
      <c r="AR44" s="847"/>
      <c r="AS44" s="525" t="s">
        <v>1276</v>
      </c>
      <c r="AT44" s="519">
        <f>+AT45+AT46</f>
        <v>0</v>
      </c>
      <c r="AU44" s="519">
        <f t="shared" ref="AU44:AV44" si="117">+AU45+AU46</f>
        <v>0</v>
      </c>
      <c r="AV44" s="519">
        <f t="shared" si="117"/>
        <v>0</v>
      </c>
      <c r="AW44" s="841"/>
      <c r="AY44" s="834"/>
      <c r="AZ44" s="839"/>
      <c r="BA44" s="883"/>
      <c r="BB44" s="473" t="s">
        <v>1283</v>
      </c>
      <c r="BC44" s="528"/>
      <c r="BD44" s="529"/>
      <c r="BE44" s="529"/>
      <c r="BF44" s="529"/>
      <c r="BG44" s="529"/>
      <c r="BH44" s="502">
        <f>IF(BH43&gt;0,BH43,0)</f>
        <v>8457898.9099999815</v>
      </c>
      <c r="BI44" s="841"/>
      <c r="BL44" s="839"/>
      <c r="BM44" s="846">
        <v>4400</v>
      </c>
      <c r="BN44" s="503" t="s">
        <v>1278</v>
      </c>
      <c r="BO44" s="497">
        <f t="shared" si="109"/>
        <v>0</v>
      </c>
      <c r="BP44" s="497">
        <f t="shared" si="110"/>
        <v>0</v>
      </c>
      <c r="BQ44" s="497">
        <f t="shared" si="35"/>
        <v>0</v>
      </c>
      <c r="BR44" s="497">
        <f t="shared" si="111"/>
        <v>0</v>
      </c>
      <c r="BS44" s="497">
        <f t="shared" si="112"/>
        <v>0</v>
      </c>
      <c r="BT44" s="497">
        <f t="shared" si="38"/>
        <v>0</v>
      </c>
      <c r="BU44" s="841"/>
      <c r="CJ44" s="839"/>
      <c r="CK44" s="846">
        <v>42</v>
      </c>
      <c r="CL44" s="503" t="s">
        <v>1279</v>
      </c>
      <c r="CM44" s="497">
        <f>SUMIF(PE_CFG,MID(CK41,1,1)&amp;"."&amp;MID(CK41,2,1)&amp;".*",PE_A)</f>
        <v>0</v>
      </c>
      <c r="CN44" s="497">
        <f>SUMIF(PE_CFG,MID(CK41,1,1)&amp;"."&amp;MID(CK41,2,1)&amp;".*",PE_M)</f>
        <v>0</v>
      </c>
      <c r="CO44" s="497">
        <f>+CM44+CN44</f>
        <v>0</v>
      </c>
      <c r="CP44" s="497">
        <f>SUMIF(PE_CFG,MID(CK41,1,1)&amp;"."&amp;MID(CK41,2,1)&amp;".*",PE_D)</f>
        <v>0</v>
      </c>
      <c r="CQ44" s="497">
        <f>SUMIF(PE_CFG,MID(CK41,1,1)&amp;"."&amp;MID(CK41,2,1)&amp;".*",PE_P)</f>
        <v>0</v>
      </c>
      <c r="CR44" s="497">
        <f>+CO44-CP44</f>
        <v>0</v>
      </c>
      <c r="CS44" s="841"/>
    </row>
    <row r="45" spans="2:109" ht="12.75" thickBot="1">
      <c r="B45" s="839"/>
      <c r="C45" s="846">
        <v>1190</v>
      </c>
      <c r="D45" s="479" t="s">
        <v>1280</v>
      </c>
      <c r="E45" s="468">
        <f ca="1">SUM(E46:E49)</f>
        <v>0</v>
      </c>
      <c r="F45" s="468">
        <f ca="1">SUM(F46:F49)</f>
        <v>0</v>
      </c>
      <c r="G45" s="824">
        <v>2179</v>
      </c>
      <c r="H45" s="504" t="s">
        <v>1281</v>
      </c>
      <c r="I45" s="500">
        <f ca="1">-SUMIF(BC[],MID(G45,1,4)&amp;"*",bc_2017)</f>
        <v>0</v>
      </c>
      <c r="J45" s="505">
        <f ca="1">-SUMIF(BC[],MID(G45,1,4)&amp;"*",bc_2016)</f>
        <v>0</v>
      </c>
      <c r="K45" s="841"/>
      <c r="N45" s="849"/>
      <c r="O45" s="859"/>
      <c r="P45" s="850"/>
      <c r="Q45" s="850"/>
      <c r="R45" s="850"/>
      <c r="S45" s="850"/>
      <c r="T45" s="850"/>
      <c r="U45" s="850"/>
      <c r="V45" s="850"/>
      <c r="W45" s="850"/>
      <c r="X45" s="851"/>
      <c r="AQ45" s="839"/>
      <c r="AR45" s="847"/>
      <c r="AS45" s="526" t="s">
        <v>1282</v>
      </c>
      <c r="AT45" s="527">
        <f>+AT57</f>
        <v>0</v>
      </c>
      <c r="AU45" s="527">
        <f t="shared" ref="AU45:AV45" si="118">+AU57</f>
        <v>0</v>
      </c>
      <c r="AV45" s="527">
        <f t="shared" si="118"/>
        <v>0</v>
      </c>
      <c r="AW45" s="841"/>
      <c r="AY45" s="834"/>
      <c r="AZ45" s="839"/>
      <c r="BA45" s="883"/>
      <c r="BB45" s="479"/>
      <c r="BC45" s="480"/>
      <c r="BD45" s="481"/>
      <c r="BE45" s="481"/>
      <c r="BF45" s="481"/>
      <c r="BG45" s="481"/>
      <c r="BH45" s="481"/>
      <c r="BI45" s="841"/>
      <c r="BL45" s="839"/>
      <c r="BM45" s="846">
        <v>4500</v>
      </c>
      <c r="BN45" s="503" t="s">
        <v>1284</v>
      </c>
      <c r="BO45" s="497">
        <f t="shared" si="109"/>
        <v>0</v>
      </c>
      <c r="BP45" s="497">
        <f t="shared" si="110"/>
        <v>0</v>
      </c>
      <c r="BQ45" s="497">
        <f t="shared" si="35"/>
        <v>0</v>
      </c>
      <c r="BR45" s="497">
        <f t="shared" si="111"/>
        <v>0</v>
      </c>
      <c r="BS45" s="497">
        <f t="shared" si="112"/>
        <v>0</v>
      </c>
      <c r="BT45" s="497">
        <f t="shared" si="38"/>
        <v>0</v>
      </c>
      <c r="BU45" s="841"/>
      <c r="CJ45" s="839"/>
      <c r="CK45" s="846">
        <v>43</v>
      </c>
      <c r="CL45" s="503" t="s">
        <v>1285</v>
      </c>
      <c r="CM45" s="497">
        <f>SUMIF(PE_CFG,MID(CK42,1,1)&amp;"."&amp;MID(CK42,2,1)&amp;".*",PE_A)</f>
        <v>0</v>
      </c>
      <c r="CN45" s="497">
        <f>SUMIF(PE_CFG,MID(CK42,1,1)&amp;"."&amp;MID(CK42,2,1)&amp;".*",PE_M)</f>
        <v>0</v>
      </c>
      <c r="CO45" s="497">
        <f>+CM45+CN45</f>
        <v>0</v>
      </c>
      <c r="CP45" s="497">
        <f>SUMIF(PE_CFG,MID(CK42,1,1)&amp;"."&amp;MID(CK42,2,1)&amp;".*",PE_D)</f>
        <v>0</v>
      </c>
      <c r="CQ45" s="497">
        <f>SUMIF(PE_CFG,MID(CK42,1,1)&amp;"."&amp;MID(CK42,2,1)&amp;".*",PE_P)</f>
        <v>0</v>
      </c>
      <c r="CR45" s="497">
        <f>+CO45-CP45</f>
        <v>0</v>
      </c>
      <c r="CS45" s="841"/>
    </row>
    <row r="46" spans="2:109">
      <c r="B46" s="839"/>
      <c r="C46" s="846">
        <v>1191</v>
      </c>
      <c r="D46" s="504" t="s">
        <v>1286</v>
      </c>
      <c r="E46" s="500">
        <f ca="1">SUMIF(BC[],MID(C46,1,4)&amp;"*",bc_2017)</f>
        <v>0</v>
      </c>
      <c r="F46" s="500">
        <f ca="1">SUMIF(BC[],MID(C46,1,4)&amp;"*",bc_2016)</f>
        <v>0</v>
      </c>
      <c r="G46" s="824">
        <v>2190</v>
      </c>
      <c r="H46" s="479" t="s">
        <v>1287</v>
      </c>
      <c r="I46" s="468">
        <f ca="1">SUM(I47:I49)</f>
        <v>0</v>
      </c>
      <c r="J46" s="491">
        <f ca="1">SUM(J47:J49)</f>
        <v>0</v>
      </c>
      <c r="K46" s="841"/>
      <c r="AQ46" s="839"/>
      <c r="AR46" s="847"/>
      <c r="AS46" s="526" t="s">
        <v>1288</v>
      </c>
      <c r="AT46" s="527">
        <f>+AT73</f>
        <v>0</v>
      </c>
      <c r="AU46" s="527">
        <f t="shared" ref="AU46:AV46" si="119">+AU73</f>
        <v>0</v>
      </c>
      <c r="AV46" s="527">
        <f t="shared" si="119"/>
        <v>0</v>
      </c>
      <c r="AW46" s="841"/>
      <c r="AY46" s="834"/>
      <c r="AZ46" s="839"/>
      <c r="BA46" s="883"/>
      <c r="BB46" s="473" t="s">
        <v>1293</v>
      </c>
      <c r="BC46" s="480"/>
      <c r="BD46" s="481"/>
      <c r="BE46" s="481"/>
      <c r="BF46" s="481"/>
      <c r="BG46" s="481"/>
      <c r="BH46" s="481"/>
      <c r="BI46" s="841"/>
      <c r="BL46" s="839"/>
      <c r="BM46" s="846">
        <v>4600</v>
      </c>
      <c r="BN46" s="503" t="s">
        <v>1289</v>
      </c>
      <c r="BO46" s="497">
        <f t="shared" si="109"/>
        <v>0</v>
      </c>
      <c r="BP46" s="497">
        <f t="shared" si="110"/>
        <v>0</v>
      </c>
      <c r="BQ46" s="497">
        <f t="shared" si="35"/>
        <v>0</v>
      </c>
      <c r="BR46" s="497">
        <f t="shared" si="111"/>
        <v>0</v>
      </c>
      <c r="BS46" s="497">
        <f t="shared" si="112"/>
        <v>0</v>
      </c>
      <c r="BT46" s="497">
        <f t="shared" si="38"/>
        <v>0</v>
      </c>
      <c r="BU46" s="841"/>
      <c r="CJ46" s="839"/>
      <c r="CK46" s="846">
        <v>44</v>
      </c>
      <c r="CL46" s="503" t="s">
        <v>1290</v>
      </c>
      <c r="CM46" s="497">
        <f>SUMIF(PE_CFG,MID(CK43,1,1)&amp;"."&amp;MID(CK43,2,1)&amp;".*",PE_A)</f>
        <v>0</v>
      </c>
      <c r="CN46" s="497">
        <f>SUMIF(PE_CFG,MID(CK43,1,1)&amp;"."&amp;MID(CK43,2,1)&amp;".*",PE_M)</f>
        <v>0</v>
      </c>
      <c r="CO46" s="497">
        <f>+CM46+CN46</f>
        <v>0</v>
      </c>
      <c r="CP46" s="497">
        <f>SUMIF(PE_CFG,MID(CK43,1,1)&amp;"."&amp;MID(CK43,2,1)&amp;".*",PE_D)</f>
        <v>0</v>
      </c>
      <c r="CQ46" s="497">
        <f>SUMIF(PE_CFG,MID(CK43,1,1)&amp;"."&amp;MID(CK43,2,1)&amp;".*",PE_P)</f>
        <v>0</v>
      </c>
      <c r="CR46" s="497">
        <f>+CO46-CP46</f>
        <v>0</v>
      </c>
      <c r="CS46" s="841"/>
    </row>
    <row r="47" spans="2:109">
      <c r="B47" s="839"/>
      <c r="C47" s="846">
        <v>1192</v>
      </c>
      <c r="D47" s="504" t="s">
        <v>1291</v>
      </c>
      <c r="E47" s="500">
        <f ca="1">SUMIF(BC[],MID(C47,1,4)&amp;"*",bc_2017)</f>
        <v>0</v>
      </c>
      <c r="F47" s="500">
        <f ca="1">SUMIF(BC[],MID(C47,1,4)&amp;"*",bc_2016)</f>
        <v>0</v>
      </c>
      <c r="G47" s="824">
        <v>2191</v>
      </c>
      <c r="H47" s="504" t="s">
        <v>1292</v>
      </c>
      <c r="I47" s="500">
        <f ca="1">-SUMIF(BC[],MID(G47,1,4)&amp;"*",bc_2017)</f>
        <v>0</v>
      </c>
      <c r="J47" s="505">
        <f ca="1">-SUMIF(BC[],MID(G47,1,4)&amp;"*",bc_2016)</f>
        <v>0</v>
      </c>
      <c r="K47" s="841"/>
      <c r="AQ47" s="839"/>
      <c r="AR47" s="847"/>
      <c r="AS47" s="522"/>
      <c r="AT47" s="523"/>
      <c r="AU47" s="523"/>
      <c r="AV47" s="523"/>
      <c r="AW47" s="841"/>
      <c r="AY47" s="834"/>
      <c r="AZ47" s="839"/>
      <c r="BA47" s="882">
        <v>82</v>
      </c>
      <c r="BB47" s="479" t="s">
        <v>1298</v>
      </c>
      <c r="BC47" s="502">
        <f t="shared" ref="BC47:BC64" si="120">SUMIF(pi_cri,MID(BA47,1,2)&amp;"*",pi_e)</f>
        <v>0</v>
      </c>
      <c r="BD47" s="502">
        <f t="shared" ref="BD47:BD64" si="121">SUMIF(pi_cri,MID(BA47,1,2)&amp;"*",pi_m)</f>
        <v>0</v>
      </c>
      <c r="BE47" s="502">
        <f t="shared" ref="BE47:BE66" si="122">+BC47+BD47</f>
        <v>0</v>
      </c>
      <c r="BF47" s="502">
        <f t="shared" ref="BF47:BF64" si="123">SUMIF(pi_cri,MID(BA47,1,2)&amp;"*",pi_d)</f>
        <v>0</v>
      </c>
      <c r="BG47" s="502">
        <f t="shared" ref="BG47:BG64" si="124">SUMIF(pi_cri,MID(BA47,1,2)&amp;"*",pi_r)</f>
        <v>0</v>
      </c>
      <c r="BH47" s="502">
        <f t="shared" ref="BH47:BH66" si="125">+BG47-BC47</f>
        <v>0</v>
      </c>
      <c r="BI47" s="841"/>
      <c r="BL47" s="839"/>
      <c r="BM47" s="846">
        <v>4700</v>
      </c>
      <c r="BN47" s="503" t="s">
        <v>1294</v>
      </c>
      <c r="BO47" s="497">
        <f t="shared" si="109"/>
        <v>0</v>
      </c>
      <c r="BP47" s="497">
        <f t="shared" si="110"/>
        <v>0</v>
      </c>
      <c r="BQ47" s="497">
        <f t="shared" si="35"/>
        <v>0</v>
      </c>
      <c r="BR47" s="497">
        <f t="shared" si="111"/>
        <v>0</v>
      </c>
      <c r="BS47" s="497">
        <f t="shared" si="112"/>
        <v>0</v>
      </c>
      <c r="BT47" s="497">
        <f t="shared" si="38"/>
        <v>0</v>
      </c>
      <c r="BU47" s="841"/>
      <c r="CJ47" s="839"/>
      <c r="CK47" s="846"/>
      <c r="CL47" s="503"/>
      <c r="CM47" s="497"/>
      <c r="CN47" s="497"/>
      <c r="CO47" s="497"/>
      <c r="CP47" s="497"/>
      <c r="CQ47" s="497"/>
      <c r="CR47" s="497"/>
      <c r="CS47" s="841"/>
    </row>
    <row r="48" spans="2:109">
      <c r="B48" s="839"/>
      <c r="C48" s="846">
        <v>1193</v>
      </c>
      <c r="D48" s="504" t="s">
        <v>1295</v>
      </c>
      <c r="E48" s="500">
        <f ca="1">SUMIF(BC[],MID(C48,1,4)&amp;"*",bc_2017)</f>
        <v>0</v>
      </c>
      <c r="F48" s="500">
        <f ca="1">SUMIF(BC[],MID(C48,1,4)&amp;"*",bc_2016)</f>
        <v>0</v>
      </c>
      <c r="G48" s="824">
        <v>2192</v>
      </c>
      <c r="H48" s="504" t="s">
        <v>1296</v>
      </c>
      <c r="I48" s="500">
        <f ca="1">-SUMIF(BC[],MID(G48,1,4)&amp;"*",bc_2017)</f>
        <v>0</v>
      </c>
      <c r="J48" s="505">
        <f ca="1">-SUMIF(BC[],MID(G48,1,4)&amp;"*",bc_2016)</f>
        <v>0</v>
      </c>
      <c r="K48" s="841"/>
      <c r="AQ48" s="839"/>
      <c r="AR48" s="847"/>
      <c r="AS48" s="525" t="s">
        <v>1297</v>
      </c>
      <c r="AT48" s="519">
        <f>+AT41-AT44</f>
        <v>0</v>
      </c>
      <c r="AU48" s="519">
        <f t="shared" ref="AU48:AV48" si="126">+AU41-AU44</f>
        <v>0</v>
      </c>
      <c r="AV48" s="519">
        <f t="shared" si="126"/>
        <v>0</v>
      </c>
      <c r="AW48" s="841"/>
      <c r="AY48" s="834"/>
      <c r="AZ48" s="839"/>
      <c r="BA48" s="882">
        <v>82</v>
      </c>
      <c r="BB48" s="512" t="s">
        <v>1303</v>
      </c>
      <c r="BC48" s="494">
        <f t="shared" si="120"/>
        <v>0</v>
      </c>
      <c r="BD48" s="494">
        <f t="shared" si="121"/>
        <v>0</v>
      </c>
      <c r="BE48" s="494">
        <f t="shared" si="122"/>
        <v>0</v>
      </c>
      <c r="BF48" s="494">
        <f t="shared" si="123"/>
        <v>0</v>
      </c>
      <c r="BG48" s="494">
        <f t="shared" si="124"/>
        <v>0</v>
      </c>
      <c r="BH48" s="494">
        <f t="shared" si="125"/>
        <v>0</v>
      </c>
      <c r="BI48" s="841"/>
      <c r="BL48" s="839"/>
      <c r="BM48" s="846">
        <v>4800</v>
      </c>
      <c r="BN48" s="503" t="s">
        <v>1299</v>
      </c>
      <c r="BO48" s="497">
        <f t="shared" si="109"/>
        <v>0</v>
      </c>
      <c r="BP48" s="497">
        <f t="shared" si="110"/>
        <v>0</v>
      </c>
      <c r="BQ48" s="497">
        <f t="shared" si="35"/>
        <v>0</v>
      </c>
      <c r="BR48" s="497">
        <f t="shared" si="111"/>
        <v>0</v>
      </c>
      <c r="BS48" s="497">
        <f t="shared" si="112"/>
        <v>0</v>
      </c>
      <c r="BT48" s="497">
        <f t="shared" si="38"/>
        <v>0</v>
      </c>
      <c r="BU48" s="841"/>
      <c r="CJ48" s="839"/>
      <c r="CK48" s="846"/>
      <c r="CL48" s="498" t="s">
        <v>1300</v>
      </c>
      <c r="CM48" s="496">
        <f t="shared" ref="CM48:CR48" si="127">+CM49+CM59+CM68+CM79</f>
        <v>0</v>
      </c>
      <c r="CN48" s="496">
        <f t="shared" si="127"/>
        <v>0</v>
      </c>
      <c r="CO48" s="496">
        <f t="shared" si="127"/>
        <v>0</v>
      </c>
      <c r="CP48" s="496">
        <f t="shared" si="127"/>
        <v>0</v>
      </c>
      <c r="CQ48" s="496">
        <f t="shared" si="127"/>
        <v>0</v>
      </c>
      <c r="CR48" s="496">
        <f t="shared" si="127"/>
        <v>0</v>
      </c>
      <c r="CS48" s="841"/>
    </row>
    <row r="49" spans="2:97">
      <c r="B49" s="839"/>
      <c r="C49" s="846">
        <v>1194</v>
      </c>
      <c r="D49" s="504" t="s">
        <v>1301</v>
      </c>
      <c r="E49" s="500">
        <f ca="1">SUMIF(BC[],MID(C49,1,4)&amp;"*",bc_2017)</f>
        <v>0</v>
      </c>
      <c r="F49" s="500">
        <f ca="1">SUMIF(BC[],MID(C49,1,4)&amp;"*",bc_2016)</f>
        <v>0</v>
      </c>
      <c r="G49" s="824">
        <v>2199</v>
      </c>
      <c r="H49" s="504" t="s">
        <v>1302</v>
      </c>
      <c r="I49" s="500">
        <f ca="1">-SUMIF(BC[],MID(G49,1,4)&amp;"*",bc_2017)</f>
        <v>0</v>
      </c>
      <c r="J49" s="505">
        <f ca="1">-SUMIF(BC[],MID(G49,1,4)&amp;"*",bc_2016)</f>
        <v>0</v>
      </c>
      <c r="K49" s="841"/>
      <c r="AQ49" s="839"/>
      <c r="AR49" s="848"/>
      <c r="AS49" s="530"/>
      <c r="AT49" s="531"/>
      <c r="AU49" s="531"/>
      <c r="AV49" s="532"/>
      <c r="AW49" s="841"/>
      <c r="AY49" s="834"/>
      <c r="AZ49" s="839"/>
      <c r="BA49" s="882">
        <v>82</v>
      </c>
      <c r="BB49" s="512" t="s">
        <v>1305</v>
      </c>
      <c r="BC49" s="494">
        <f t="shared" si="120"/>
        <v>0</v>
      </c>
      <c r="BD49" s="494">
        <f t="shared" si="121"/>
        <v>0</v>
      </c>
      <c r="BE49" s="494">
        <f t="shared" si="122"/>
        <v>0</v>
      </c>
      <c r="BF49" s="494">
        <f t="shared" si="123"/>
        <v>0</v>
      </c>
      <c r="BG49" s="494">
        <f t="shared" si="124"/>
        <v>0</v>
      </c>
      <c r="BH49" s="494">
        <f t="shared" si="125"/>
        <v>0</v>
      </c>
      <c r="BI49" s="841"/>
      <c r="BL49" s="839"/>
      <c r="BM49" s="846">
        <v>4900</v>
      </c>
      <c r="BN49" s="503" t="s">
        <v>1304</v>
      </c>
      <c r="BO49" s="497">
        <f t="shared" si="109"/>
        <v>0</v>
      </c>
      <c r="BP49" s="497">
        <f t="shared" si="110"/>
        <v>0</v>
      </c>
      <c r="BQ49" s="497">
        <f t="shared" si="35"/>
        <v>0</v>
      </c>
      <c r="BR49" s="497">
        <f t="shared" si="111"/>
        <v>0</v>
      </c>
      <c r="BS49" s="497">
        <f t="shared" si="112"/>
        <v>0</v>
      </c>
      <c r="BT49" s="497">
        <f t="shared" si="38"/>
        <v>0</v>
      </c>
      <c r="BU49" s="841"/>
      <c r="CJ49" s="839"/>
      <c r="CK49" s="846">
        <v>10</v>
      </c>
      <c r="CL49" s="498" t="s">
        <v>1038</v>
      </c>
      <c r="CM49" s="496">
        <f t="shared" ref="CM49:CR49" si="128">SUM(CM50:CM57)</f>
        <v>0</v>
      </c>
      <c r="CN49" s="496">
        <f t="shared" si="128"/>
        <v>0</v>
      </c>
      <c r="CO49" s="496">
        <f t="shared" si="128"/>
        <v>0</v>
      </c>
      <c r="CP49" s="496">
        <f t="shared" si="128"/>
        <v>0</v>
      </c>
      <c r="CQ49" s="496">
        <f t="shared" si="128"/>
        <v>0</v>
      </c>
      <c r="CR49" s="496">
        <f t="shared" si="128"/>
        <v>0</v>
      </c>
      <c r="CS49" s="841"/>
    </row>
    <row r="50" spans="2:97">
      <c r="B50" s="839"/>
      <c r="C50" s="846"/>
      <c r="D50" s="479"/>
      <c r="E50" s="500"/>
      <c r="F50" s="500"/>
      <c r="G50" s="824"/>
      <c r="H50" s="479"/>
      <c r="I50" s="500"/>
      <c r="J50" s="505"/>
      <c r="K50" s="841"/>
      <c r="AQ50" s="839"/>
      <c r="AR50" s="834"/>
      <c r="AS50" s="834"/>
      <c r="AT50" s="834"/>
      <c r="AU50" s="834"/>
      <c r="AV50" s="834"/>
      <c r="AW50" s="841"/>
      <c r="AY50" s="834"/>
      <c r="AZ50" s="839"/>
      <c r="BA50" s="882">
        <v>82</v>
      </c>
      <c r="BB50" s="512" t="s">
        <v>1309</v>
      </c>
      <c r="BC50" s="494">
        <f t="shared" si="120"/>
        <v>0</v>
      </c>
      <c r="BD50" s="494">
        <f t="shared" si="121"/>
        <v>0</v>
      </c>
      <c r="BE50" s="494">
        <f t="shared" si="122"/>
        <v>0</v>
      </c>
      <c r="BF50" s="494">
        <f t="shared" si="123"/>
        <v>0</v>
      </c>
      <c r="BG50" s="494">
        <f t="shared" si="124"/>
        <v>0</v>
      </c>
      <c r="BH50" s="494">
        <f t="shared" si="125"/>
        <v>0</v>
      </c>
      <c r="BI50" s="841"/>
      <c r="BL50" s="839"/>
      <c r="BM50" s="846">
        <v>5000</v>
      </c>
      <c r="BN50" s="495" t="s">
        <v>1306</v>
      </c>
      <c r="BO50" s="496">
        <f t="shared" ref="BO50:BT50" si="129">SUM(BO51:BO59)</f>
        <v>1042027.56</v>
      </c>
      <c r="BP50" s="496">
        <f t="shared" si="129"/>
        <v>1675477.6800000002</v>
      </c>
      <c r="BQ50" s="496">
        <f t="shared" si="129"/>
        <v>2717505.24</v>
      </c>
      <c r="BR50" s="496">
        <f t="shared" si="129"/>
        <v>2717505.24</v>
      </c>
      <c r="BS50" s="496">
        <f t="shared" si="129"/>
        <v>2717505.24</v>
      </c>
      <c r="BT50" s="496">
        <f t="shared" si="129"/>
        <v>0</v>
      </c>
      <c r="BU50" s="841"/>
      <c r="CJ50" s="839"/>
      <c r="CK50" s="846" t="s">
        <v>1048</v>
      </c>
      <c r="CL50" s="503" t="s">
        <v>1047</v>
      </c>
      <c r="CM50" s="497">
        <f t="shared" ref="CM50:CM57" si="130">SUMIF(PE_CFG,MID(CK50,1,1)&amp;"."&amp;MID(CK50,2,1)&amp;".*",PE_A)</f>
        <v>0</v>
      </c>
      <c r="CN50" s="497">
        <f t="shared" ref="CN50:CN57" si="131">SUMIF(PE_CFG,MID(CK50,1,1)&amp;"."&amp;MID(CK50,2,1)&amp;".*",PE_M)</f>
        <v>0</v>
      </c>
      <c r="CO50" s="497">
        <f>+CM50+CN50</f>
        <v>0</v>
      </c>
      <c r="CP50" s="497">
        <f t="shared" ref="CP50:CP57" si="132">SUMIF(PE_CFG,MID(CK50,1,1)&amp;"."&amp;MID(CK50,2,1)&amp;".*",PE_D)</f>
        <v>0</v>
      </c>
      <c r="CQ50" s="497">
        <f t="shared" ref="CQ50:CQ57" si="133">SUMIF(PE_CFG,MID(CK50,1,1)&amp;"."&amp;MID(CK50,2,1)&amp;".*",PE_P)</f>
        <v>0</v>
      </c>
      <c r="CR50" s="497">
        <f>+CO50-CP50</f>
        <v>0</v>
      </c>
      <c r="CS50" s="841"/>
    </row>
    <row r="51" spans="2:97">
      <c r="B51" s="839"/>
      <c r="C51" s="846">
        <v>1100</v>
      </c>
      <c r="D51" s="473" t="s">
        <v>1307</v>
      </c>
      <c r="E51" s="468">
        <f ca="1">+E13+E21+E29+E35+E41+E42+E45</f>
        <v>15730730.699999999</v>
      </c>
      <c r="F51" s="468">
        <f ca="1">+F13+F21+F29+F35+F41+F42+F45</f>
        <v>11361825.720000001</v>
      </c>
      <c r="G51" s="824">
        <v>2100</v>
      </c>
      <c r="H51" s="473" t="s">
        <v>1308</v>
      </c>
      <c r="I51" s="468">
        <f ca="1">+I13+I27+I30+I31+I35+I42+I46</f>
        <v>5037258.57</v>
      </c>
      <c r="J51" s="491">
        <f ca="1">+J13+J27+J30+J31+J35+J42+J46</f>
        <v>3398732.33</v>
      </c>
      <c r="K51" s="841"/>
      <c r="AQ51" s="839"/>
      <c r="AR51" s="1073"/>
      <c r="AS51" s="1080" t="s">
        <v>1009</v>
      </c>
      <c r="AT51" s="1068" t="s">
        <v>1010</v>
      </c>
      <c r="AU51" s="1068" t="s">
        <v>359</v>
      </c>
      <c r="AV51" s="1068" t="s">
        <v>1011</v>
      </c>
      <c r="AW51" s="841"/>
      <c r="AY51" s="834"/>
      <c r="AZ51" s="839"/>
      <c r="BA51" s="882">
        <v>82</v>
      </c>
      <c r="BB51" s="512" t="s">
        <v>1311</v>
      </c>
      <c r="BC51" s="494">
        <f t="shared" si="120"/>
        <v>0</v>
      </c>
      <c r="BD51" s="494">
        <f t="shared" si="121"/>
        <v>0</v>
      </c>
      <c r="BE51" s="494">
        <f t="shared" si="122"/>
        <v>0</v>
      </c>
      <c r="BF51" s="494">
        <f t="shared" si="123"/>
        <v>0</v>
      </c>
      <c r="BG51" s="494">
        <f t="shared" si="124"/>
        <v>0</v>
      </c>
      <c r="BH51" s="494">
        <f t="shared" si="125"/>
        <v>0</v>
      </c>
      <c r="BI51" s="841"/>
      <c r="BL51" s="839"/>
      <c r="BM51" s="846">
        <v>5100</v>
      </c>
      <c r="BN51" s="503" t="s">
        <v>1310</v>
      </c>
      <c r="BO51" s="497">
        <f t="shared" ref="BO51:BO59" si="134">SUMIF(PE_COG,MID(BM51,1,2)&amp;"*",PE_A)</f>
        <v>315389.03000000003</v>
      </c>
      <c r="BP51" s="497">
        <f t="shared" ref="BP51:BP59" si="135">SUMIF(PE_COG,MID(BM51,1,2)&amp;"*",PE_M)</f>
        <v>1059539.17</v>
      </c>
      <c r="BQ51" s="497">
        <f t="shared" si="35"/>
        <v>1374928.2</v>
      </c>
      <c r="BR51" s="497">
        <f t="shared" ref="BR51:BR59" si="136">SUMIF(PE_COG,MID(BM51,1,2)&amp;"*",PE_D)</f>
        <v>1374928.2</v>
      </c>
      <c r="BS51" s="497">
        <f t="shared" ref="BS51:BS59" si="137">SUMIF(PE_COG,MID(BM51,1,2)&amp;"*",PE_P)</f>
        <v>1374928.2</v>
      </c>
      <c r="BT51" s="497">
        <f t="shared" si="38"/>
        <v>0</v>
      </c>
      <c r="BU51" s="841"/>
      <c r="CJ51" s="839"/>
      <c r="CK51" s="846" t="s">
        <v>1048</v>
      </c>
      <c r="CL51" s="503" t="s">
        <v>1057</v>
      </c>
      <c r="CM51" s="497">
        <f t="shared" si="130"/>
        <v>0</v>
      </c>
      <c r="CN51" s="497">
        <f t="shared" si="131"/>
        <v>0</v>
      </c>
      <c r="CO51" s="497">
        <f>+CM51+CN51</f>
        <v>0</v>
      </c>
      <c r="CP51" s="497">
        <f t="shared" si="132"/>
        <v>0</v>
      </c>
      <c r="CQ51" s="497">
        <f t="shared" si="133"/>
        <v>0</v>
      </c>
      <c r="CR51" s="497">
        <f>+CO51-CP51</f>
        <v>0</v>
      </c>
      <c r="CS51" s="841"/>
    </row>
    <row r="52" spans="2:97">
      <c r="B52" s="839"/>
      <c r="C52" s="846"/>
      <c r="D52" s="479"/>
      <c r="E52" s="500"/>
      <c r="F52" s="500"/>
      <c r="G52" s="824"/>
      <c r="H52" s="487"/>
      <c r="I52" s="500"/>
      <c r="J52" s="505"/>
      <c r="K52" s="841"/>
      <c r="AQ52" s="839"/>
      <c r="AR52" s="1074"/>
      <c r="AS52" s="1081"/>
      <c r="AT52" s="1069"/>
      <c r="AU52" s="1069"/>
      <c r="AV52" s="1069"/>
      <c r="AW52" s="841"/>
      <c r="AY52" s="834"/>
      <c r="AZ52" s="839"/>
      <c r="BA52" s="882">
        <v>82</v>
      </c>
      <c r="BB52" s="512" t="s">
        <v>1315</v>
      </c>
      <c r="BC52" s="494">
        <f t="shared" si="120"/>
        <v>0</v>
      </c>
      <c r="BD52" s="494">
        <f t="shared" si="121"/>
        <v>0</v>
      </c>
      <c r="BE52" s="494">
        <f t="shared" si="122"/>
        <v>0</v>
      </c>
      <c r="BF52" s="494">
        <f t="shared" si="123"/>
        <v>0</v>
      </c>
      <c r="BG52" s="494">
        <f t="shared" si="124"/>
        <v>0</v>
      </c>
      <c r="BH52" s="494">
        <f t="shared" si="125"/>
        <v>0</v>
      </c>
      <c r="BI52" s="841"/>
      <c r="BL52" s="839"/>
      <c r="BM52" s="846">
        <v>5200</v>
      </c>
      <c r="BN52" s="503" t="s">
        <v>1312</v>
      </c>
      <c r="BO52" s="497">
        <f t="shared" si="134"/>
        <v>0</v>
      </c>
      <c r="BP52" s="497">
        <f t="shared" si="135"/>
        <v>0</v>
      </c>
      <c r="BQ52" s="497">
        <f t="shared" si="35"/>
        <v>0</v>
      </c>
      <c r="BR52" s="497">
        <f t="shared" si="136"/>
        <v>0</v>
      </c>
      <c r="BS52" s="497">
        <f t="shared" si="137"/>
        <v>0</v>
      </c>
      <c r="BT52" s="497">
        <f t="shared" si="38"/>
        <v>0</v>
      </c>
      <c r="BU52" s="841"/>
      <c r="CJ52" s="839"/>
      <c r="CK52" s="846" t="s">
        <v>1048</v>
      </c>
      <c r="CL52" s="503" t="s">
        <v>1065</v>
      </c>
      <c r="CM52" s="497">
        <f t="shared" si="130"/>
        <v>0</v>
      </c>
      <c r="CN52" s="497">
        <f t="shared" si="131"/>
        <v>0</v>
      </c>
      <c r="CO52" s="497">
        <f t="shared" ref="CO52:CO57" si="138">+CM52+CN52</f>
        <v>0</v>
      </c>
      <c r="CP52" s="497">
        <f t="shared" si="132"/>
        <v>0</v>
      </c>
      <c r="CQ52" s="497">
        <f t="shared" si="133"/>
        <v>0</v>
      </c>
      <c r="CR52" s="497">
        <f t="shared" ref="CR52:CR57" si="139">+CO52-CP52</f>
        <v>0</v>
      </c>
      <c r="CS52" s="841"/>
    </row>
    <row r="53" spans="2:97">
      <c r="B53" s="839"/>
      <c r="C53" s="846">
        <v>1200</v>
      </c>
      <c r="D53" s="487" t="s">
        <v>1313</v>
      </c>
      <c r="E53" s="468"/>
      <c r="F53" s="468"/>
      <c r="G53" s="824">
        <v>2200</v>
      </c>
      <c r="H53" s="487" t="s">
        <v>1314</v>
      </c>
      <c r="I53" s="500"/>
      <c r="J53" s="505"/>
      <c r="K53" s="841"/>
      <c r="AQ53" s="839"/>
      <c r="AR53" s="847"/>
      <c r="AS53" s="533"/>
      <c r="AT53" s="523"/>
      <c r="AU53" s="523"/>
      <c r="AV53" s="524"/>
      <c r="AW53" s="841"/>
      <c r="AY53" s="834"/>
      <c r="AZ53" s="839"/>
      <c r="BA53" s="882">
        <v>82</v>
      </c>
      <c r="BB53" s="512" t="s">
        <v>1320</v>
      </c>
      <c r="BC53" s="494">
        <f t="shared" si="120"/>
        <v>0</v>
      </c>
      <c r="BD53" s="494">
        <f t="shared" si="121"/>
        <v>0</v>
      </c>
      <c r="BE53" s="494">
        <f t="shared" si="122"/>
        <v>0</v>
      </c>
      <c r="BF53" s="494">
        <f t="shared" si="123"/>
        <v>0</v>
      </c>
      <c r="BG53" s="494">
        <f t="shared" si="124"/>
        <v>0</v>
      </c>
      <c r="BH53" s="494">
        <f t="shared" si="125"/>
        <v>0</v>
      </c>
      <c r="BI53" s="841"/>
      <c r="BL53" s="839"/>
      <c r="BM53" s="846">
        <v>5300</v>
      </c>
      <c r="BN53" s="503" t="s">
        <v>1316</v>
      </c>
      <c r="BO53" s="497">
        <f t="shared" si="134"/>
        <v>0</v>
      </c>
      <c r="BP53" s="497">
        <f t="shared" si="135"/>
        <v>0</v>
      </c>
      <c r="BQ53" s="497">
        <f t="shared" si="35"/>
        <v>0</v>
      </c>
      <c r="BR53" s="497">
        <f t="shared" si="136"/>
        <v>0</v>
      </c>
      <c r="BS53" s="497">
        <f t="shared" si="137"/>
        <v>0</v>
      </c>
      <c r="BT53" s="497">
        <f t="shared" si="38"/>
        <v>0</v>
      </c>
      <c r="BU53" s="841"/>
      <c r="CJ53" s="839"/>
      <c r="CK53" s="846" t="s">
        <v>1048</v>
      </c>
      <c r="CL53" s="503" t="s">
        <v>1074</v>
      </c>
      <c r="CM53" s="497">
        <f t="shared" si="130"/>
        <v>0</v>
      </c>
      <c r="CN53" s="497">
        <f t="shared" si="131"/>
        <v>0</v>
      </c>
      <c r="CO53" s="497">
        <f t="shared" si="138"/>
        <v>0</v>
      </c>
      <c r="CP53" s="497">
        <f t="shared" si="132"/>
        <v>0</v>
      </c>
      <c r="CQ53" s="497">
        <f t="shared" si="133"/>
        <v>0</v>
      </c>
      <c r="CR53" s="497">
        <f t="shared" si="139"/>
        <v>0</v>
      </c>
      <c r="CS53" s="841"/>
    </row>
    <row r="54" spans="2:97">
      <c r="B54" s="839"/>
      <c r="C54" s="846">
        <v>1210</v>
      </c>
      <c r="D54" s="479" t="s">
        <v>1317</v>
      </c>
      <c r="E54" s="468">
        <f ca="1">SUMIF(BC[],MID(C54,1,3)&amp;"*",bc_2017)</f>
        <v>0</v>
      </c>
      <c r="F54" s="468">
        <f ca="1">SUMIF(BC[],MID(C54,1,3)&amp;"*",bc_2016)</f>
        <v>0</v>
      </c>
      <c r="G54" s="824">
        <v>2210</v>
      </c>
      <c r="H54" s="479" t="s">
        <v>1318</v>
      </c>
      <c r="I54" s="468">
        <f ca="1">-SUMIF(BC[],MID(G54,1,3)&amp;"*",bc_2017)</f>
        <v>0</v>
      </c>
      <c r="J54" s="491">
        <f ca="1">-SUMIF(BC[],MID(G54,1,3)&amp;"*",bc_2016)</f>
        <v>0</v>
      </c>
      <c r="K54" s="841"/>
      <c r="AQ54" s="839"/>
      <c r="AR54" s="847"/>
      <c r="AS54" s="522" t="s">
        <v>1319</v>
      </c>
      <c r="AT54" s="527">
        <f>+BC43</f>
        <v>80405840.510000005</v>
      </c>
      <c r="AU54" s="527">
        <f>+BF43</f>
        <v>88863739.419999987</v>
      </c>
      <c r="AV54" s="527">
        <f>+BG43</f>
        <v>88863739.419999987</v>
      </c>
      <c r="AW54" s="841"/>
      <c r="AY54" s="834"/>
      <c r="AZ54" s="839"/>
      <c r="BA54" s="882">
        <v>82</v>
      </c>
      <c r="BB54" s="512" t="s">
        <v>1325</v>
      </c>
      <c r="BC54" s="494">
        <f t="shared" si="120"/>
        <v>0</v>
      </c>
      <c r="BD54" s="494">
        <f t="shared" si="121"/>
        <v>0</v>
      </c>
      <c r="BE54" s="494">
        <f t="shared" si="122"/>
        <v>0</v>
      </c>
      <c r="BF54" s="494">
        <f t="shared" si="123"/>
        <v>0</v>
      </c>
      <c r="BG54" s="494">
        <f t="shared" si="124"/>
        <v>0</v>
      </c>
      <c r="BH54" s="494">
        <f t="shared" si="125"/>
        <v>0</v>
      </c>
      <c r="BI54" s="841"/>
      <c r="BL54" s="839"/>
      <c r="BM54" s="846">
        <v>5400</v>
      </c>
      <c r="BN54" s="503" t="s">
        <v>1321</v>
      </c>
      <c r="BO54" s="497">
        <f t="shared" si="134"/>
        <v>666567.59</v>
      </c>
      <c r="BP54" s="497">
        <f t="shared" si="135"/>
        <v>456930.41000000015</v>
      </c>
      <c r="BQ54" s="497">
        <f t="shared" si="35"/>
        <v>1123498</v>
      </c>
      <c r="BR54" s="497">
        <f t="shared" si="136"/>
        <v>1123498</v>
      </c>
      <c r="BS54" s="497">
        <f t="shared" si="137"/>
        <v>1123498</v>
      </c>
      <c r="BT54" s="497">
        <f t="shared" si="38"/>
        <v>0</v>
      </c>
      <c r="BU54" s="841"/>
      <c r="CJ54" s="839"/>
      <c r="CK54" s="846" t="s">
        <v>1048</v>
      </c>
      <c r="CL54" s="503" t="s">
        <v>1083</v>
      </c>
      <c r="CM54" s="497">
        <f t="shared" si="130"/>
        <v>0</v>
      </c>
      <c r="CN54" s="497">
        <f t="shared" si="131"/>
        <v>0</v>
      </c>
      <c r="CO54" s="497">
        <f t="shared" si="138"/>
        <v>0</v>
      </c>
      <c r="CP54" s="497">
        <f t="shared" si="132"/>
        <v>0</v>
      </c>
      <c r="CQ54" s="497">
        <f t="shared" si="133"/>
        <v>0</v>
      </c>
      <c r="CR54" s="497">
        <f t="shared" si="139"/>
        <v>0</v>
      </c>
      <c r="CS54" s="841"/>
    </row>
    <row r="55" spans="2:97">
      <c r="B55" s="839"/>
      <c r="C55" s="846">
        <v>1220</v>
      </c>
      <c r="D55" s="479" t="s">
        <v>1322</v>
      </c>
      <c r="E55" s="468">
        <f ca="1">SUMIF(BC[],MID(C55,1,3)&amp;"*",bc_2017)</f>
        <v>0</v>
      </c>
      <c r="F55" s="468">
        <f ca="1">SUMIF(BC[],MID(C55,1,3)&amp;"*",bc_2016)</f>
        <v>0</v>
      </c>
      <c r="G55" s="824">
        <v>2220</v>
      </c>
      <c r="H55" s="479" t="s">
        <v>1323</v>
      </c>
      <c r="I55" s="468">
        <f ca="1">-SUMIF(BC[],MID(G55,1,3)&amp;"*",bc_2017)</f>
        <v>0</v>
      </c>
      <c r="J55" s="491">
        <f ca="1">-SUMIF(BC[],MID(G55,1,3)&amp;"*",bc_2016)</f>
        <v>0</v>
      </c>
      <c r="K55" s="841"/>
      <c r="AQ55" s="839"/>
      <c r="AR55" s="847"/>
      <c r="AS55" s="522" t="s">
        <v>1324</v>
      </c>
      <c r="AT55" s="527">
        <f>+AT56-AT57</f>
        <v>0</v>
      </c>
      <c r="AU55" s="527">
        <f t="shared" ref="AU55:AV55" si="140">+AU56-AU57</f>
        <v>0</v>
      </c>
      <c r="AV55" s="527">
        <f t="shared" si="140"/>
        <v>0</v>
      </c>
      <c r="AW55" s="841"/>
      <c r="AY55" s="834"/>
      <c r="AZ55" s="839"/>
      <c r="BA55" s="882">
        <v>82</v>
      </c>
      <c r="BB55" s="512" t="s">
        <v>1329</v>
      </c>
      <c r="BC55" s="494">
        <f t="shared" si="120"/>
        <v>0</v>
      </c>
      <c r="BD55" s="494">
        <f t="shared" si="121"/>
        <v>0</v>
      </c>
      <c r="BE55" s="494">
        <f t="shared" si="122"/>
        <v>0</v>
      </c>
      <c r="BF55" s="494">
        <f t="shared" si="123"/>
        <v>0</v>
      </c>
      <c r="BG55" s="494">
        <f t="shared" si="124"/>
        <v>0</v>
      </c>
      <c r="BH55" s="494">
        <f t="shared" si="125"/>
        <v>0</v>
      </c>
      <c r="BI55" s="841"/>
      <c r="BL55" s="839"/>
      <c r="BM55" s="846">
        <v>5500</v>
      </c>
      <c r="BN55" s="503" t="s">
        <v>1326</v>
      </c>
      <c r="BO55" s="497">
        <f t="shared" si="134"/>
        <v>0</v>
      </c>
      <c r="BP55" s="497">
        <f t="shared" si="135"/>
        <v>0</v>
      </c>
      <c r="BQ55" s="497">
        <f t="shared" si="35"/>
        <v>0</v>
      </c>
      <c r="BR55" s="497">
        <f t="shared" si="136"/>
        <v>0</v>
      </c>
      <c r="BS55" s="497">
        <f t="shared" si="137"/>
        <v>0</v>
      </c>
      <c r="BT55" s="497">
        <f t="shared" si="38"/>
        <v>0</v>
      </c>
      <c r="BU55" s="841"/>
      <c r="CJ55" s="839"/>
      <c r="CK55" s="846" t="s">
        <v>1048</v>
      </c>
      <c r="CL55" s="503" t="s">
        <v>1093</v>
      </c>
      <c r="CM55" s="497">
        <f t="shared" si="130"/>
        <v>0</v>
      </c>
      <c r="CN55" s="497">
        <f t="shared" si="131"/>
        <v>0</v>
      </c>
      <c r="CO55" s="497">
        <f t="shared" si="138"/>
        <v>0</v>
      </c>
      <c r="CP55" s="497">
        <f t="shared" si="132"/>
        <v>0</v>
      </c>
      <c r="CQ55" s="497">
        <f t="shared" si="133"/>
        <v>0</v>
      </c>
      <c r="CR55" s="497">
        <f t="shared" si="139"/>
        <v>0</v>
      </c>
      <c r="CS55" s="841"/>
    </row>
    <row r="56" spans="2:97">
      <c r="B56" s="839"/>
      <c r="C56" s="846">
        <v>1230</v>
      </c>
      <c r="D56" s="479" t="s">
        <v>1327</v>
      </c>
      <c r="E56" s="468">
        <f ca="1">SUMIF(BC[],MID(C56,1,3)&amp;"*",bc_2017)</f>
        <v>0</v>
      </c>
      <c r="F56" s="468">
        <f ca="1">SUMIF(BC[],MID(C56,1,3)&amp;"*",bc_2016)</f>
        <v>0</v>
      </c>
      <c r="G56" s="824">
        <v>2230</v>
      </c>
      <c r="H56" s="479" t="s">
        <v>1328</v>
      </c>
      <c r="I56" s="468">
        <f ca="1">-SUMIF(BC[],MID(G56,1,3)&amp;"*",bc_2017)</f>
        <v>0</v>
      </c>
      <c r="J56" s="491">
        <f ca="1">-SUMIF(BC[],MID(G56,1,3)&amp;"*",bc_2016)</f>
        <v>0</v>
      </c>
      <c r="K56" s="841"/>
      <c r="AQ56" s="839"/>
      <c r="AR56" s="847"/>
      <c r="AS56" s="526" t="s">
        <v>1263</v>
      </c>
      <c r="AT56" s="527">
        <f>+BC68</f>
        <v>0</v>
      </c>
      <c r="AU56" s="527">
        <f>+BF68</f>
        <v>0</v>
      </c>
      <c r="AV56" s="527">
        <f>+BG68</f>
        <v>0</v>
      </c>
      <c r="AW56" s="841"/>
      <c r="AY56" s="834"/>
      <c r="AZ56" s="839"/>
      <c r="BA56" s="882">
        <v>83</v>
      </c>
      <c r="BB56" s="479" t="s">
        <v>1333</v>
      </c>
      <c r="BC56" s="502">
        <f t="shared" si="120"/>
        <v>0</v>
      </c>
      <c r="BD56" s="502">
        <f t="shared" si="121"/>
        <v>0</v>
      </c>
      <c r="BE56" s="502">
        <f t="shared" si="122"/>
        <v>0</v>
      </c>
      <c r="BF56" s="502">
        <f t="shared" si="123"/>
        <v>0</v>
      </c>
      <c r="BG56" s="502">
        <f t="shared" si="124"/>
        <v>0</v>
      </c>
      <c r="BH56" s="502">
        <f t="shared" si="125"/>
        <v>0</v>
      </c>
      <c r="BI56" s="841"/>
      <c r="BL56" s="839"/>
      <c r="BM56" s="846">
        <v>5600</v>
      </c>
      <c r="BN56" s="503" t="s">
        <v>1330</v>
      </c>
      <c r="BO56" s="497">
        <f t="shared" si="134"/>
        <v>0</v>
      </c>
      <c r="BP56" s="497">
        <f t="shared" si="135"/>
        <v>93663.739999999991</v>
      </c>
      <c r="BQ56" s="497">
        <f t="shared" si="35"/>
        <v>93663.739999999991</v>
      </c>
      <c r="BR56" s="497">
        <f t="shared" si="136"/>
        <v>93663.739999999991</v>
      </c>
      <c r="BS56" s="497">
        <f t="shared" si="137"/>
        <v>93663.739999999991</v>
      </c>
      <c r="BT56" s="497">
        <f t="shared" si="38"/>
        <v>0</v>
      </c>
      <c r="BU56" s="841"/>
      <c r="CJ56" s="839"/>
      <c r="CK56" s="846" t="s">
        <v>1048</v>
      </c>
      <c r="CL56" s="503" t="s">
        <v>1102</v>
      </c>
      <c r="CM56" s="497">
        <f t="shared" si="130"/>
        <v>0</v>
      </c>
      <c r="CN56" s="497">
        <f t="shared" si="131"/>
        <v>0</v>
      </c>
      <c r="CO56" s="497">
        <f t="shared" si="138"/>
        <v>0</v>
      </c>
      <c r="CP56" s="497">
        <f t="shared" si="132"/>
        <v>0</v>
      </c>
      <c r="CQ56" s="497">
        <f t="shared" si="133"/>
        <v>0</v>
      </c>
      <c r="CR56" s="497">
        <f t="shared" si="139"/>
        <v>0</v>
      </c>
      <c r="CS56" s="841"/>
    </row>
    <row r="57" spans="2:97">
      <c r="B57" s="839"/>
      <c r="C57" s="846">
        <v>1240</v>
      </c>
      <c r="D57" s="479" t="s">
        <v>1331</v>
      </c>
      <c r="E57" s="468">
        <f ca="1">SUMIF(BC[],MID(C57,1,3)&amp;"*",bc_2017)</f>
        <v>17883200.050000001</v>
      </c>
      <c r="F57" s="468">
        <f ca="1">SUMIF(BC[],MID(C57,1,3)&amp;"*",bc_2016)</f>
        <v>15855010.120000001</v>
      </c>
      <c r="G57" s="824">
        <v>2240</v>
      </c>
      <c r="H57" s="479" t="s">
        <v>1332</v>
      </c>
      <c r="I57" s="468">
        <f ca="1">-SUMIF(BC[],MID(G57,1,3)&amp;"*",bc_2017)</f>
        <v>0</v>
      </c>
      <c r="J57" s="491">
        <f ca="1">-SUMIF(BC[],MID(G57,1,3)&amp;"*",bc_2016)</f>
        <v>0</v>
      </c>
      <c r="K57" s="841"/>
      <c r="AQ57" s="839"/>
      <c r="AR57" s="847"/>
      <c r="AS57" s="526" t="s">
        <v>1282</v>
      </c>
      <c r="AT57" s="527">
        <f>+BO78</f>
        <v>0</v>
      </c>
      <c r="AU57" s="527">
        <f>+BR78</f>
        <v>0</v>
      </c>
      <c r="AV57" s="527">
        <f>+BS78</f>
        <v>0</v>
      </c>
      <c r="AW57" s="841"/>
      <c r="AY57" s="834"/>
      <c r="AZ57" s="839"/>
      <c r="BA57" s="882">
        <v>83</v>
      </c>
      <c r="BB57" s="512" t="s">
        <v>1337</v>
      </c>
      <c r="BC57" s="494">
        <f t="shared" si="120"/>
        <v>0</v>
      </c>
      <c r="BD57" s="494">
        <f t="shared" si="121"/>
        <v>0</v>
      </c>
      <c r="BE57" s="494">
        <f t="shared" si="122"/>
        <v>0</v>
      </c>
      <c r="BF57" s="494">
        <f t="shared" si="123"/>
        <v>0</v>
      </c>
      <c r="BG57" s="494">
        <f t="shared" si="124"/>
        <v>0</v>
      </c>
      <c r="BH57" s="494">
        <f t="shared" si="125"/>
        <v>0</v>
      </c>
      <c r="BI57" s="841"/>
      <c r="BL57" s="839"/>
      <c r="BM57" s="846">
        <v>5700</v>
      </c>
      <c r="BN57" s="503" t="s">
        <v>1334</v>
      </c>
      <c r="BO57" s="497">
        <f t="shared" si="134"/>
        <v>0</v>
      </c>
      <c r="BP57" s="497">
        <f t="shared" si="135"/>
        <v>0</v>
      </c>
      <c r="BQ57" s="497">
        <f t="shared" si="35"/>
        <v>0</v>
      </c>
      <c r="BR57" s="497">
        <f t="shared" si="136"/>
        <v>0</v>
      </c>
      <c r="BS57" s="497">
        <f t="shared" si="137"/>
        <v>0</v>
      </c>
      <c r="BT57" s="497">
        <f t="shared" si="38"/>
        <v>0</v>
      </c>
      <c r="BU57" s="841"/>
      <c r="CJ57" s="839"/>
      <c r="CK57" s="846" t="s">
        <v>1048</v>
      </c>
      <c r="CL57" s="503" t="s">
        <v>1111</v>
      </c>
      <c r="CM57" s="497">
        <f t="shared" si="130"/>
        <v>0</v>
      </c>
      <c r="CN57" s="497">
        <f t="shared" si="131"/>
        <v>0</v>
      </c>
      <c r="CO57" s="497">
        <f t="shared" si="138"/>
        <v>0</v>
      </c>
      <c r="CP57" s="497">
        <f t="shared" si="132"/>
        <v>0</v>
      </c>
      <c r="CQ57" s="497">
        <f t="shared" si="133"/>
        <v>0</v>
      </c>
      <c r="CR57" s="497">
        <f t="shared" si="139"/>
        <v>0</v>
      </c>
      <c r="CS57" s="841"/>
    </row>
    <row r="58" spans="2:97">
      <c r="B58" s="839"/>
      <c r="C58" s="846">
        <v>1250</v>
      </c>
      <c r="D58" s="479" t="s">
        <v>1335</v>
      </c>
      <c r="E58" s="468">
        <f ca="1">SUMIF(BC[],MID(C58,1,3)&amp;"*",bc_2017)</f>
        <v>12948932.159999998</v>
      </c>
      <c r="F58" s="468">
        <f ca="1">SUMIF(BC[],MID(C58,1,3)&amp;"*",bc_2016)</f>
        <v>12823516.859999999</v>
      </c>
      <c r="G58" s="824">
        <v>2250</v>
      </c>
      <c r="H58" s="479" t="s">
        <v>1336</v>
      </c>
      <c r="I58" s="468">
        <f ca="1">-SUMIF(BC[],MID(G58,1,3)&amp;"*",bc_2017)</f>
        <v>0</v>
      </c>
      <c r="J58" s="491">
        <f ca="1">-SUMIF(BC[],MID(G58,1,3)&amp;"*",bc_2016)</f>
        <v>0</v>
      </c>
      <c r="K58" s="841"/>
      <c r="AQ58" s="839"/>
      <c r="AR58" s="847"/>
      <c r="AS58" s="522"/>
      <c r="AT58" s="523"/>
      <c r="AU58" s="523"/>
      <c r="AV58" s="524"/>
      <c r="AW58" s="841"/>
      <c r="AY58" s="834"/>
      <c r="AZ58" s="839"/>
      <c r="BA58" s="882">
        <v>83</v>
      </c>
      <c r="BB58" s="512" t="s">
        <v>1341</v>
      </c>
      <c r="BC58" s="494">
        <f t="shared" si="120"/>
        <v>0</v>
      </c>
      <c r="BD58" s="494">
        <f t="shared" si="121"/>
        <v>0</v>
      </c>
      <c r="BE58" s="494">
        <f t="shared" si="122"/>
        <v>0</v>
      </c>
      <c r="BF58" s="494">
        <f t="shared" si="123"/>
        <v>0</v>
      </c>
      <c r="BG58" s="494">
        <f t="shared" si="124"/>
        <v>0</v>
      </c>
      <c r="BH58" s="494">
        <f t="shared" si="125"/>
        <v>0</v>
      </c>
      <c r="BI58" s="841"/>
      <c r="BL58" s="839"/>
      <c r="BM58" s="846">
        <v>5800</v>
      </c>
      <c r="BN58" s="503" t="s">
        <v>1338</v>
      </c>
      <c r="BO58" s="497">
        <f t="shared" si="134"/>
        <v>0</v>
      </c>
      <c r="BP58" s="497">
        <f t="shared" si="135"/>
        <v>0</v>
      </c>
      <c r="BQ58" s="497">
        <f t="shared" si="35"/>
        <v>0</v>
      </c>
      <c r="BR58" s="497">
        <f t="shared" si="136"/>
        <v>0</v>
      </c>
      <c r="BS58" s="497">
        <f t="shared" si="137"/>
        <v>0</v>
      </c>
      <c r="BT58" s="497">
        <f t="shared" si="38"/>
        <v>0</v>
      </c>
      <c r="BU58" s="841"/>
      <c r="CJ58" s="839"/>
      <c r="CK58" s="846" t="s">
        <v>1048</v>
      </c>
      <c r="CL58" s="503"/>
      <c r="CM58" s="497"/>
      <c r="CN58" s="497"/>
      <c r="CO58" s="497"/>
      <c r="CP58" s="497"/>
      <c r="CQ58" s="497"/>
      <c r="CR58" s="497"/>
      <c r="CS58" s="841"/>
    </row>
    <row r="59" spans="2:97">
      <c r="B59" s="839"/>
      <c r="C59" s="846">
        <v>1260</v>
      </c>
      <c r="D59" s="479" t="s">
        <v>1339</v>
      </c>
      <c r="E59" s="468">
        <f ca="1">SUMIF(BC[],MID(C59,1,3)&amp;"*",bc_2017)</f>
        <v>-10699176.560000001</v>
      </c>
      <c r="F59" s="468">
        <f ca="1">SUMIF(BC[],MID(C59,1,3)&amp;"*",bc_2016)</f>
        <v>-8858009.2199999988</v>
      </c>
      <c r="G59" s="824">
        <v>2260</v>
      </c>
      <c r="H59" s="479" t="s">
        <v>1340</v>
      </c>
      <c r="I59" s="468">
        <f ca="1">-SUMIF(BC[],MID(G59,1,3)&amp;"*",bc_2017)</f>
        <v>2233972.39</v>
      </c>
      <c r="J59" s="491">
        <f ca="1">-SUMIF(BC[],MID(G59,1,3)&amp;"*",bc_2016)</f>
        <v>2058413.68</v>
      </c>
      <c r="K59" s="841"/>
      <c r="AQ59" s="839"/>
      <c r="AR59" s="847"/>
      <c r="AS59" s="522" t="s">
        <v>1079</v>
      </c>
      <c r="AT59" s="527">
        <f>+BO11-AT57</f>
        <v>80405840.510000005</v>
      </c>
      <c r="AU59" s="527">
        <f>+BR11-AU57</f>
        <v>86193205.109999985</v>
      </c>
      <c r="AV59" s="527">
        <f>+BS11-AV57</f>
        <v>84872096.260000005</v>
      </c>
      <c r="AW59" s="841"/>
      <c r="AY59" s="834"/>
      <c r="AZ59" s="839"/>
      <c r="BA59" s="882">
        <v>83</v>
      </c>
      <c r="BB59" s="512" t="s">
        <v>1344</v>
      </c>
      <c r="BC59" s="494">
        <f t="shared" si="120"/>
        <v>0</v>
      </c>
      <c r="BD59" s="494">
        <f t="shared" si="121"/>
        <v>0</v>
      </c>
      <c r="BE59" s="494">
        <f t="shared" si="122"/>
        <v>0</v>
      </c>
      <c r="BF59" s="494">
        <f t="shared" si="123"/>
        <v>0</v>
      </c>
      <c r="BG59" s="494">
        <f t="shared" si="124"/>
        <v>0</v>
      </c>
      <c r="BH59" s="494">
        <f t="shared" si="125"/>
        <v>0</v>
      </c>
      <c r="BI59" s="841"/>
      <c r="BL59" s="839"/>
      <c r="BM59" s="846">
        <v>5900</v>
      </c>
      <c r="BN59" s="503" t="s">
        <v>1342</v>
      </c>
      <c r="BO59" s="497">
        <f t="shared" si="134"/>
        <v>60070.94</v>
      </c>
      <c r="BP59" s="497">
        <f t="shared" si="135"/>
        <v>65344.359999999986</v>
      </c>
      <c r="BQ59" s="497">
        <f t="shared" si="35"/>
        <v>125415.29999999999</v>
      </c>
      <c r="BR59" s="497">
        <f t="shared" si="136"/>
        <v>125415.3</v>
      </c>
      <c r="BS59" s="497">
        <f t="shared" si="137"/>
        <v>125415.3</v>
      </c>
      <c r="BT59" s="497">
        <f t="shared" si="38"/>
        <v>0</v>
      </c>
      <c r="BU59" s="841"/>
      <c r="CJ59" s="839"/>
      <c r="CK59" s="846" t="s">
        <v>1048</v>
      </c>
      <c r="CL59" s="498" t="s">
        <v>1129</v>
      </c>
      <c r="CM59" s="496">
        <f t="shared" ref="CM59:CR59" si="141">SUM(CM60:CM66)</f>
        <v>0</v>
      </c>
      <c r="CN59" s="496">
        <f t="shared" si="141"/>
        <v>0</v>
      </c>
      <c r="CO59" s="496">
        <f t="shared" si="141"/>
        <v>0</v>
      </c>
      <c r="CP59" s="496">
        <f t="shared" si="141"/>
        <v>0</v>
      </c>
      <c r="CQ59" s="496">
        <f t="shared" si="141"/>
        <v>0</v>
      </c>
      <c r="CR59" s="496">
        <f t="shared" si="141"/>
        <v>0</v>
      </c>
      <c r="CS59" s="841"/>
    </row>
    <row r="60" spans="2:97">
      <c r="B60" s="839"/>
      <c r="C60" s="846">
        <v>1270</v>
      </c>
      <c r="D60" s="479" t="s">
        <v>1343</v>
      </c>
      <c r="E60" s="468">
        <f ca="1">SUMIF(BC[],MID(C60,1,3)&amp;"*",bc_2017)</f>
        <v>35200</v>
      </c>
      <c r="F60" s="468">
        <f ca="1">SUMIF(BC[],MID(C60,1,3)&amp;"*",bc_2016)</f>
        <v>45485.72</v>
      </c>
      <c r="G60" s="824"/>
      <c r="H60" s="473"/>
      <c r="I60" s="500"/>
      <c r="J60" s="505"/>
      <c r="K60" s="841"/>
      <c r="AQ60" s="839"/>
      <c r="AR60" s="847"/>
      <c r="AS60" s="522"/>
      <c r="AT60" s="523"/>
      <c r="AU60" s="523"/>
      <c r="AV60" s="524"/>
      <c r="AW60" s="841"/>
      <c r="AY60" s="834"/>
      <c r="AZ60" s="839"/>
      <c r="BA60" s="882">
        <v>83</v>
      </c>
      <c r="BB60" s="512" t="s">
        <v>1348</v>
      </c>
      <c r="BC60" s="494">
        <f t="shared" si="120"/>
        <v>0</v>
      </c>
      <c r="BD60" s="494">
        <f t="shared" si="121"/>
        <v>0</v>
      </c>
      <c r="BE60" s="494">
        <f t="shared" si="122"/>
        <v>0</v>
      </c>
      <c r="BF60" s="494">
        <f t="shared" si="123"/>
        <v>0</v>
      </c>
      <c r="BG60" s="494">
        <f t="shared" si="124"/>
        <v>0</v>
      </c>
      <c r="BH60" s="494">
        <f t="shared" si="125"/>
        <v>0</v>
      </c>
      <c r="BI60" s="841"/>
      <c r="BL60" s="839"/>
      <c r="BM60" s="846">
        <v>6000</v>
      </c>
      <c r="BN60" s="495" t="s">
        <v>1345</v>
      </c>
      <c r="BO60" s="496">
        <f t="shared" ref="BO60:BT60" si="142">SUM(BO61:BO63)</f>
        <v>0</v>
      </c>
      <c r="BP60" s="496">
        <f t="shared" si="142"/>
        <v>0</v>
      </c>
      <c r="BQ60" s="496">
        <f t="shared" si="142"/>
        <v>0</v>
      </c>
      <c r="BR60" s="496">
        <f t="shared" si="142"/>
        <v>0</v>
      </c>
      <c r="BS60" s="496">
        <f t="shared" si="142"/>
        <v>0</v>
      </c>
      <c r="BT60" s="496">
        <f t="shared" si="142"/>
        <v>0</v>
      </c>
      <c r="BU60" s="841"/>
      <c r="CJ60" s="839"/>
      <c r="CK60" s="846" t="s">
        <v>1048</v>
      </c>
      <c r="CL60" s="503" t="s">
        <v>1136</v>
      </c>
      <c r="CM60" s="497">
        <f t="shared" ref="CM60:CM66" si="143">SUMIF(PE_CFG,MID(CK59,1,1)&amp;"."&amp;MID(CK59,2,1)&amp;".*",PE_A)</f>
        <v>0</v>
      </c>
      <c r="CN60" s="497">
        <f t="shared" ref="CN60:CN66" si="144">SUMIF(PE_CFG,MID(CK59,1,1)&amp;"."&amp;MID(CK59,2,1)&amp;".*",PE_M)</f>
        <v>0</v>
      </c>
      <c r="CO60" s="497">
        <f t="shared" ref="CO60:CO66" si="145">+CM60+CN60</f>
        <v>0</v>
      </c>
      <c r="CP60" s="497">
        <f t="shared" ref="CP60:CP66" si="146">SUMIF(PE_CFG,MID(CK59,1,1)&amp;"."&amp;MID(CK59,2,1)&amp;".*",PE_D)</f>
        <v>0</v>
      </c>
      <c r="CQ60" s="497">
        <f t="shared" ref="CQ60:CQ66" si="147">SUMIF(PE_CFG,MID(CK59,1,1)&amp;"."&amp;MID(CK59,2,1)&amp;".*",PE_P)</f>
        <v>0</v>
      </c>
      <c r="CR60" s="497">
        <f t="shared" ref="CR60:CR66" si="148">+CO60-CP60</f>
        <v>0</v>
      </c>
      <c r="CS60" s="841"/>
    </row>
    <row r="61" spans="2:97">
      <c r="B61" s="839"/>
      <c r="C61" s="846">
        <v>1280</v>
      </c>
      <c r="D61" s="479" t="s">
        <v>1346</v>
      </c>
      <c r="E61" s="468">
        <f ca="1">SUMIF(BC[],MID(C61,1,3)&amp;"*",bc_2017)</f>
        <v>0</v>
      </c>
      <c r="F61" s="468">
        <f ca="1">SUMIF(BC[],MID(C61,1,3)&amp;"*",bc_2016)</f>
        <v>0</v>
      </c>
      <c r="G61" s="824">
        <v>2200</v>
      </c>
      <c r="H61" s="473" t="s">
        <v>1347</v>
      </c>
      <c r="I61" s="468">
        <f ca="1">SUM(I54:I59)</f>
        <v>2233972.39</v>
      </c>
      <c r="J61" s="491">
        <f ca="1">SUM(J54:J59)</f>
        <v>2058413.68</v>
      </c>
      <c r="K61" s="841"/>
      <c r="AQ61" s="839"/>
      <c r="AR61" s="847"/>
      <c r="AS61" s="522" t="s">
        <v>1117</v>
      </c>
      <c r="AT61" s="534"/>
      <c r="AU61" s="333">
        <f>SUMIF(PE_CFF,"0*",PE_D)</f>
        <v>0</v>
      </c>
      <c r="AV61" s="333">
        <f>SUMIF(PE_CFF,"0*",PE_P)</f>
        <v>0</v>
      </c>
      <c r="AW61" s="841"/>
      <c r="AY61" s="834"/>
      <c r="AZ61" s="839"/>
      <c r="BA61" s="882">
        <v>83</v>
      </c>
      <c r="BB61" s="479" t="s">
        <v>1351</v>
      </c>
      <c r="BC61" s="502">
        <f t="shared" si="120"/>
        <v>0</v>
      </c>
      <c r="BD61" s="502">
        <f t="shared" si="121"/>
        <v>0</v>
      </c>
      <c r="BE61" s="502">
        <f t="shared" si="122"/>
        <v>0</v>
      </c>
      <c r="BF61" s="502">
        <f t="shared" si="123"/>
        <v>0</v>
      </c>
      <c r="BG61" s="502">
        <f t="shared" si="124"/>
        <v>0</v>
      </c>
      <c r="BH61" s="502">
        <f t="shared" si="125"/>
        <v>0</v>
      </c>
      <c r="BI61" s="841"/>
      <c r="BL61" s="839"/>
      <c r="BM61" s="846">
        <v>6100</v>
      </c>
      <c r="BN61" s="503" t="s">
        <v>1349</v>
      </c>
      <c r="BO61" s="497">
        <f>SUMIF(PE_COG,MID(BM61,1,2)&amp;"*",PE_A)</f>
        <v>0</v>
      </c>
      <c r="BP61" s="497">
        <f>SUMIF(PE_COG,MID(BM61,1,2)&amp;"*",PE_M)</f>
        <v>0</v>
      </c>
      <c r="BQ61" s="497">
        <f t="shared" si="35"/>
        <v>0</v>
      </c>
      <c r="BR61" s="497">
        <f>SUMIF(PE_COG,MID(BM61,1,2)&amp;"*",PE_D)</f>
        <v>0</v>
      </c>
      <c r="BS61" s="497">
        <f>SUMIF(PE_COG,MID(BM61,1,2)&amp;"*",PE_P)</f>
        <v>0</v>
      </c>
      <c r="BT61" s="497">
        <f t="shared" si="38"/>
        <v>0</v>
      </c>
      <c r="BU61" s="841"/>
      <c r="CJ61" s="839"/>
      <c r="CK61" s="846" t="s">
        <v>1048</v>
      </c>
      <c r="CL61" s="503" t="s">
        <v>1145</v>
      </c>
      <c r="CM61" s="497">
        <f t="shared" si="143"/>
        <v>0</v>
      </c>
      <c r="CN61" s="497">
        <f t="shared" si="144"/>
        <v>0</v>
      </c>
      <c r="CO61" s="497">
        <f t="shared" si="145"/>
        <v>0</v>
      </c>
      <c r="CP61" s="497">
        <f t="shared" si="146"/>
        <v>0</v>
      </c>
      <c r="CQ61" s="497">
        <f t="shared" si="147"/>
        <v>0</v>
      </c>
      <c r="CR61" s="497">
        <f t="shared" si="148"/>
        <v>0</v>
      </c>
      <c r="CS61" s="841"/>
    </row>
    <row r="62" spans="2:97">
      <c r="B62" s="839"/>
      <c r="C62" s="846">
        <v>1290</v>
      </c>
      <c r="D62" s="479" t="s">
        <v>1350</v>
      </c>
      <c r="E62" s="468">
        <f ca="1">SUMIF(BC[],MID(C62,1,3)&amp;"*",bc_2017)</f>
        <v>0</v>
      </c>
      <c r="F62" s="468">
        <f ca="1">SUMIF(BC[],MID(C62,1,3)&amp;"*",bc_2016)</f>
        <v>0</v>
      </c>
      <c r="G62" s="824"/>
      <c r="H62" s="487"/>
      <c r="I62" s="500"/>
      <c r="J62" s="505"/>
      <c r="K62" s="841"/>
      <c r="AQ62" s="839"/>
      <c r="AR62" s="847"/>
      <c r="AS62" s="522"/>
      <c r="AT62" s="523"/>
      <c r="AU62" s="523"/>
      <c r="AV62" s="524"/>
      <c r="AW62" s="841"/>
      <c r="AY62" s="834"/>
      <c r="AZ62" s="839"/>
      <c r="BA62" s="882">
        <v>83</v>
      </c>
      <c r="BB62" s="512" t="s">
        <v>1355</v>
      </c>
      <c r="BC62" s="494">
        <f t="shared" si="120"/>
        <v>0</v>
      </c>
      <c r="BD62" s="494">
        <f t="shared" si="121"/>
        <v>0</v>
      </c>
      <c r="BE62" s="494">
        <f t="shared" si="122"/>
        <v>0</v>
      </c>
      <c r="BF62" s="494">
        <f t="shared" si="123"/>
        <v>0</v>
      </c>
      <c r="BG62" s="494">
        <f t="shared" si="124"/>
        <v>0</v>
      </c>
      <c r="BH62" s="494">
        <f t="shared" si="125"/>
        <v>0</v>
      </c>
      <c r="BI62" s="841"/>
      <c r="BL62" s="839"/>
      <c r="BM62" s="846">
        <v>6200</v>
      </c>
      <c r="BN62" s="503" t="s">
        <v>1352</v>
      </c>
      <c r="BO62" s="497">
        <f>SUMIF(PE_COG,MID(BM62,1,2)&amp;"*",PE_A)</f>
        <v>0</v>
      </c>
      <c r="BP62" s="497">
        <f>SUMIF(PE_COG,MID(BM62,1,2)&amp;"*",PE_M)</f>
        <v>0</v>
      </c>
      <c r="BQ62" s="497">
        <f t="shared" si="35"/>
        <v>0</v>
      </c>
      <c r="BR62" s="497">
        <f>SUMIF(PE_COG,MID(BM62,1,2)&amp;"*",PE_D)</f>
        <v>0</v>
      </c>
      <c r="BS62" s="497">
        <f>SUMIF(PE_COG,MID(BM62,1,2)&amp;"*",PE_P)</f>
        <v>0</v>
      </c>
      <c r="BT62" s="497">
        <f t="shared" si="38"/>
        <v>0</v>
      </c>
      <c r="BU62" s="841"/>
      <c r="CJ62" s="839"/>
      <c r="CK62" s="846" t="s">
        <v>1048</v>
      </c>
      <c r="CL62" s="503" t="s">
        <v>1153</v>
      </c>
      <c r="CM62" s="497">
        <f t="shared" si="143"/>
        <v>0</v>
      </c>
      <c r="CN62" s="497">
        <f t="shared" si="144"/>
        <v>0</v>
      </c>
      <c r="CO62" s="497">
        <f t="shared" si="145"/>
        <v>0</v>
      </c>
      <c r="CP62" s="497">
        <f t="shared" si="146"/>
        <v>0</v>
      </c>
      <c r="CQ62" s="497">
        <f t="shared" si="147"/>
        <v>0</v>
      </c>
      <c r="CR62" s="497">
        <f t="shared" si="148"/>
        <v>0</v>
      </c>
      <c r="CS62" s="841"/>
    </row>
    <row r="63" spans="2:97">
      <c r="B63" s="839"/>
      <c r="C63" s="846"/>
      <c r="D63" s="479"/>
      <c r="E63" s="500"/>
      <c r="F63" s="500"/>
      <c r="G63" s="823">
        <v>2000</v>
      </c>
      <c r="H63" s="473" t="s">
        <v>1353</v>
      </c>
      <c r="I63" s="468">
        <f ca="1">+I51+I61</f>
        <v>7271230.9600000009</v>
      </c>
      <c r="J63" s="491">
        <f ca="1">+J51+J61</f>
        <v>5457146.0099999998</v>
      </c>
      <c r="K63" s="841"/>
      <c r="AQ63" s="839"/>
      <c r="AR63" s="847"/>
      <c r="AS63" s="525" t="s">
        <v>1354</v>
      </c>
      <c r="AT63" s="519">
        <f>+AT54+AT55-AT59+AT61</f>
        <v>0</v>
      </c>
      <c r="AU63" s="519">
        <f t="shared" ref="AU63:AV63" si="149">+AU54+AU55-AU59+AU61</f>
        <v>2670534.3100000024</v>
      </c>
      <c r="AV63" s="519">
        <f t="shared" si="149"/>
        <v>3991643.1599999815</v>
      </c>
      <c r="AW63" s="841"/>
      <c r="AY63" s="834"/>
      <c r="AZ63" s="839"/>
      <c r="BA63" s="882">
        <v>83</v>
      </c>
      <c r="BB63" s="512" t="s">
        <v>1359</v>
      </c>
      <c r="BC63" s="494">
        <f t="shared" si="120"/>
        <v>0</v>
      </c>
      <c r="BD63" s="494">
        <f t="shared" si="121"/>
        <v>0</v>
      </c>
      <c r="BE63" s="494">
        <f t="shared" si="122"/>
        <v>0</v>
      </c>
      <c r="BF63" s="494">
        <f t="shared" si="123"/>
        <v>0</v>
      </c>
      <c r="BG63" s="494">
        <f t="shared" si="124"/>
        <v>0</v>
      </c>
      <c r="BH63" s="494">
        <f t="shared" si="125"/>
        <v>0</v>
      </c>
      <c r="BI63" s="841"/>
      <c r="BL63" s="839"/>
      <c r="BM63" s="846">
        <v>6300</v>
      </c>
      <c r="BN63" s="503" t="s">
        <v>1356</v>
      </c>
      <c r="BO63" s="497">
        <f>SUMIF(PE_COG,MID(BM63,1,2)&amp;"*",PE_A)</f>
        <v>0</v>
      </c>
      <c r="BP63" s="497">
        <f>SUMIF(PE_COG,MID(BM63,1,2)&amp;"*",PE_M)</f>
        <v>0</v>
      </c>
      <c r="BQ63" s="497">
        <f t="shared" si="35"/>
        <v>0</v>
      </c>
      <c r="BR63" s="497">
        <f>SUMIF(PE_COG,MID(BM63,1,2)&amp;"*",PE_D)</f>
        <v>0</v>
      </c>
      <c r="BS63" s="497">
        <f>SUMIF(PE_COG,MID(BM63,1,2)&amp;"*",PE_P)</f>
        <v>0</v>
      </c>
      <c r="BT63" s="497">
        <f t="shared" si="38"/>
        <v>0</v>
      </c>
      <c r="BU63" s="841"/>
      <c r="CJ63" s="839"/>
      <c r="CK63" s="846" t="s">
        <v>1048</v>
      </c>
      <c r="CL63" s="503" t="s">
        <v>1161</v>
      </c>
      <c r="CM63" s="497">
        <f t="shared" si="143"/>
        <v>0</v>
      </c>
      <c r="CN63" s="497">
        <f t="shared" si="144"/>
        <v>0</v>
      </c>
      <c r="CO63" s="497">
        <f t="shared" si="145"/>
        <v>0</v>
      </c>
      <c r="CP63" s="497">
        <f t="shared" si="146"/>
        <v>0</v>
      </c>
      <c r="CQ63" s="497">
        <f t="shared" si="147"/>
        <v>0</v>
      </c>
      <c r="CR63" s="497">
        <f t="shared" si="148"/>
        <v>0</v>
      </c>
      <c r="CS63" s="841"/>
    </row>
    <row r="64" spans="2:97">
      <c r="B64" s="839"/>
      <c r="C64" s="846">
        <v>1200</v>
      </c>
      <c r="D64" s="473" t="s">
        <v>1357</v>
      </c>
      <c r="E64" s="468">
        <f ca="1">SUM(E54:E62)</f>
        <v>20168155.649999999</v>
      </c>
      <c r="F64" s="468">
        <f ca="1">SUM(F54:F62)</f>
        <v>19866003.48</v>
      </c>
      <c r="G64" s="824"/>
      <c r="H64" s="479"/>
      <c r="I64" s="500"/>
      <c r="J64" s="505"/>
      <c r="K64" s="841"/>
      <c r="AQ64" s="839"/>
      <c r="AR64" s="847"/>
      <c r="AS64" s="525" t="s">
        <v>1358</v>
      </c>
      <c r="AT64" s="519">
        <f>+AT63-AT55</f>
        <v>0</v>
      </c>
      <c r="AU64" s="519">
        <f t="shared" ref="AU64:AV64" si="150">+AU63-AU55</f>
        <v>2670534.3100000024</v>
      </c>
      <c r="AV64" s="519">
        <f t="shared" si="150"/>
        <v>3991643.1599999815</v>
      </c>
      <c r="AW64" s="841"/>
      <c r="AY64" s="834"/>
      <c r="AZ64" s="839"/>
      <c r="BA64" s="882">
        <v>93</v>
      </c>
      <c r="BB64" s="479" t="s">
        <v>1362</v>
      </c>
      <c r="BC64" s="502">
        <f t="shared" si="120"/>
        <v>0</v>
      </c>
      <c r="BD64" s="502">
        <f t="shared" si="121"/>
        <v>0</v>
      </c>
      <c r="BE64" s="502">
        <f t="shared" si="122"/>
        <v>0</v>
      </c>
      <c r="BF64" s="502">
        <f t="shared" si="123"/>
        <v>0</v>
      </c>
      <c r="BG64" s="502">
        <f t="shared" si="124"/>
        <v>0</v>
      </c>
      <c r="BH64" s="502">
        <f t="shared" si="125"/>
        <v>0</v>
      </c>
      <c r="BI64" s="841"/>
      <c r="BL64" s="839"/>
      <c r="BM64" s="846">
        <v>7000</v>
      </c>
      <c r="BN64" s="495" t="s">
        <v>1360</v>
      </c>
      <c r="BO64" s="496">
        <f t="shared" ref="BO64:BT64" si="151">SUM(BO65:BO71)</f>
        <v>0</v>
      </c>
      <c r="BP64" s="496">
        <f t="shared" si="151"/>
        <v>0</v>
      </c>
      <c r="BQ64" s="496">
        <f t="shared" si="151"/>
        <v>0</v>
      </c>
      <c r="BR64" s="496">
        <f t="shared" si="151"/>
        <v>0</v>
      </c>
      <c r="BS64" s="496">
        <f t="shared" si="151"/>
        <v>0</v>
      </c>
      <c r="BT64" s="496">
        <f t="shared" si="151"/>
        <v>0</v>
      </c>
      <c r="BU64" s="841"/>
      <c r="CJ64" s="839"/>
      <c r="CK64" s="846" t="s">
        <v>1048</v>
      </c>
      <c r="CL64" s="503" t="s">
        <v>1167</v>
      </c>
      <c r="CM64" s="497">
        <f t="shared" si="143"/>
        <v>0</v>
      </c>
      <c r="CN64" s="497">
        <f t="shared" si="144"/>
        <v>0</v>
      </c>
      <c r="CO64" s="497">
        <f t="shared" si="145"/>
        <v>0</v>
      </c>
      <c r="CP64" s="497">
        <f t="shared" si="146"/>
        <v>0</v>
      </c>
      <c r="CQ64" s="497">
        <f t="shared" si="147"/>
        <v>0</v>
      </c>
      <c r="CR64" s="497">
        <f t="shared" si="148"/>
        <v>0</v>
      </c>
      <c r="CS64" s="841"/>
    </row>
    <row r="65" spans="2:97">
      <c r="B65" s="839"/>
      <c r="C65" s="846"/>
      <c r="D65" s="479"/>
      <c r="E65" s="500"/>
      <c r="F65" s="500"/>
      <c r="G65" s="824">
        <v>3000</v>
      </c>
      <c r="H65" s="473" t="s">
        <v>1361</v>
      </c>
      <c r="J65" s="853"/>
      <c r="K65" s="841"/>
      <c r="AQ65" s="839"/>
      <c r="AR65" s="848"/>
      <c r="AS65" s="535"/>
      <c r="AT65" s="536"/>
      <c r="AU65" s="536"/>
      <c r="AV65" s="537"/>
      <c r="AW65" s="841"/>
      <c r="AY65" s="834"/>
      <c r="AZ65" s="839"/>
      <c r="BA65" s="882"/>
      <c r="BB65" s="479" t="s">
        <v>1365</v>
      </c>
      <c r="BC65" s="502">
        <v>0</v>
      </c>
      <c r="BD65" s="502">
        <v>0</v>
      </c>
      <c r="BE65" s="502">
        <f t="shared" si="122"/>
        <v>0</v>
      </c>
      <c r="BF65" s="502">
        <v>0</v>
      </c>
      <c r="BG65" s="502">
        <v>0</v>
      </c>
      <c r="BH65" s="502">
        <f t="shared" si="125"/>
        <v>0</v>
      </c>
      <c r="BI65" s="841"/>
      <c r="BL65" s="839"/>
      <c r="BM65" s="846">
        <v>7100</v>
      </c>
      <c r="BN65" s="503" t="s">
        <v>1363</v>
      </c>
      <c r="BO65" s="497">
        <f t="shared" ref="BO65:BO69" si="152">SUMIF(PE_COG,MID(BM65,1,2)&amp;"*",PE_A)</f>
        <v>0</v>
      </c>
      <c r="BP65" s="497">
        <f t="shared" ref="BP65:BP69" si="153">SUMIF(PE_COG,MID(BM65,1,2)&amp;"*",PE_M)</f>
        <v>0</v>
      </c>
      <c r="BQ65" s="497">
        <f t="shared" si="35"/>
        <v>0</v>
      </c>
      <c r="BR65" s="497">
        <f t="shared" ref="BR65:BR69" si="154">SUMIF(PE_COG,MID(BM65,1,2)&amp;"*",PE_D)</f>
        <v>0</v>
      </c>
      <c r="BS65" s="497">
        <f t="shared" ref="BS65:BS69" si="155">SUMIF(PE_COG,MID(BM65,1,2)&amp;"*",PE_P)</f>
        <v>0</v>
      </c>
      <c r="BT65" s="497">
        <f t="shared" si="38"/>
        <v>0</v>
      </c>
      <c r="BU65" s="841"/>
      <c r="CJ65" s="839"/>
      <c r="CK65" s="846" t="s">
        <v>1048</v>
      </c>
      <c r="CL65" s="503" t="s">
        <v>1173</v>
      </c>
      <c r="CM65" s="497">
        <f t="shared" si="143"/>
        <v>0</v>
      </c>
      <c r="CN65" s="497">
        <f t="shared" si="144"/>
        <v>0</v>
      </c>
      <c r="CO65" s="497">
        <f t="shared" si="145"/>
        <v>0</v>
      </c>
      <c r="CP65" s="497">
        <f t="shared" si="146"/>
        <v>0</v>
      </c>
      <c r="CQ65" s="497">
        <f t="shared" si="147"/>
        <v>0</v>
      </c>
      <c r="CR65" s="497">
        <f t="shared" si="148"/>
        <v>0</v>
      </c>
      <c r="CS65" s="841"/>
    </row>
    <row r="66" spans="2:97">
      <c r="B66" s="839"/>
      <c r="C66" s="846">
        <v>1000</v>
      </c>
      <c r="D66" s="473" t="s">
        <v>1364</v>
      </c>
      <c r="E66" s="468">
        <f ca="1">+E64+E51</f>
        <v>35898886.349999994</v>
      </c>
      <c r="F66" s="468">
        <f ca="1">+F64+F51</f>
        <v>31227829.200000003</v>
      </c>
      <c r="H66" s="473"/>
      <c r="I66" s="500"/>
      <c r="J66" s="505"/>
      <c r="K66" s="841"/>
      <c r="AQ66" s="839"/>
      <c r="AR66" s="834"/>
      <c r="AS66" s="834"/>
      <c r="AT66" s="834"/>
      <c r="AU66" s="834"/>
      <c r="AV66" s="834"/>
      <c r="AW66" s="841"/>
      <c r="AY66" s="834"/>
      <c r="AZ66" s="839"/>
      <c r="BA66" s="883"/>
      <c r="BB66" s="473" t="s">
        <v>1368</v>
      </c>
      <c r="BC66" s="502">
        <f>+BC47+BC56+BC61+BC64+BC65</f>
        <v>0</v>
      </c>
      <c r="BD66" s="502">
        <f t="shared" ref="BD66:BG66" si="156">+BD47+BD56+BD61+BD64+BD65</f>
        <v>0</v>
      </c>
      <c r="BE66" s="502">
        <f t="shared" si="122"/>
        <v>0</v>
      </c>
      <c r="BF66" s="502">
        <f t="shared" si="156"/>
        <v>0</v>
      </c>
      <c r="BG66" s="502">
        <f t="shared" si="156"/>
        <v>0</v>
      </c>
      <c r="BH66" s="502">
        <f t="shared" si="125"/>
        <v>0</v>
      </c>
      <c r="BI66" s="841"/>
      <c r="BL66" s="839"/>
      <c r="BM66" s="846">
        <v>7200</v>
      </c>
      <c r="BN66" s="503" t="s">
        <v>1366</v>
      </c>
      <c r="BO66" s="497">
        <f t="shared" si="152"/>
        <v>0</v>
      </c>
      <c r="BP66" s="497">
        <f t="shared" si="153"/>
        <v>0</v>
      </c>
      <c r="BQ66" s="497">
        <f t="shared" si="35"/>
        <v>0</v>
      </c>
      <c r="BR66" s="497">
        <f t="shared" si="154"/>
        <v>0</v>
      </c>
      <c r="BS66" s="497">
        <f t="shared" si="155"/>
        <v>0</v>
      </c>
      <c r="BT66" s="497">
        <f t="shared" si="38"/>
        <v>0</v>
      </c>
      <c r="BU66" s="841"/>
      <c r="CJ66" s="839"/>
      <c r="CK66" s="846" t="s">
        <v>1048</v>
      </c>
      <c r="CL66" s="503" t="s">
        <v>1178</v>
      </c>
      <c r="CM66" s="497">
        <f t="shared" si="143"/>
        <v>0</v>
      </c>
      <c r="CN66" s="497">
        <f t="shared" si="144"/>
        <v>0</v>
      </c>
      <c r="CO66" s="497">
        <f t="shared" si="145"/>
        <v>0</v>
      </c>
      <c r="CP66" s="497">
        <f t="shared" si="146"/>
        <v>0</v>
      </c>
      <c r="CQ66" s="497">
        <f t="shared" si="147"/>
        <v>0</v>
      </c>
      <c r="CR66" s="497">
        <f t="shared" si="148"/>
        <v>0</v>
      </c>
      <c r="CS66" s="841"/>
    </row>
    <row r="67" spans="2:97">
      <c r="B67" s="839"/>
      <c r="C67" s="846"/>
      <c r="D67" s="479"/>
      <c r="E67" s="500"/>
      <c r="F67" s="500"/>
      <c r="G67" s="824">
        <v>3100</v>
      </c>
      <c r="H67" s="473" t="s">
        <v>1367</v>
      </c>
      <c r="I67" s="468">
        <f ca="1">SUM(I68:I70)</f>
        <v>27577726.700000003</v>
      </c>
      <c r="J67" s="491">
        <f ca="1">SUM(J68:J70)</f>
        <v>26724265.559999999</v>
      </c>
      <c r="K67" s="841"/>
      <c r="AQ67" s="839"/>
      <c r="AR67" s="1073"/>
      <c r="AS67" s="1080" t="s">
        <v>1009</v>
      </c>
      <c r="AT67" s="1068" t="s">
        <v>1010</v>
      </c>
      <c r="AU67" s="1068" t="s">
        <v>359</v>
      </c>
      <c r="AV67" s="1068" t="s">
        <v>1011</v>
      </c>
      <c r="AW67" s="841"/>
      <c r="AY67" s="834"/>
      <c r="AZ67" s="839"/>
      <c r="BA67" s="883"/>
      <c r="BB67" s="479"/>
      <c r="BC67" s="480"/>
      <c r="BD67" s="481"/>
      <c r="BE67" s="481"/>
      <c r="BF67" s="481"/>
      <c r="BG67" s="481"/>
      <c r="BH67" s="481"/>
      <c r="BI67" s="841"/>
      <c r="BL67" s="839"/>
      <c r="BM67" s="846">
        <v>7300</v>
      </c>
      <c r="BN67" s="503" t="s">
        <v>1369</v>
      </c>
      <c r="BO67" s="497">
        <f t="shared" si="152"/>
        <v>0</v>
      </c>
      <c r="BP67" s="497">
        <f t="shared" si="153"/>
        <v>0</v>
      </c>
      <c r="BQ67" s="497">
        <f t="shared" si="35"/>
        <v>0</v>
      </c>
      <c r="BR67" s="497">
        <f t="shared" si="154"/>
        <v>0</v>
      </c>
      <c r="BS67" s="497">
        <f t="shared" si="155"/>
        <v>0</v>
      </c>
      <c r="BT67" s="497">
        <f t="shared" si="38"/>
        <v>0</v>
      </c>
      <c r="BU67" s="841"/>
      <c r="CJ67" s="839"/>
      <c r="CK67" s="846" t="s">
        <v>1048</v>
      </c>
      <c r="CL67" s="503"/>
      <c r="CM67" s="497"/>
      <c r="CN67" s="497"/>
      <c r="CO67" s="497"/>
      <c r="CP67" s="497"/>
      <c r="CQ67" s="497"/>
      <c r="CR67" s="497"/>
      <c r="CS67" s="841"/>
    </row>
    <row r="68" spans="2:97">
      <c r="B68" s="839"/>
      <c r="C68" s="846"/>
      <c r="D68" s="479"/>
      <c r="E68" s="500"/>
      <c r="F68" s="500"/>
      <c r="G68" s="824">
        <v>3110</v>
      </c>
      <c r="H68" s="479" t="s">
        <v>1370</v>
      </c>
      <c r="I68" s="500">
        <f ca="1">-SUMIF(BC[],MID(G68,1,3)&amp;"*",bc_2017)</f>
        <v>27577726.700000003</v>
      </c>
      <c r="J68" s="505">
        <f ca="1">-SUMIF(BC[],MID(G68,1,3)&amp;"*",bc_2016)</f>
        <v>26724265.559999999</v>
      </c>
      <c r="K68" s="841"/>
      <c r="AQ68" s="839"/>
      <c r="AR68" s="1074"/>
      <c r="AS68" s="1081"/>
      <c r="AT68" s="1069"/>
      <c r="AU68" s="1069"/>
      <c r="AV68" s="1069"/>
      <c r="AW68" s="841"/>
      <c r="AY68" s="834"/>
      <c r="AZ68" s="839"/>
      <c r="BA68" s="883">
        <v>1</v>
      </c>
      <c r="BB68" s="473" t="s">
        <v>1373</v>
      </c>
      <c r="BC68" s="502">
        <f>+BC69</f>
        <v>0</v>
      </c>
      <c r="BD68" s="502">
        <f t="shared" ref="BD68:BH68" si="157">+BD69</f>
        <v>0</v>
      </c>
      <c r="BE68" s="502">
        <f t="shared" si="157"/>
        <v>0</v>
      </c>
      <c r="BF68" s="502">
        <f t="shared" si="157"/>
        <v>0</v>
      </c>
      <c r="BG68" s="502">
        <f t="shared" si="157"/>
        <v>0</v>
      </c>
      <c r="BH68" s="502">
        <f t="shared" si="157"/>
        <v>0</v>
      </c>
      <c r="BI68" s="841"/>
      <c r="BL68" s="839"/>
      <c r="BM68" s="846">
        <v>7400</v>
      </c>
      <c r="BN68" s="503" t="s">
        <v>1371</v>
      </c>
      <c r="BO68" s="497">
        <f t="shared" si="152"/>
        <v>0</v>
      </c>
      <c r="BP68" s="497">
        <f t="shared" si="153"/>
        <v>0</v>
      </c>
      <c r="BQ68" s="497">
        <f t="shared" si="35"/>
        <v>0</v>
      </c>
      <c r="BR68" s="497">
        <f t="shared" si="154"/>
        <v>0</v>
      </c>
      <c r="BS68" s="497">
        <f t="shared" si="155"/>
        <v>0</v>
      </c>
      <c r="BT68" s="497">
        <f t="shared" si="38"/>
        <v>0</v>
      </c>
      <c r="BU68" s="841"/>
      <c r="CJ68" s="839"/>
      <c r="CK68" s="846" t="s">
        <v>1048</v>
      </c>
      <c r="CL68" s="498" t="s">
        <v>1191</v>
      </c>
      <c r="CM68" s="496">
        <f>SUM(CM69:CM77)</f>
        <v>0</v>
      </c>
      <c r="CN68" s="496">
        <f>SUM(CN69:CN76)</f>
        <v>0</v>
      </c>
      <c r="CO68" s="496">
        <f>SUM(CO69:CO76)</f>
        <v>0</v>
      </c>
      <c r="CP68" s="496">
        <f>SUM(CP69:CP76)</f>
        <v>0</v>
      </c>
      <c r="CQ68" s="496">
        <f>SUM(CQ69:CQ76)</f>
        <v>0</v>
      </c>
      <c r="CR68" s="496">
        <f>SUM(CR69:CR76)</f>
        <v>0</v>
      </c>
      <c r="CS68" s="841"/>
    </row>
    <row r="69" spans="2:97">
      <c r="B69" s="839"/>
      <c r="C69" s="846"/>
      <c r="D69" s="479"/>
      <c r="E69" s="500"/>
      <c r="F69" s="500"/>
      <c r="G69" s="824">
        <v>3120</v>
      </c>
      <c r="H69" s="479" t="s">
        <v>1372</v>
      </c>
      <c r="I69" s="500">
        <f ca="1">-SUMIF(BC[],MID(G69,1,3)&amp;"*",bc_2017)</f>
        <v>0</v>
      </c>
      <c r="J69" s="505">
        <f ca="1">-SUMIF(BC[],MID(G69,1,3)&amp;"*",bc_2016)</f>
        <v>0</v>
      </c>
      <c r="K69" s="841"/>
      <c r="AQ69" s="839"/>
      <c r="AR69" s="847"/>
      <c r="AS69" s="533"/>
      <c r="AT69" s="538"/>
      <c r="AU69" s="523"/>
      <c r="AV69" s="524"/>
      <c r="AW69" s="841"/>
      <c r="AY69" s="834"/>
      <c r="AZ69" s="839"/>
      <c r="BA69" s="886" t="s">
        <v>244</v>
      </c>
      <c r="BB69" s="479" t="s">
        <v>1623</v>
      </c>
      <c r="BC69" s="494">
        <f t="shared" ref="BC69" si="158">SUMIF(pi_cri,MID(BA69,1,2)&amp;"*",pi_e)</f>
        <v>0</v>
      </c>
      <c r="BD69" s="494">
        <f t="shared" ref="BD69" si="159">SUMIF(pi_cri,MID(BA69,1,2)&amp;"*",pi_m)</f>
        <v>0</v>
      </c>
      <c r="BE69" s="494">
        <f t="shared" ref="BE69" si="160">+BC69+BD69</f>
        <v>0</v>
      </c>
      <c r="BF69" s="494">
        <f t="shared" ref="BF69" si="161">SUMIF(pi_cri,MID(BA69,1,2)&amp;"*",pi_d)</f>
        <v>0</v>
      </c>
      <c r="BG69" s="494">
        <f t="shared" ref="BG69" si="162">SUMIF(pi_cri,MID(BA69,1,2)&amp;"*",pi_r)</f>
        <v>0</v>
      </c>
      <c r="BH69" s="494">
        <f t="shared" ref="BH69" si="163">+BG69-BC69</f>
        <v>0</v>
      </c>
      <c r="BI69" s="841"/>
      <c r="BL69" s="839"/>
      <c r="BM69" s="846">
        <v>7500</v>
      </c>
      <c r="BN69" s="503" t="s">
        <v>1374</v>
      </c>
      <c r="BO69" s="497">
        <f t="shared" si="152"/>
        <v>0</v>
      </c>
      <c r="BP69" s="497">
        <f t="shared" si="153"/>
        <v>0</v>
      </c>
      <c r="BQ69" s="497">
        <f t="shared" si="35"/>
        <v>0</v>
      </c>
      <c r="BR69" s="497">
        <f t="shared" si="154"/>
        <v>0</v>
      </c>
      <c r="BS69" s="497">
        <f t="shared" si="155"/>
        <v>0</v>
      </c>
      <c r="BT69" s="497">
        <f t="shared" si="38"/>
        <v>0</v>
      </c>
      <c r="BU69" s="841"/>
      <c r="CJ69" s="839"/>
      <c r="CK69" s="846" t="s">
        <v>1048</v>
      </c>
      <c r="CL69" s="503" t="s">
        <v>1198</v>
      </c>
      <c r="CM69" s="497">
        <f t="shared" ref="CM69:CM77" si="164">SUMIF(PE_CFG,MID(CK67,1,1)&amp;"."&amp;MID(CK67,2,1)&amp;".*",PE_A)</f>
        <v>0</v>
      </c>
      <c r="CN69" s="497">
        <f t="shared" ref="CN69:CN77" si="165">SUMIF(PE_CFG,MID(CK67,1,1)&amp;"."&amp;MID(CK67,2,1)&amp;".*",PE_M)</f>
        <v>0</v>
      </c>
      <c r="CO69" s="497">
        <f t="shared" ref="CO69:CO77" si="166">+CM69+CN69</f>
        <v>0</v>
      </c>
      <c r="CP69" s="497">
        <f t="shared" ref="CP69:CP77" si="167">SUMIF(PE_CFG,MID(CK67,1,1)&amp;"."&amp;MID(CK67,2,1)&amp;".*",PE_D)</f>
        <v>0</v>
      </c>
      <c r="CQ69" s="497">
        <f t="shared" ref="CQ69:CQ77" si="168">SUMIF(PE_CFG,MID(CK67,1,1)&amp;"."&amp;MID(CK67,2,1)&amp;".*",PE_P)</f>
        <v>0</v>
      </c>
      <c r="CR69" s="497">
        <f t="shared" ref="CR69:CR77" si="169">+CO69-CP69</f>
        <v>0</v>
      </c>
      <c r="CS69" s="841"/>
    </row>
    <row r="70" spans="2:97">
      <c r="B70" s="839"/>
      <c r="C70" s="846"/>
      <c r="D70" s="479"/>
      <c r="E70" s="500"/>
      <c r="F70" s="500"/>
      <c r="G70" s="824">
        <v>3130</v>
      </c>
      <c r="H70" s="479" t="s">
        <v>1375</v>
      </c>
      <c r="I70" s="500">
        <f ca="1">-SUMIF(BC[],MID(G70,1,3)&amp;"*",bc_2017)</f>
        <v>0</v>
      </c>
      <c r="J70" s="505">
        <f ca="1">-SUMIF(BC[],MID(G70,1,3)&amp;"*",bc_2016)</f>
        <v>0</v>
      </c>
      <c r="K70" s="841"/>
      <c r="AQ70" s="839"/>
      <c r="AR70" s="847"/>
      <c r="AS70" s="522" t="s">
        <v>1044</v>
      </c>
      <c r="AT70" s="527">
        <f>+BC59</f>
        <v>0</v>
      </c>
      <c r="AU70" s="527">
        <f>+BF59</f>
        <v>0</v>
      </c>
      <c r="AV70" s="527">
        <f>+BG59</f>
        <v>0</v>
      </c>
      <c r="AW70" s="841"/>
      <c r="AY70" s="834"/>
      <c r="AZ70" s="839"/>
      <c r="BA70" s="883"/>
      <c r="BB70" s="479"/>
      <c r="BC70" s="480"/>
      <c r="BD70" s="481"/>
      <c r="BE70" s="481"/>
      <c r="BF70" s="481"/>
      <c r="BG70" s="481"/>
      <c r="BH70" s="481"/>
      <c r="BI70" s="841"/>
      <c r="BL70" s="839"/>
      <c r="BM70" s="846"/>
      <c r="BN70" s="503" t="s">
        <v>1376</v>
      </c>
      <c r="BO70" s="497">
        <v>0</v>
      </c>
      <c r="BP70" s="497">
        <v>0</v>
      </c>
      <c r="BQ70" s="497">
        <f t="shared" si="35"/>
        <v>0</v>
      </c>
      <c r="BR70" s="497">
        <v>0</v>
      </c>
      <c r="BS70" s="497">
        <v>0</v>
      </c>
      <c r="BT70" s="497">
        <f t="shared" si="38"/>
        <v>0</v>
      </c>
      <c r="BU70" s="841"/>
      <c r="CJ70" s="839"/>
      <c r="CK70" s="846" t="s">
        <v>1048</v>
      </c>
      <c r="CL70" s="503" t="s">
        <v>1205</v>
      </c>
      <c r="CM70" s="497">
        <f t="shared" si="164"/>
        <v>0</v>
      </c>
      <c r="CN70" s="497">
        <f t="shared" si="165"/>
        <v>0</v>
      </c>
      <c r="CO70" s="497">
        <f t="shared" si="166"/>
        <v>0</v>
      </c>
      <c r="CP70" s="497">
        <f t="shared" si="167"/>
        <v>0</v>
      </c>
      <c r="CQ70" s="497">
        <f t="shared" si="168"/>
        <v>0</v>
      </c>
      <c r="CR70" s="497">
        <f t="shared" si="169"/>
        <v>0</v>
      </c>
      <c r="CS70" s="841"/>
    </row>
    <row r="71" spans="2:97">
      <c r="B71" s="839"/>
      <c r="C71" s="846"/>
      <c r="D71" s="479"/>
      <c r="E71" s="500"/>
      <c r="F71" s="500"/>
      <c r="H71" s="479"/>
      <c r="I71" s="500"/>
      <c r="J71" s="505"/>
      <c r="K71" s="841"/>
      <c r="AQ71" s="839"/>
      <c r="AR71" s="847"/>
      <c r="AS71" s="522" t="s">
        <v>1377</v>
      </c>
      <c r="AT71" s="527">
        <f>+AT72-AT73</f>
        <v>0</v>
      </c>
      <c r="AU71" s="527">
        <f t="shared" ref="AU71:AV71" si="170">+AU72-AU73</f>
        <v>0</v>
      </c>
      <c r="AV71" s="527">
        <f t="shared" si="170"/>
        <v>0</v>
      </c>
      <c r="AW71" s="841"/>
      <c r="AY71" s="834"/>
      <c r="AZ71" s="839"/>
      <c r="BA71" s="883"/>
      <c r="BB71" s="473" t="s">
        <v>1378</v>
      </c>
      <c r="BC71" s="502">
        <f>+BC43+BC66+BC68</f>
        <v>80405840.510000005</v>
      </c>
      <c r="BD71" s="502">
        <f>+BD43+BD66+BD68</f>
        <v>8457903.8100000005</v>
      </c>
      <c r="BE71" s="502">
        <f t="shared" ref="BE71" si="171">+BC71+BD71</f>
        <v>88863744.320000008</v>
      </c>
      <c r="BF71" s="502">
        <f>+BF43+BF66+BF68</f>
        <v>88863739.419999987</v>
      </c>
      <c r="BG71" s="502">
        <f>+BG43+BG66+BG68</f>
        <v>88863739.419999987</v>
      </c>
      <c r="BH71" s="502">
        <f t="shared" ref="BH71" si="172">+BG71-BC71</f>
        <v>8457898.9099999815</v>
      </c>
      <c r="BI71" s="841"/>
      <c r="BL71" s="839"/>
      <c r="BM71" s="846">
        <v>7600</v>
      </c>
      <c r="BN71" s="503" t="s">
        <v>1379</v>
      </c>
      <c r="BO71" s="497">
        <f t="shared" ref="BO71:BO72" si="173">SUMIF(PE_COG,MID(BM71,1,2)&amp;"*",PE_A)</f>
        <v>0</v>
      </c>
      <c r="BP71" s="497">
        <f t="shared" ref="BP71:BP72" si="174">SUMIF(PE_COG,MID(BM71,1,2)&amp;"*",PE_M)</f>
        <v>0</v>
      </c>
      <c r="BQ71" s="497">
        <f t="shared" si="35"/>
        <v>0</v>
      </c>
      <c r="BR71" s="497">
        <f t="shared" ref="BR71:BR72" si="175">SUMIF(PE_COG,MID(BM71,1,2)&amp;"*",PE_D)</f>
        <v>0</v>
      </c>
      <c r="BS71" s="497">
        <f t="shared" ref="BS71:BS72" si="176">SUMIF(PE_COG,MID(BM71,1,2)&amp;"*",PE_P)</f>
        <v>0</v>
      </c>
      <c r="BT71" s="497">
        <f t="shared" si="38"/>
        <v>0</v>
      </c>
      <c r="BU71" s="841"/>
      <c r="CJ71" s="839"/>
      <c r="CK71" s="846" t="s">
        <v>1048</v>
      </c>
      <c r="CL71" s="503" t="s">
        <v>1210</v>
      </c>
      <c r="CM71" s="497">
        <f t="shared" si="164"/>
        <v>0</v>
      </c>
      <c r="CN71" s="497">
        <f t="shared" si="165"/>
        <v>0</v>
      </c>
      <c r="CO71" s="497">
        <f t="shared" si="166"/>
        <v>0</v>
      </c>
      <c r="CP71" s="497">
        <f t="shared" si="167"/>
        <v>0</v>
      </c>
      <c r="CQ71" s="497">
        <f t="shared" si="168"/>
        <v>0</v>
      </c>
      <c r="CR71" s="497">
        <f t="shared" si="169"/>
        <v>0</v>
      </c>
      <c r="CS71" s="841"/>
    </row>
    <row r="72" spans="2:97">
      <c r="B72" s="839"/>
      <c r="C72" s="846"/>
      <c r="D72" s="479"/>
      <c r="E72" s="500"/>
      <c r="F72" s="500"/>
      <c r="G72" s="824">
        <v>3200</v>
      </c>
      <c r="H72" s="473" t="s">
        <v>1380</v>
      </c>
      <c r="I72" s="468">
        <f ca="1">SUM(I73:I77)</f>
        <v>1049928.6900000083</v>
      </c>
      <c r="J72" s="491">
        <f ca="1">SUM(J73:J77)</f>
        <v>-953582.36999997729</v>
      </c>
      <c r="K72" s="841"/>
      <c r="AQ72" s="839"/>
      <c r="AR72" s="847"/>
      <c r="AS72" s="526" t="s">
        <v>1270</v>
      </c>
      <c r="AT72" s="527">
        <v>0</v>
      </c>
      <c r="AU72" s="527">
        <v>0</v>
      </c>
      <c r="AV72" s="527">
        <v>0</v>
      </c>
      <c r="AW72" s="841"/>
      <c r="AY72" s="834"/>
      <c r="AZ72" s="839"/>
      <c r="BA72" s="882"/>
      <c r="BB72" s="479"/>
      <c r="BC72" s="480"/>
      <c r="BD72" s="481"/>
      <c r="BE72" s="481"/>
      <c r="BF72" s="481"/>
      <c r="BG72" s="481"/>
      <c r="BH72" s="481"/>
      <c r="BI72" s="841"/>
      <c r="BL72" s="839"/>
      <c r="BM72" s="846">
        <v>7900</v>
      </c>
      <c r="BN72" s="503" t="s">
        <v>1381</v>
      </c>
      <c r="BO72" s="497">
        <f t="shared" si="173"/>
        <v>1937510.53</v>
      </c>
      <c r="BP72" s="497">
        <f t="shared" si="174"/>
        <v>733023.78</v>
      </c>
      <c r="BQ72" s="497">
        <f t="shared" si="35"/>
        <v>2670534.31</v>
      </c>
      <c r="BR72" s="497">
        <f t="shared" si="175"/>
        <v>0</v>
      </c>
      <c r="BS72" s="497">
        <f t="shared" si="176"/>
        <v>0</v>
      </c>
      <c r="BT72" s="497">
        <f t="shared" si="38"/>
        <v>2670534.31</v>
      </c>
      <c r="BU72" s="841"/>
      <c r="CJ72" s="839"/>
      <c r="CK72" s="846" t="s">
        <v>1048</v>
      </c>
      <c r="CL72" s="503" t="s">
        <v>1216</v>
      </c>
      <c r="CM72" s="497">
        <f t="shared" si="164"/>
        <v>0</v>
      </c>
      <c r="CN72" s="497">
        <f t="shared" si="165"/>
        <v>0</v>
      </c>
      <c r="CO72" s="497">
        <f t="shared" si="166"/>
        <v>0</v>
      </c>
      <c r="CP72" s="497">
        <f t="shared" si="167"/>
        <v>0</v>
      </c>
      <c r="CQ72" s="497">
        <f t="shared" si="168"/>
        <v>0</v>
      </c>
      <c r="CR72" s="497">
        <f t="shared" si="169"/>
        <v>0</v>
      </c>
      <c r="CS72" s="841"/>
    </row>
    <row r="73" spans="2:97">
      <c r="B73" s="839"/>
      <c r="C73" s="846"/>
      <c r="D73" s="479"/>
      <c r="E73" s="500"/>
      <c r="F73" s="500"/>
      <c r="G73" s="824">
        <v>3210</v>
      </c>
      <c r="H73" s="479" t="s">
        <v>1382</v>
      </c>
      <c r="I73" s="500">
        <f ca="1">-SUMIF(BC[],MID(G73,1,3)&amp;"*",bc_2017)-SUMIF(BC[],4&amp;"*",bc_2017)-SUMIF(BC[],5&amp;"*",bc_2017)</f>
        <v>394466.96000000834</v>
      </c>
      <c r="J73" s="505">
        <f ca="1">-SUMIF(BC[],MID(H73,1,3)&amp;"*",bc_2016)-SUMIF(BC[],4&amp;"*",bc_2016)-SUMIF(BC[],5&amp;"*",bc_2016)</f>
        <v>-1484625.6799999774</v>
      </c>
      <c r="K73" s="841"/>
      <c r="AQ73" s="839"/>
      <c r="AR73" s="847"/>
      <c r="AS73" s="526" t="s">
        <v>1288</v>
      </c>
      <c r="AT73" s="527">
        <f>+BO153</f>
        <v>0</v>
      </c>
      <c r="AU73" s="527">
        <f>+BR153</f>
        <v>0</v>
      </c>
      <c r="AV73" s="527">
        <f>+BS153</f>
        <v>0</v>
      </c>
      <c r="AW73" s="841"/>
      <c r="AY73" s="834"/>
      <c r="AZ73" s="839"/>
      <c r="BA73" s="882"/>
      <c r="BB73" s="473" t="s">
        <v>1383</v>
      </c>
      <c r="BC73" s="480"/>
      <c r="BD73" s="481"/>
      <c r="BE73" s="481"/>
      <c r="BF73" s="481"/>
      <c r="BG73" s="481"/>
      <c r="BH73" s="481"/>
      <c r="BI73" s="841"/>
      <c r="BL73" s="839"/>
      <c r="BM73" s="846">
        <v>8000</v>
      </c>
      <c r="BN73" s="495" t="s">
        <v>1384</v>
      </c>
      <c r="BO73" s="496">
        <f t="shared" ref="BO73:BT73" si="177">SUM(BO74:BO76)</f>
        <v>0</v>
      </c>
      <c r="BP73" s="496">
        <f t="shared" si="177"/>
        <v>0</v>
      </c>
      <c r="BQ73" s="496">
        <f t="shared" si="177"/>
        <v>0</v>
      </c>
      <c r="BR73" s="496">
        <f t="shared" si="177"/>
        <v>0</v>
      </c>
      <c r="BS73" s="496">
        <f t="shared" si="177"/>
        <v>0</v>
      </c>
      <c r="BT73" s="496">
        <f t="shared" si="177"/>
        <v>0</v>
      </c>
      <c r="BU73" s="841"/>
      <c r="CJ73" s="839"/>
      <c r="CK73" s="846" t="s">
        <v>1048</v>
      </c>
      <c r="CL73" s="503" t="s">
        <v>1228</v>
      </c>
      <c r="CM73" s="497">
        <f t="shared" si="164"/>
        <v>0</v>
      </c>
      <c r="CN73" s="497">
        <f t="shared" si="165"/>
        <v>0</v>
      </c>
      <c r="CO73" s="497">
        <f t="shared" si="166"/>
        <v>0</v>
      </c>
      <c r="CP73" s="497">
        <f t="shared" si="167"/>
        <v>0</v>
      </c>
      <c r="CQ73" s="497">
        <f t="shared" si="168"/>
        <v>0</v>
      </c>
      <c r="CR73" s="497">
        <f t="shared" si="169"/>
        <v>0</v>
      </c>
      <c r="CS73" s="841"/>
    </row>
    <row r="74" spans="2:97">
      <c r="B74" s="839"/>
      <c r="C74" s="846"/>
      <c r="D74" s="479"/>
      <c r="E74" s="500"/>
      <c r="F74" s="500"/>
      <c r="G74" s="824">
        <v>3220</v>
      </c>
      <c r="H74" s="479" t="s">
        <v>1385</v>
      </c>
      <c r="I74" s="500">
        <f ca="1">-SUMIF(BC[],MID(G74,1,3)&amp;"*",bc_2017)</f>
        <v>655461.73</v>
      </c>
      <c r="J74" s="505">
        <f ca="1">-SUMIF(BC[],MID(G74,1,3)&amp;"*",bc_2016)</f>
        <v>531043.31000000006</v>
      </c>
      <c r="K74" s="841"/>
      <c r="AQ74" s="839"/>
      <c r="AR74" s="847"/>
      <c r="AS74" s="522"/>
      <c r="AT74" s="523"/>
      <c r="AU74" s="523"/>
      <c r="AV74" s="524"/>
      <c r="AW74" s="841"/>
      <c r="AY74" s="834"/>
      <c r="AZ74" s="839"/>
      <c r="BA74" s="886" t="s">
        <v>244</v>
      </c>
      <c r="BB74" s="479" t="s">
        <v>1386</v>
      </c>
      <c r="BC74" s="494">
        <f t="shared" ref="BC74" si="178">SUMIF(pi_cri,MID(BA74,1,2)&amp;"*",pi_e)</f>
        <v>0</v>
      </c>
      <c r="BD74" s="494">
        <f t="shared" ref="BD74" si="179">SUMIF(pi_cri,MID(BA74,1,2)&amp;"*",pi_m)</f>
        <v>0</v>
      </c>
      <c r="BE74" s="494">
        <f t="shared" ref="BE74" si="180">+BC74+BD74</f>
        <v>0</v>
      </c>
      <c r="BF74" s="494">
        <f t="shared" ref="BF74" si="181">SUMIF(pi_cri,MID(BA74,1,2)&amp;"*",pi_d)</f>
        <v>0</v>
      </c>
      <c r="BG74" s="494">
        <f t="shared" ref="BG74" si="182">SUMIF(pi_cri,MID(BA74,1,2)&amp;"*",pi_r)</f>
        <v>0</v>
      </c>
      <c r="BH74" s="494">
        <f t="shared" ref="BH74" si="183">+BG74-BC74</f>
        <v>0</v>
      </c>
      <c r="BI74" s="841"/>
      <c r="BL74" s="839"/>
      <c r="BM74" s="846">
        <v>8100</v>
      </c>
      <c r="BN74" s="503" t="s">
        <v>1387</v>
      </c>
      <c r="BO74" s="497">
        <f>SUMIF(PE_COG,MID(BM74,1,2)&amp;"*",PE_A)</f>
        <v>0</v>
      </c>
      <c r="BP74" s="497">
        <f>SUMIF(PE_COG,MID(BM74,1,2)&amp;"*",PE_M)</f>
        <v>0</v>
      </c>
      <c r="BQ74" s="497">
        <f t="shared" ref="BQ74:BQ76" si="184">+BO74+BP74</f>
        <v>0</v>
      </c>
      <c r="BR74" s="497">
        <f>SUMIF(PE_COG,MID(BM74,1,2)&amp;"*",PE_D)</f>
        <v>0</v>
      </c>
      <c r="BS74" s="497">
        <f>SUMIF(PE_COG,MID(BM74,1,2)&amp;"*",PE_P)</f>
        <v>0</v>
      </c>
      <c r="BT74" s="497">
        <f t="shared" ref="BT74:BT76" si="185">+BQ74-BR74</f>
        <v>0</v>
      </c>
      <c r="BU74" s="841"/>
      <c r="CJ74" s="839"/>
      <c r="CK74" s="846" t="s">
        <v>1048</v>
      </c>
      <c r="CL74" s="503" t="s">
        <v>1233</v>
      </c>
      <c r="CM74" s="497">
        <f t="shared" si="164"/>
        <v>0</v>
      </c>
      <c r="CN74" s="497">
        <f t="shared" si="165"/>
        <v>0</v>
      </c>
      <c r="CO74" s="497">
        <f t="shared" si="166"/>
        <v>0</v>
      </c>
      <c r="CP74" s="497">
        <f t="shared" si="167"/>
        <v>0</v>
      </c>
      <c r="CQ74" s="497">
        <f t="shared" si="168"/>
        <v>0</v>
      </c>
      <c r="CR74" s="497">
        <f t="shared" si="169"/>
        <v>0</v>
      </c>
      <c r="CS74" s="841"/>
    </row>
    <row r="75" spans="2:97">
      <c r="B75" s="839"/>
      <c r="C75" s="846"/>
      <c r="D75" s="479"/>
      <c r="E75" s="500"/>
      <c r="F75" s="500"/>
      <c r="G75" s="824">
        <v>3230</v>
      </c>
      <c r="H75" s="479" t="s">
        <v>1388</v>
      </c>
      <c r="I75" s="500">
        <f ca="1">-SUMIF(BC[],MID(G75,1,3)&amp;"*",bc_2017)</f>
        <v>0</v>
      </c>
      <c r="J75" s="505">
        <f ca="1">-SUMIF(BC[],MID(G75,1,3)&amp;"*",bc_2016)</f>
        <v>0</v>
      </c>
      <c r="K75" s="841"/>
      <c r="AQ75" s="839"/>
      <c r="AR75" s="847"/>
      <c r="AS75" s="522" t="s">
        <v>1389</v>
      </c>
      <c r="AT75" s="527">
        <f>+BO86-AT73</f>
        <v>0</v>
      </c>
      <c r="AU75" s="527">
        <f>+BR86-AU73</f>
        <v>0</v>
      </c>
      <c r="AV75" s="527">
        <f>+BS86-AV73</f>
        <v>0</v>
      </c>
      <c r="AW75" s="841"/>
      <c r="AY75" s="834"/>
      <c r="AZ75" s="839"/>
      <c r="BA75" s="883">
        <v>0</v>
      </c>
      <c r="BB75" s="479" t="s">
        <v>1390</v>
      </c>
      <c r="BC75" s="494">
        <f>+BC68-BC74</f>
        <v>0</v>
      </c>
      <c r="BD75" s="494">
        <f>+BD68-BD74</f>
        <v>0</v>
      </c>
      <c r="BE75" s="494">
        <f t="shared" ref="BE75:BE76" si="186">+BC75+BD75</f>
        <v>0</v>
      </c>
      <c r="BF75" s="494">
        <f>+BF68-BF74</f>
        <v>0</v>
      </c>
      <c r="BG75" s="494">
        <f>+BG68-BG74</f>
        <v>0</v>
      </c>
      <c r="BH75" s="494">
        <f t="shared" ref="BH75:BH76" si="187">+BG75-BC75</f>
        <v>0</v>
      </c>
      <c r="BI75" s="841"/>
      <c r="BL75" s="839"/>
      <c r="BM75" s="846">
        <v>8300</v>
      </c>
      <c r="BN75" s="503" t="s">
        <v>1391</v>
      </c>
      <c r="BO75" s="497">
        <f>SUMIF(PE_COG,MID(BM75,1,2)&amp;"*",PE_A)</f>
        <v>0</v>
      </c>
      <c r="BP75" s="497">
        <f>SUMIF(PE_COG,MID(BM75,1,2)&amp;"*",PE_M)</f>
        <v>0</v>
      </c>
      <c r="BQ75" s="497">
        <f t="shared" si="184"/>
        <v>0</v>
      </c>
      <c r="BR75" s="497">
        <f>SUMIF(PE_COG,MID(BM75,1,2)&amp;"*",PE_D)</f>
        <v>0</v>
      </c>
      <c r="BS75" s="497">
        <f>SUMIF(PE_COG,MID(BM75,1,2)&amp;"*",PE_P)</f>
        <v>0</v>
      </c>
      <c r="BT75" s="497">
        <f t="shared" si="185"/>
        <v>0</v>
      </c>
      <c r="BU75" s="841"/>
      <c r="CJ75" s="839"/>
      <c r="CK75" s="846" t="s">
        <v>1048</v>
      </c>
      <c r="CL75" s="503" t="s">
        <v>1238</v>
      </c>
      <c r="CM75" s="497">
        <f t="shared" si="164"/>
        <v>0</v>
      </c>
      <c r="CN75" s="497">
        <f t="shared" si="165"/>
        <v>0</v>
      </c>
      <c r="CO75" s="497">
        <f t="shared" si="166"/>
        <v>0</v>
      </c>
      <c r="CP75" s="497">
        <f t="shared" si="167"/>
        <v>0</v>
      </c>
      <c r="CQ75" s="497">
        <f t="shared" si="168"/>
        <v>0</v>
      </c>
      <c r="CR75" s="497">
        <f t="shared" si="169"/>
        <v>0</v>
      </c>
      <c r="CS75" s="841"/>
    </row>
    <row r="76" spans="2:97">
      <c r="B76" s="839"/>
      <c r="C76" s="846"/>
      <c r="D76" s="479"/>
      <c r="E76" s="500"/>
      <c r="F76" s="500"/>
      <c r="G76" s="824">
        <v>3240</v>
      </c>
      <c r="H76" s="479" t="s">
        <v>1392</v>
      </c>
      <c r="I76" s="500">
        <f ca="1">-SUMIF(BC[],MID(G76,1,3)&amp;"*",bc_2017)</f>
        <v>0</v>
      </c>
      <c r="J76" s="505">
        <f ca="1">-SUMIF(BC[],MID(G76,1,3)&amp;"*",bc_2016)</f>
        <v>0</v>
      </c>
      <c r="K76" s="841"/>
      <c r="AQ76" s="839"/>
      <c r="AR76" s="847"/>
      <c r="AS76" s="522"/>
      <c r="AT76" s="523"/>
      <c r="AU76" s="523"/>
      <c r="AV76" s="524"/>
      <c r="AW76" s="841"/>
      <c r="AY76" s="834"/>
      <c r="AZ76" s="839"/>
      <c r="BA76" s="882"/>
      <c r="BB76" s="473" t="s">
        <v>1393</v>
      </c>
      <c r="BC76" s="502">
        <f>+BC74+BC75</f>
        <v>0</v>
      </c>
      <c r="BD76" s="502">
        <f t="shared" ref="BD76:BG76" si="188">+BD74+BD75</f>
        <v>0</v>
      </c>
      <c r="BE76" s="502">
        <f t="shared" si="186"/>
        <v>0</v>
      </c>
      <c r="BF76" s="502">
        <f t="shared" si="188"/>
        <v>0</v>
      </c>
      <c r="BG76" s="502">
        <f t="shared" si="188"/>
        <v>0</v>
      </c>
      <c r="BH76" s="502">
        <f t="shared" si="187"/>
        <v>0</v>
      </c>
      <c r="BI76" s="841"/>
      <c r="BL76" s="839"/>
      <c r="BM76" s="846">
        <v>8500</v>
      </c>
      <c r="BN76" s="503" t="s">
        <v>1394</v>
      </c>
      <c r="BO76" s="497">
        <f>SUMIF(PE_COG,MID(BM76,1,2)&amp;"*",PE_A)</f>
        <v>0</v>
      </c>
      <c r="BP76" s="497">
        <f>SUMIF(PE_COG,MID(BM76,1,2)&amp;"*",PE_M)</f>
        <v>0</v>
      </c>
      <c r="BQ76" s="497">
        <f t="shared" si="184"/>
        <v>0</v>
      </c>
      <c r="BR76" s="497">
        <f>SUMIF(PE_COG,MID(BM76,1,2)&amp;"*",PE_D)</f>
        <v>0</v>
      </c>
      <c r="BS76" s="497">
        <f>SUMIF(PE_COG,MID(BM76,1,2)&amp;"*",PE_P)</f>
        <v>0</v>
      </c>
      <c r="BT76" s="497">
        <f t="shared" si="185"/>
        <v>0</v>
      </c>
      <c r="BU76" s="841"/>
      <c r="CJ76" s="839"/>
      <c r="CK76" s="846" t="s">
        <v>1048</v>
      </c>
      <c r="CL76" s="503" t="s">
        <v>1247</v>
      </c>
      <c r="CM76" s="497">
        <f t="shared" si="164"/>
        <v>0</v>
      </c>
      <c r="CN76" s="497">
        <f t="shared" si="165"/>
        <v>0</v>
      </c>
      <c r="CO76" s="497">
        <f t="shared" si="166"/>
        <v>0</v>
      </c>
      <c r="CP76" s="497">
        <f t="shared" si="167"/>
        <v>0</v>
      </c>
      <c r="CQ76" s="497">
        <f t="shared" si="168"/>
        <v>0</v>
      </c>
      <c r="CR76" s="497">
        <f t="shared" si="169"/>
        <v>0</v>
      </c>
      <c r="CS76" s="841"/>
    </row>
    <row r="77" spans="2:97">
      <c r="B77" s="839"/>
      <c r="C77" s="846"/>
      <c r="D77" s="479"/>
      <c r="E77" s="500"/>
      <c r="F77" s="500"/>
      <c r="G77" s="824">
        <v>3250</v>
      </c>
      <c r="H77" s="479" t="s">
        <v>1395</v>
      </c>
      <c r="I77" s="500">
        <f ca="1">-SUMIF(BC[],MID(G77,1,3)&amp;"*",bc_2017)</f>
        <v>0</v>
      </c>
      <c r="J77" s="505">
        <f ca="1">-SUMIF(BC[],MID(G77,1,3)&amp;"*",bc_2016)</f>
        <v>0</v>
      </c>
      <c r="K77" s="841"/>
      <c r="AQ77" s="839"/>
      <c r="AR77" s="847"/>
      <c r="AS77" s="522" t="s">
        <v>1125</v>
      </c>
      <c r="AT77" s="534"/>
      <c r="AU77" s="333">
        <v>0</v>
      </c>
      <c r="AV77" s="333">
        <v>0</v>
      </c>
      <c r="AW77" s="841"/>
      <c r="AY77" s="834"/>
      <c r="AZ77" s="839"/>
      <c r="BA77" s="884"/>
      <c r="BB77" s="539"/>
      <c r="BC77" s="540"/>
      <c r="BD77" s="541"/>
      <c r="BE77" s="541"/>
      <c r="BF77" s="541"/>
      <c r="BG77" s="541"/>
      <c r="BH77" s="541"/>
      <c r="BI77" s="841"/>
      <c r="BL77" s="839"/>
      <c r="BM77" s="846">
        <v>9000</v>
      </c>
      <c r="BN77" s="495" t="s">
        <v>1396</v>
      </c>
      <c r="BO77" s="496">
        <f t="shared" ref="BO77:BT77" si="189">SUM(BO78:BO84)</f>
        <v>0</v>
      </c>
      <c r="BP77" s="496">
        <f t="shared" si="189"/>
        <v>0</v>
      </c>
      <c r="BQ77" s="496">
        <f t="shared" si="189"/>
        <v>0</v>
      </c>
      <c r="BR77" s="496">
        <f t="shared" si="189"/>
        <v>0</v>
      </c>
      <c r="BS77" s="496">
        <f t="shared" si="189"/>
        <v>0</v>
      </c>
      <c r="BT77" s="496">
        <f t="shared" si="189"/>
        <v>0</v>
      </c>
      <c r="BU77" s="841"/>
      <c r="CJ77" s="839"/>
      <c r="CK77" s="846" t="s">
        <v>1048</v>
      </c>
      <c r="CL77" s="503" t="s">
        <v>1253</v>
      </c>
      <c r="CM77" s="497">
        <f t="shared" si="164"/>
        <v>0</v>
      </c>
      <c r="CN77" s="497">
        <f t="shared" si="165"/>
        <v>0</v>
      </c>
      <c r="CO77" s="497">
        <f t="shared" si="166"/>
        <v>0</v>
      </c>
      <c r="CP77" s="497">
        <f t="shared" si="167"/>
        <v>0</v>
      </c>
      <c r="CQ77" s="497">
        <f t="shared" si="168"/>
        <v>0</v>
      </c>
      <c r="CR77" s="497">
        <f t="shared" si="169"/>
        <v>0</v>
      </c>
      <c r="CS77" s="841"/>
    </row>
    <row r="78" spans="2:97" ht="12.75" thickBot="1">
      <c r="B78" s="839"/>
      <c r="C78" s="846"/>
      <c r="D78" s="479"/>
      <c r="E78" s="500"/>
      <c r="F78" s="500"/>
      <c r="G78" s="824"/>
      <c r="H78" s="479"/>
      <c r="I78" s="500"/>
      <c r="J78" s="505"/>
      <c r="K78" s="841"/>
      <c r="AQ78" s="839"/>
      <c r="AR78" s="847"/>
      <c r="AS78" s="522"/>
      <c r="AT78" s="523"/>
      <c r="AU78" s="523"/>
      <c r="AV78" s="524"/>
      <c r="AW78" s="841"/>
      <c r="AZ78" s="855"/>
      <c r="BA78" s="885"/>
      <c r="BB78" s="856"/>
      <c r="BC78" s="856"/>
      <c r="BD78" s="856"/>
      <c r="BE78" s="856"/>
      <c r="BF78" s="856"/>
      <c r="BG78" s="856"/>
      <c r="BH78" s="856"/>
      <c r="BI78" s="857"/>
      <c r="BL78" s="839"/>
      <c r="BM78" s="846">
        <v>9100</v>
      </c>
      <c r="BN78" s="503" t="s">
        <v>1397</v>
      </c>
      <c r="BO78" s="497">
        <f t="shared" ref="BO78:BO84" si="190">SUMIF(PE_COG,MID(BM78,1,2)&amp;"*",PE_A)</f>
        <v>0</v>
      </c>
      <c r="BP78" s="497">
        <f t="shared" ref="BP78:BP84" si="191">SUMIF(PE_COG,MID(BM78,1,2)&amp;"*",PE_M)</f>
        <v>0</v>
      </c>
      <c r="BQ78" s="497">
        <f t="shared" ref="BQ78:BQ84" si="192">+BO78+BP78</f>
        <v>0</v>
      </c>
      <c r="BR78" s="497">
        <f t="shared" ref="BR78:BR84" si="193">SUMIF(PE_COG,MID(BM78,1,2)&amp;"*",PE_D)</f>
        <v>0</v>
      </c>
      <c r="BS78" s="497">
        <f t="shared" ref="BS78:BS84" si="194">SUMIF(PE_COG,MID(BM78,1,2)&amp;"*",PE_P)</f>
        <v>0</v>
      </c>
      <c r="BT78" s="497">
        <f t="shared" ref="BT78:BT84" si="195">+BQ78-BR78</f>
        <v>0</v>
      </c>
      <c r="BU78" s="841"/>
      <c r="CJ78" s="839"/>
      <c r="CK78" s="846" t="s">
        <v>1048</v>
      </c>
      <c r="CL78" s="503"/>
      <c r="CM78" s="497"/>
      <c r="CN78" s="497"/>
      <c r="CO78" s="497"/>
      <c r="CP78" s="497"/>
      <c r="CQ78" s="497"/>
      <c r="CR78" s="497"/>
      <c r="CS78" s="841"/>
    </row>
    <row r="79" spans="2:97">
      <c r="B79" s="839"/>
      <c r="C79" s="846"/>
      <c r="D79" s="479"/>
      <c r="E79" s="500"/>
      <c r="F79" s="500"/>
      <c r="G79" s="824">
        <v>3300</v>
      </c>
      <c r="H79" s="473" t="s">
        <v>1398</v>
      </c>
      <c r="I79" s="468">
        <f ca="1">SUM(I80:I81)</f>
        <v>0</v>
      </c>
      <c r="J79" s="491">
        <f ca="1">SUM(J80:J81)</f>
        <v>0</v>
      </c>
      <c r="K79" s="841"/>
      <c r="AQ79" s="839"/>
      <c r="AR79" s="847"/>
      <c r="AS79" s="525" t="s">
        <v>1399</v>
      </c>
      <c r="AT79" s="519">
        <f>+AT70+AT71-AT75+AT77</f>
        <v>0</v>
      </c>
      <c r="AU79" s="519">
        <f t="shared" ref="AU79:AV79" si="196">+AU70+AU71-AU75+AU77</f>
        <v>0</v>
      </c>
      <c r="AV79" s="519">
        <f t="shared" si="196"/>
        <v>0</v>
      </c>
      <c r="AW79" s="841"/>
      <c r="BL79" s="839"/>
      <c r="BM79" s="846">
        <v>9200</v>
      </c>
      <c r="BN79" s="503" t="s">
        <v>1400</v>
      </c>
      <c r="BO79" s="497">
        <f t="shared" si="190"/>
        <v>0</v>
      </c>
      <c r="BP79" s="497">
        <f t="shared" si="191"/>
        <v>0</v>
      </c>
      <c r="BQ79" s="497">
        <f t="shared" si="192"/>
        <v>0</v>
      </c>
      <c r="BR79" s="497">
        <f t="shared" si="193"/>
        <v>0</v>
      </c>
      <c r="BS79" s="497">
        <f t="shared" si="194"/>
        <v>0</v>
      </c>
      <c r="BT79" s="497">
        <f t="shared" si="195"/>
        <v>0</v>
      </c>
      <c r="BU79" s="841"/>
      <c r="CJ79" s="839"/>
      <c r="CK79" s="846" t="s">
        <v>1048</v>
      </c>
      <c r="CL79" s="498" t="s">
        <v>1266</v>
      </c>
      <c r="CM79" s="496">
        <f t="shared" ref="CM79:CR79" si="197">SUM(CM80:CM83)</f>
        <v>0</v>
      </c>
      <c r="CN79" s="496">
        <f t="shared" si="197"/>
        <v>0</v>
      </c>
      <c r="CO79" s="496">
        <f t="shared" si="197"/>
        <v>0</v>
      </c>
      <c r="CP79" s="496">
        <f t="shared" si="197"/>
        <v>0</v>
      </c>
      <c r="CQ79" s="496">
        <f t="shared" si="197"/>
        <v>0</v>
      </c>
      <c r="CR79" s="496">
        <f t="shared" si="197"/>
        <v>0</v>
      </c>
      <c r="CS79" s="841"/>
    </row>
    <row r="80" spans="2:97">
      <c r="B80" s="839"/>
      <c r="C80" s="846"/>
      <c r="D80" s="479"/>
      <c r="E80" s="500"/>
      <c r="F80" s="500"/>
      <c r="G80" s="824">
        <v>3310</v>
      </c>
      <c r="H80" s="479" t="s">
        <v>1401</v>
      </c>
      <c r="I80" s="500">
        <f ca="1">-SUMIF(BC[],MID(G80,1,3)&amp;"*",bc_2017)</f>
        <v>0</v>
      </c>
      <c r="J80" s="505">
        <f ca="1">-SUMIF(BC[],MID(G80,1,3)&amp;"*",bc_2016)</f>
        <v>0</v>
      </c>
      <c r="K80" s="841"/>
      <c r="AQ80" s="839"/>
      <c r="AR80" s="847"/>
      <c r="AS80" s="525" t="s">
        <v>1402</v>
      </c>
      <c r="AT80" s="519">
        <f>+AT79-AT71</f>
        <v>0</v>
      </c>
      <c r="AU80" s="519">
        <f t="shared" ref="AU80:AV80" si="198">+AU79-AU71</f>
        <v>0</v>
      </c>
      <c r="AV80" s="519">
        <f t="shared" si="198"/>
        <v>0</v>
      </c>
      <c r="AW80" s="841"/>
      <c r="BL80" s="839"/>
      <c r="BM80" s="846">
        <v>9300</v>
      </c>
      <c r="BN80" s="503" t="s">
        <v>1403</v>
      </c>
      <c r="BO80" s="497">
        <f t="shared" si="190"/>
        <v>0</v>
      </c>
      <c r="BP80" s="497">
        <f t="shared" si="191"/>
        <v>0</v>
      </c>
      <c r="BQ80" s="497">
        <f t="shared" si="192"/>
        <v>0</v>
      </c>
      <c r="BR80" s="497">
        <f t="shared" si="193"/>
        <v>0</v>
      </c>
      <c r="BS80" s="497">
        <f t="shared" si="194"/>
        <v>0</v>
      </c>
      <c r="BT80" s="497">
        <f t="shared" si="195"/>
        <v>0</v>
      </c>
      <c r="BU80" s="841"/>
      <c r="CJ80" s="839"/>
      <c r="CK80" s="846" t="s">
        <v>1048</v>
      </c>
      <c r="CL80" s="503" t="s">
        <v>1273</v>
      </c>
      <c r="CM80" s="497">
        <f>SUMIF(PE_CFG,MID(CK77,1,1)&amp;"."&amp;MID(CK77,2,1)&amp;".*",PE_A)</f>
        <v>0</v>
      </c>
      <c r="CN80" s="497">
        <f>SUMIF(PE_CFG,MID(CK77,1,1)&amp;"."&amp;MID(CK77,2,1)&amp;".*",PE_M)</f>
        <v>0</v>
      </c>
      <c r="CO80" s="497">
        <f>+CM80+CN80</f>
        <v>0</v>
      </c>
      <c r="CP80" s="497">
        <f>SUMIF(PE_CFG,MID(CK77,1,1)&amp;"."&amp;MID(CK77,2,1)&amp;".*",PE_D)</f>
        <v>0</v>
      </c>
      <c r="CQ80" s="497">
        <f>SUMIF(PE_CFG,MID(CK77,1,1)&amp;"."&amp;MID(CK77,2,1)&amp;".*",PE_P)</f>
        <v>0</v>
      </c>
      <c r="CR80" s="497">
        <f>+CO80-CP80</f>
        <v>0</v>
      </c>
      <c r="CS80" s="841"/>
    </row>
    <row r="81" spans="2:97">
      <c r="B81" s="839"/>
      <c r="C81" s="846"/>
      <c r="D81" s="479"/>
      <c r="E81" s="500"/>
      <c r="F81" s="500"/>
      <c r="G81" s="824">
        <v>3320</v>
      </c>
      <c r="H81" s="479" t="s">
        <v>1404</v>
      </c>
      <c r="I81" s="500">
        <f ca="1">-SUMIF(BC[],MID(G81,1,3)&amp;"*",bc_2017)</f>
        <v>0</v>
      </c>
      <c r="J81" s="505">
        <f ca="1">-SUMIF(BC[],MID(G81,1,3)&amp;"*",bc_2016)</f>
        <v>0</v>
      </c>
      <c r="K81" s="841"/>
      <c r="AQ81" s="839"/>
      <c r="AR81" s="848"/>
      <c r="AS81" s="530"/>
      <c r="AT81" s="531"/>
      <c r="AU81" s="531"/>
      <c r="AV81" s="532"/>
      <c r="AW81" s="841"/>
      <c r="BL81" s="839"/>
      <c r="BM81" s="846">
        <v>9400</v>
      </c>
      <c r="BN81" s="503" t="s">
        <v>1405</v>
      </c>
      <c r="BO81" s="497">
        <f t="shared" si="190"/>
        <v>0</v>
      </c>
      <c r="BP81" s="497">
        <f t="shared" si="191"/>
        <v>0</v>
      </c>
      <c r="BQ81" s="497">
        <f t="shared" si="192"/>
        <v>0</v>
      </c>
      <c r="BR81" s="497">
        <f t="shared" si="193"/>
        <v>0</v>
      </c>
      <c r="BS81" s="497">
        <f t="shared" si="194"/>
        <v>0</v>
      </c>
      <c r="BT81" s="497">
        <f t="shared" si="195"/>
        <v>0</v>
      </c>
      <c r="BU81" s="841"/>
      <c r="CJ81" s="839"/>
      <c r="CK81" s="846" t="s">
        <v>1048</v>
      </c>
      <c r="CL81" s="503" t="s">
        <v>1279</v>
      </c>
      <c r="CM81" s="497">
        <f>SUMIF(PE_CFG,MID(CK78,1,1)&amp;"."&amp;MID(CK78,2,1)&amp;".*",PE_A)</f>
        <v>0</v>
      </c>
      <c r="CN81" s="497">
        <f>SUMIF(PE_CFG,MID(CK78,1,1)&amp;"."&amp;MID(CK78,2,1)&amp;".*",PE_M)</f>
        <v>0</v>
      </c>
      <c r="CO81" s="497">
        <f>+CM81+CN81</f>
        <v>0</v>
      </c>
      <c r="CP81" s="497">
        <f>SUMIF(PE_CFG,MID(CK78,1,1)&amp;"."&amp;MID(CK78,2,1)&amp;".*",PE_D)</f>
        <v>0</v>
      </c>
      <c r="CQ81" s="497">
        <f>SUMIF(PE_CFG,MID(CK78,1,1)&amp;"."&amp;MID(CK78,2,1)&amp;".*",PE_P)</f>
        <v>0</v>
      </c>
      <c r="CR81" s="497">
        <f>+CO81-CP81</f>
        <v>0</v>
      </c>
      <c r="CS81" s="841"/>
    </row>
    <row r="82" spans="2:97">
      <c r="B82" s="839"/>
      <c r="C82" s="846"/>
      <c r="D82" s="479"/>
      <c r="E82" s="500"/>
      <c r="F82" s="500"/>
      <c r="G82" s="824"/>
      <c r="H82" s="479"/>
      <c r="I82" s="500"/>
      <c r="J82" s="505"/>
      <c r="K82" s="841"/>
      <c r="AQ82" s="839"/>
      <c r="AR82" s="834"/>
      <c r="AS82" s="834"/>
      <c r="AT82" s="834"/>
      <c r="AU82" s="834"/>
      <c r="AV82" s="834"/>
      <c r="AW82" s="841"/>
      <c r="BL82" s="839"/>
      <c r="BM82" s="846">
        <v>9500</v>
      </c>
      <c r="BN82" s="503" t="s">
        <v>1406</v>
      </c>
      <c r="BO82" s="497">
        <f t="shared" si="190"/>
        <v>0</v>
      </c>
      <c r="BP82" s="497">
        <f t="shared" si="191"/>
        <v>0</v>
      </c>
      <c r="BQ82" s="497">
        <f t="shared" si="192"/>
        <v>0</v>
      </c>
      <c r="BR82" s="497">
        <f t="shared" si="193"/>
        <v>0</v>
      </c>
      <c r="BS82" s="497">
        <f t="shared" si="194"/>
        <v>0</v>
      </c>
      <c r="BT82" s="497">
        <f t="shared" si="195"/>
        <v>0</v>
      </c>
      <c r="BU82" s="841"/>
      <c r="CJ82" s="839"/>
      <c r="CK82" s="846" t="s">
        <v>1048</v>
      </c>
      <c r="CL82" s="503" t="s">
        <v>1285</v>
      </c>
      <c r="CM82" s="497">
        <f>SUMIF(PE_CFG,MID(CK79,1,1)&amp;"."&amp;MID(CK79,2,1)&amp;".*",PE_A)</f>
        <v>0</v>
      </c>
      <c r="CN82" s="497">
        <f>SUMIF(PE_CFG,MID(CK79,1,1)&amp;"."&amp;MID(CK79,2,1)&amp;".*",PE_M)</f>
        <v>0</v>
      </c>
      <c r="CO82" s="497">
        <f>+CM82+CN82</f>
        <v>0</v>
      </c>
      <c r="CP82" s="497">
        <f>SUMIF(PE_CFG,MID(CK79,1,1)&amp;"."&amp;MID(CK79,2,1)&amp;".*",PE_D)</f>
        <v>0</v>
      </c>
      <c r="CQ82" s="497">
        <f>SUMIF(PE_CFG,MID(CK79,1,1)&amp;"."&amp;MID(CK79,2,1)&amp;".*",PE_P)</f>
        <v>0</v>
      </c>
      <c r="CR82" s="497">
        <f>+CO82-CP82</f>
        <v>0</v>
      </c>
      <c r="CS82" s="841"/>
    </row>
    <row r="83" spans="2:97" ht="12.75" thickBot="1">
      <c r="B83" s="839"/>
      <c r="C83" s="846"/>
      <c r="D83" s="479"/>
      <c r="E83" s="500"/>
      <c r="F83" s="500"/>
      <c r="G83" s="824">
        <v>3000</v>
      </c>
      <c r="H83" s="473" t="s">
        <v>1407</v>
      </c>
      <c r="I83" s="468">
        <f ca="1">+I67+I72+I79</f>
        <v>28627655.390000012</v>
      </c>
      <c r="J83" s="491">
        <f ca="1">+J67+J72+J79</f>
        <v>25770683.19000002</v>
      </c>
      <c r="K83" s="841"/>
      <c r="AQ83" s="849"/>
      <c r="AR83" s="850"/>
      <c r="AS83" s="850"/>
      <c r="AT83" s="850"/>
      <c r="AU83" s="850"/>
      <c r="AV83" s="850"/>
      <c r="AW83" s="851"/>
      <c r="BL83" s="839"/>
      <c r="BM83" s="846">
        <v>9600</v>
      </c>
      <c r="BN83" s="503" t="s">
        <v>1408</v>
      </c>
      <c r="BO83" s="497">
        <f t="shared" si="190"/>
        <v>0</v>
      </c>
      <c r="BP83" s="497">
        <f t="shared" si="191"/>
        <v>0</v>
      </c>
      <c r="BQ83" s="497">
        <f t="shared" si="192"/>
        <v>0</v>
      </c>
      <c r="BR83" s="497">
        <f t="shared" si="193"/>
        <v>0</v>
      </c>
      <c r="BS83" s="497">
        <f t="shared" si="194"/>
        <v>0</v>
      </c>
      <c r="BT83" s="497">
        <f t="shared" si="195"/>
        <v>0</v>
      </c>
      <c r="BU83" s="841"/>
      <c r="CJ83" s="839"/>
      <c r="CK83" s="846" t="s">
        <v>1048</v>
      </c>
      <c r="CL83" s="503" t="s">
        <v>1290</v>
      </c>
      <c r="CM83" s="497">
        <f>SUMIF(PE_CFG,MID(CK80,1,1)&amp;"."&amp;MID(CK80,2,1)&amp;".*",PE_A)</f>
        <v>0</v>
      </c>
      <c r="CN83" s="497">
        <f>SUMIF(PE_CFG,MID(CK80,1,1)&amp;"."&amp;MID(CK80,2,1)&amp;".*",PE_M)</f>
        <v>0</v>
      </c>
      <c r="CO83" s="497">
        <f>+CM83+CN83</f>
        <v>0</v>
      </c>
      <c r="CP83" s="497">
        <f>SUMIF(PE_CFG,MID(CK80,1,1)&amp;"."&amp;MID(CK80,2,1)&amp;".*",PE_D)</f>
        <v>0</v>
      </c>
      <c r="CQ83" s="497">
        <f>SUMIF(PE_CFG,MID(CK80,1,1)&amp;"."&amp;MID(CK80,2,1)&amp;".*",PE_P)</f>
        <v>0</v>
      </c>
      <c r="CR83" s="497">
        <f>+CO83-CP83</f>
        <v>0</v>
      </c>
      <c r="CS83" s="841"/>
    </row>
    <row r="84" spans="2:97">
      <c r="B84" s="839"/>
      <c r="C84" s="846"/>
      <c r="D84" s="489"/>
      <c r="E84" s="500"/>
      <c r="F84" s="500"/>
      <c r="G84" s="824"/>
      <c r="H84" s="479"/>
      <c r="I84" s="500"/>
      <c r="J84" s="505"/>
      <c r="K84" s="841"/>
      <c r="BL84" s="839"/>
      <c r="BM84" s="846">
        <v>9900</v>
      </c>
      <c r="BN84" s="503" t="s">
        <v>1409</v>
      </c>
      <c r="BO84" s="497">
        <f t="shared" si="190"/>
        <v>0</v>
      </c>
      <c r="BP84" s="497">
        <f t="shared" si="191"/>
        <v>0</v>
      </c>
      <c r="BQ84" s="497">
        <f t="shared" si="192"/>
        <v>0</v>
      </c>
      <c r="BR84" s="497">
        <f t="shared" si="193"/>
        <v>0</v>
      </c>
      <c r="BS84" s="497">
        <f t="shared" si="194"/>
        <v>0</v>
      </c>
      <c r="BT84" s="497">
        <f t="shared" si="195"/>
        <v>0</v>
      </c>
      <c r="BU84" s="841"/>
      <c r="CJ84" s="839"/>
      <c r="CK84" s="846"/>
      <c r="CL84" s="495"/>
      <c r="CM84" s="481"/>
      <c r="CN84" s="481"/>
      <c r="CO84" s="481"/>
      <c r="CP84" s="481"/>
      <c r="CQ84" s="481"/>
      <c r="CR84" s="481"/>
      <c r="CS84" s="841"/>
    </row>
    <row r="85" spans="2:97">
      <c r="B85" s="839"/>
      <c r="C85" s="846"/>
      <c r="D85" s="489"/>
      <c r="E85" s="500"/>
      <c r="F85" s="500"/>
      <c r="G85" s="825" t="s">
        <v>1410</v>
      </c>
      <c r="H85" s="473" t="s">
        <v>1411</v>
      </c>
      <c r="I85" s="468">
        <f ca="1">+I63+I83</f>
        <v>35898886.350000009</v>
      </c>
      <c r="J85" s="491">
        <f ca="1">+J63+J83</f>
        <v>31227829.200000018</v>
      </c>
      <c r="K85" s="841"/>
      <c r="BL85" s="839"/>
      <c r="BM85" s="846"/>
      <c r="BN85" s="508"/>
      <c r="BO85" s="497"/>
      <c r="BP85" s="497"/>
      <c r="BQ85" s="497"/>
      <c r="BR85" s="497"/>
      <c r="BS85" s="497"/>
      <c r="BT85" s="497"/>
      <c r="BU85" s="841"/>
      <c r="CJ85" s="839"/>
      <c r="CK85" s="846"/>
      <c r="CL85" s="498" t="s">
        <v>1190</v>
      </c>
      <c r="CM85" s="496">
        <f>+CM11+CM48</f>
        <v>80405840.509999976</v>
      </c>
      <c r="CN85" s="496">
        <f t="shared" ref="CN85:CR85" si="199">+CN11+CN48</f>
        <v>8457903.8100000042</v>
      </c>
      <c r="CO85" s="496">
        <f t="shared" si="199"/>
        <v>88863744.319999978</v>
      </c>
      <c r="CP85" s="496">
        <f t="shared" si="199"/>
        <v>86193205.110000029</v>
      </c>
      <c r="CQ85" s="496">
        <f t="shared" si="199"/>
        <v>84872096.260000035</v>
      </c>
      <c r="CR85" s="496">
        <f t="shared" si="199"/>
        <v>2670539.2099999487</v>
      </c>
      <c r="CS85" s="841"/>
    </row>
    <row r="86" spans="2:97">
      <c r="B86" s="839"/>
      <c r="C86" s="858"/>
      <c r="D86" s="513"/>
      <c r="E86" s="542"/>
      <c r="F86" s="542"/>
      <c r="G86" s="826"/>
      <c r="H86" s="513"/>
      <c r="I86" s="513"/>
      <c r="J86" s="543"/>
      <c r="K86" s="841"/>
      <c r="BL86" s="839"/>
      <c r="BM86" s="846"/>
      <c r="BN86" s="498" t="s">
        <v>1120</v>
      </c>
      <c r="BO86" s="496">
        <f t="shared" ref="BO86:BT86" si="200">+BO87+BO95+BO105+BO115+BO125+BO135+BO139+BO147+BO151</f>
        <v>0</v>
      </c>
      <c r="BP86" s="496">
        <f t="shared" si="200"/>
        <v>0</v>
      </c>
      <c r="BQ86" s="496">
        <f t="shared" si="200"/>
        <v>0</v>
      </c>
      <c r="BR86" s="496">
        <f t="shared" si="200"/>
        <v>0</v>
      </c>
      <c r="BS86" s="496">
        <f t="shared" si="200"/>
        <v>0</v>
      </c>
      <c r="BT86" s="496">
        <f t="shared" si="200"/>
        <v>0</v>
      </c>
      <c r="BU86" s="841"/>
      <c r="CJ86" s="839"/>
      <c r="CK86" s="846"/>
      <c r="CL86" s="495"/>
      <c r="CM86" s="481"/>
      <c r="CN86" s="481"/>
      <c r="CO86" s="481"/>
      <c r="CP86" s="481"/>
      <c r="CQ86" s="481"/>
      <c r="CR86" s="481"/>
      <c r="CS86" s="841"/>
    </row>
    <row r="87" spans="2:97">
      <c r="B87" s="839"/>
      <c r="C87" s="840"/>
      <c r="D87" s="489"/>
      <c r="E87" s="489"/>
      <c r="F87" s="489"/>
      <c r="G87" s="824"/>
      <c r="H87" s="489"/>
      <c r="I87" s="489"/>
      <c r="J87" s="489"/>
      <c r="K87" s="841"/>
      <c r="BL87" s="839"/>
      <c r="BM87" s="846">
        <v>1000</v>
      </c>
      <c r="BN87" s="495" t="s">
        <v>1037</v>
      </c>
      <c r="BO87" s="496">
        <f t="shared" ref="BO87:BT87" si="201">SUM(BO88:BO94)</f>
        <v>0</v>
      </c>
      <c r="BP87" s="496">
        <f t="shared" si="201"/>
        <v>0</v>
      </c>
      <c r="BQ87" s="496">
        <f t="shared" si="201"/>
        <v>0</v>
      </c>
      <c r="BR87" s="496">
        <f t="shared" si="201"/>
        <v>0</v>
      </c>
      <c r="BS87" s="496">
        <f t="shared" si="201"/>
        <v>0</v>
      </c>
      <c r="BT87" s="496">
        <f t="shared" si="201"/>
        <v>0</v>
      </c>
      <c r="BU87" s="841"/>
      <c r="CJ87" s="839"/>
      <c r="CK87" s="858"/>
      <c r="CL87" s="852"/>
      <c r="CM87" s="852"/>
      <c r="CN87" s="852"/>
      <c r="CO87" s="852"/>
      <c r="CP87" s="852"/>
      <c r="CQ87" s="852"/>
      <c r="CR87" s="852"/>
      <c r="CS87" s="841"/>
    </row>
    <row r="88" spans="2:97" ht="12.75" thickBot="1">
      <c r="B88" s="849"/>
      <c r="C88" s="859"/>
      <c r="D88" s="544"/>
      <c r="E88" s="544"/>
      <c r="F88" s="544"/>
      <c r="G88" s="827"/>
      <c r="H88" s="544"/>
      <c r="I88" s="544"/>
      <c r="J88" s="544"/>
      <c r="K88" s="851"/>
      <c r="BL88" s="839"/>
      <c r="BM88" s="846">
        <v>1100</v>
      </c>
      <c r="BN88" s="503" t="s">
        <v>1046</v>
      </c>
      <c r="BO88" s="497">
        <v>0</v>
      </c>
      <c r="BP88" s="497">
        <v>0</v>
      </c>
      <c r="BQ88" s="497">
        <f t="shared" ref="BQ88:BQ94" si="202">+BO88+BP88</f>
        <v>0</v>
      </c>
      <c r="BR88" s="497">
        <v>0</v>
      </c>
      <c r="BS88" s="497">
        <v>0</v>
      </c>
      <c r="BT88" s="497">
        <f t="shared" ref="BT88:BT94" si="203">+BQ88-BR88</f>
        <v>0</v>
      </c>
      <c r="BU88" s="841"/>
      <c r="CJ88" s="849"/>
      <c r="CK88" s="859"/>
      <c r="CL88" s="850"/>
      <c r="CM88" s="850"/>
      <c r="CN88" s="850"/>
      <c r="CO88" s="850"/>
      <c r="CP88" s="850"/>
      <c r="CQ88" s="850"/>
      <c r="CR88" s="850"/>
      <c r="CS88" s="851"/>
    </row>
    <row r="89" spans="2:97">
      <c r="D89" s="489"/>
      <c r="E89" s="489"/>
      <c r="F89" s="489"/>
      <c r="G89" s="824"/>
      <c r="H89" s="489"/>
      <c r="I89" s="860">
        <f ca="1">+I85-E66</f>
        <v>0</v>
      </c>
      <c r="J89" s="860">
        <f ca="1">+J85-F66</f>
        <v>0</v>
      </c>
      <c r="BL89" s="839"/>
      <c r="BM89" s="846">
        <v>1200</v>
      </c>
      <c r="BN89" s="503" t="s">
        <v>1056</v>
      </c>
      <c r="BO89" s="497">
        <v>0</v>
      </c>
      <c r="BP89" s="497">
        <v>0</v>
      </c>
      <c r="BQ89" s="497">
        <f t="shared" si="202"/>
        <v>0</v>
      </c>
      <c r="BR89" s="497">
        <v>0</v>
      </c>
      <c r="BS89" s="497">
        <v>0</v>
      </c>
      <c r="BT89" s="497">
        <f t="shared" si="203"/>
        <v>0</v>
      </c>
      <c r="BU89" s="841"/>
    </row>
    <row r="90" spans="2:97">
      <c r="BL90" s="839"/>
      <c r="BM90" s="846">
        <v>1300</v>
      </c>
      <c r="BN90" s="503" t="s">
        <v>1064</v>
      </c>
      <c r="BO90" s="497">
        <v>0</v>
      </c>
      <c r="BP90" s="497">
        <v>0</v>
      </c>
      <c r="BQ90" s="497">
        <f t="shared" si="202"/>
        <v>0</v>
      </c>
      <c r="BR90" s="497">
        <v>0</v>
      </c>
      <c r="BS90" s="497">
        <v>0</v>
      </c>
      <c r="BT90" s="497">
        <f t="shared" si="203"/>
        <v>0</v>
      </c>
      <c r="BU90" s="841"/>
    </row>
    <row r="91" spans="2:97">
      <c r="BL91" s="839"/>
      <c r="BM91" s="846">
        <v>1400</v>
      </c>
      <c r="BN91" s="503" t="s">
        <v>1073</v>
      </c>
      <c r="BO91" s="497">
        <v>0</v>
      </c>
      <c r="BP91" s="497">
        <v>0</v>
      </c>
      <c r="BQ91" s="497">
        <f t="shared" si="202"/>
        <v>0</v>
      </c>
      <c r="BR91" s="497">
        <v>0</v>
      </c>
      <c r="BS91" s="497">
        <v>0</v>
      </c>
      <c r="BT91" s="497">
        <f t="shared" si="203"/>
        <v>0</v>
      </c>
      <c r="BU91" s="841"/>
    </row>
    <row r="92" spans="2:97">
      <c r="BL92" s="839"/>
      <c r="BM92" s="846">
        <v>1500</v>
      </c>
      <c r="BN92" s="503" t="s">
        <v>1081</v>
      </c>
      <c r="BO92" s="497">
        <v>0</v>
      </c>
      <c r="BP92" s="497">
        <v>0</v>
      </c>
      <c r="BQ92" s="497">
        <f t="shared" si="202"/>
        <v>0</v>
      </c>
      <c r="BR92" s="497">
        <v>0</v>
      </c>
      <c r="BS92" s="497">
        <v>0</v>
      </c>
      <c r="BT92" s="497">
        <f t="shared" si="203"/>
        <v>0</v>
      </c>
      <c r="BU92" s="841"/>
    </row>
    <row r="93" spans="2:97">
      <c r="BL93" s="839"/>
      <c r="BM93" s="846">
        <v>1600</v>
      </c>
      <c r="BN93" s="503" t="s">
        <v>1091</v>
      </c>
      <c r="BO93" s="497">
        <v>0</v>
      </c>
      <c r="BP93" s="497">
        <v>0</v>
      </c>
      <c r="BQ93" s="497">
        <f t="shared" si="202"/>
        <v>0</v>
      </c>
      <c r="BR93" s="497">
        <v>0</v>
      </c>
      <c r="BS93" s="497">
        <v>0</v>
      </c>
      <c r="BT93" s="497">
        <f t="shared" si="203"/>
        <v>0</v>
      </c>
      <c r="BU93" s="841"/>
    </row>
    <row r="94" spans="2:97">
      <c r="BL94" s="839"/>
      <c r="BM94" s="846">
        <v>1700</v>
      </c>
      <c r="BN94" s="503" t="s">
        <v>1100</v>
      </c>
      <c r="BO94" s="497">
        <v>0</v>
      </c>
      <c r="BP94" s="497">
        <v>0</v>
      </c>
      <c r="BQ94" s="497">
        <f t="shared" si="202"/>
        <v>0</v>
      </c>
      <c r="BR94" s="497">
        <v>0</v>
      </c>
      <c r="BS94" s="497">
        <v>0</v>
      </c>
      <c r="BT94" s="497">
        <f t="shared" si="203"/>
        <v>0</v>
      </c>
      <c r="BU94" s="841"/>
    </row>
    <row r="95" spans="2:97">
      <c r="BL95" s="839"/>
      <c r="BM95" s="846">
        <v>2000</v>
      </c>
      <c r="BN95" s="495" t="s">
        <v>1110</v>
      </c>
      <c r="BO95" s="496">
        <f t="shared" ref="BO95:BT95" si="204">SUM(BO96:BO104)</f>
        <v>0</v>
      </c>
      <c r="BP95" s="496">
        <f t="shared" si="204"/>
        <v>0</v>
      </c>
      <c r="BQ95" s="496">
        <f t="shared" si="204"/>
        <v>0</v>
      </c>
      <c r="BR95" s="496">
        <f t="shared" si="204"/>
        <v>0</v>
      </c>
      <c r="BS95" s="496">
        <f t="shared" si="204"/>
        <v>0</v>
      </c>
      <c r="BT95" s="496">
        <f t="shared" si="204"/>
        <v>0</v>
      </c>
      <c r="BU95" s="841"/>
    </row>
    <row r="96" spans="2:97">
      <c r="BL96" s="839"/>
      <c r="BM96" s="846">
        <v>2100</v>
      </c>
      <c r="BN96" s="503" t="s">
        <v>1119</v>
      </c>
      <c r="BO96" s="497">
        <v>0</v>
      </c>
      <c r="BP96" s="497">
        <v>0</v>
      </c>
      <c r="BQ96" s="497">
        <f t="shared" ref="BQ96:BQ104" si="205">+BO96+BP96</f>
        <v>0</v>
      </c>
      <c r="BR96" s="497">
        <v>0</v>
      </c>
      <c r="BS96" s="497">
        <v>0</v>
      </c>
      <c r="BT96" s="497">
        <f t="shared" ref="BT96:BT104" si="206">+BQ96-BR96</f>
        <v>0</v>
      </c>
      <c r="BU96" s="841"/>
    </row>
    <row r="97" spans="64:73">
      <c r="BL97" s="839"/>
      <c r="BM97" s="846">
        <v>2200</v>
      </c>
      <c r="BN97" s="503" t="s">
        <v>1127</v>
      </c>
      <c r="BO97" s="497">
        <v>0</v>
      </c>
      <c r="BP97" s="497">
        <v>0</v>
      </c>
      <c r="BQ97" s="497">
        <f t="shared" si="205"/>
        <v>0</v>
      </c>
      <c r="BR97" s="497">
        <v>0</v>
      </c>
      <c r="BS97" s="497">
        <v>0</v>
      </c>
      <c r="BT97" s="497">
        <f t="shared" si="206"/>
        <v>0</v>
      </c>
      <c r="BU97" s="841"/>
    </row>
    <row r="98" spans="64:73">
      <c r="BL98" s="839"/>
      <c r="BM98" s="846">
        <v>2300</v>
      </c>
      <c r="BN98" s="503" t="s">
        <v>1134</v>
      </c>
      <c r="BO98" s="497">
        <v>0</v>
      </c>
      <c r="BP98" s="497">
        <v>0</v>
      </c>
      <c r="BQ98" s="497">
        <f t="shared" si="205"/>
        <v>0</v>
      </c>
      <c r="BR98" s="497">
        <v>0</v>
      </c>
      <c r="BS98" s="497">
        <v>0</v>
      </c>
      <c r="BT98" s="497">
        <f t="shared" si="206"/>
        <v>0</v>
      </c>
      <c r="BU98" s="841"/>
    </row>
    <row r="99" spans="64:73">
      <c r="BL99" s="839"/>
      <c r="BM99" s="846">
        <v>2400</v>
      </c>
      <c r="BN99" s="503" t="s">
        <v>1143</v>
      </c>
      <c r="BO99" s="497">
        <v>0</v>
      </c>
      <c r="BP99" s="497">
        <v>0</v>
      </c>
      <c r="BQ99" s="497">
        <f t="shared" si="205"/>
        <v>0</v>
      </c>
      <c r="BR99" s="497">
        <v>0</v>
      </c>
      <c r="BS99" s="497">
        <v>0</v>
      </c>
      <c r="BT99" s="497">
        <f t="shared" si="206"/>
        <v>0</v>
      </c>
      <c r="BU99" s="841"/>
    </row>
    <row r="100" spans="64:73">
      <c r="BL100" s="839"/>
      <c r="BM100" s="846">
        <v>2500</v>
      </c>
      <c r="BN100" s="503" t="s">
        <v>1151</v>
      </c>
      <c r="BO100" s="497">
        <v>0</v>
      </c>
      <c r="BP100" s="497">
        <v>0</v>
      </c>
      <c r="BQ100" s="497">
        <f t="shared" si="205"/>
        <v>0</v>
      </c>
      <c r="BR100" s="497">
        <v>0</v>
      </c>
      <c r="BS100" s="497">
        <v>0</v>
      </c>
      <c r="BT100" s="497">
        <f t="shared" si="206"/>
        <v>0</v>
      </c>
      <c r="BU100" s="841"/>
    </row>
    <row r="101" spans="64:73">
      <c r="BL101" s="839"/>
      <c r="BM101" s="846">
        <v>2600</v>
      </c>
      <c r="BN101" s="503" t="s">
        <v>1159</v>
      </c>
      <c r="BO101" s="497">
        <v>0</v>
      </c>
      <c r="BP101" s="497">
        <v>0</v>
      </c>
      <c r="BQ101" s="497">
        <f t="shared" si="205"/>
        <v>0</v>
      </c>
      <c r="BR101" s="497">
        <v>0</v>
      </c>
      <c r="BS101" s="497">
        <v>0</v>
      </c>
      <c r="BT101" s="497">
        <f t="shared" si="206"/>
        <v>0</v>
      </c>
      <c r="BU101" s="841"/>
    </row>
    <row r="102" spans="64:73">
      <c r="BL102" s="839"/>
      <c r="BM102" s="846">
        <v>2700</v>
      </c>
      <c r="BN102" s="503" t="s">
        <v>1166</v>
      </c>
      <c r="BO102" s="497">
        <v>0</v>
      </c>
      <c r="BP102" s="497">
        <v>0</v>
      </c>
      <c r="BQ102" s="497">
        <f t="shared" si="205"/>
        <v>0</v>
      </c>
      <c r="BR102" s="497">
        <v>0</v>
      </c>
      <c r="BS102" s="497">
        <v>0</v>
      </c>
      <c r="BT102" s="497">
        <f t="shared" si="206"/>
        <v>0</v>
      </c>
      <c r="BU102" s="841"/>
    </row>
    <row r="103" spans="64:73">
      <c r="BL103" s="839"/>
      <c r="BM103" s="846">
        <v>2800</v>
      </c>
      <c r="BN103" s="503" t="s">
        <v>1172</v>
      </c>
      <c r="BO103" s="497">
        <v>0</v>
      </c>
      <c r="BP103" s="497">
        <v>0</v>
      </c>
      <c r="BQ103" s="497">
        <f t="shared" si="205"/>
        <v>0</v>
      </c>
      <c r="BR103" s="497">
        <v>0</v>
      </c>
      <c r="BS103" s="497">
        <v>0</v>
      </c>
      <c r="BT103" s="497">
        <f t="shared" si="206"/>
        <v>0</v>
      </c>
      <c r="BU103" s="841"/>
    </row>
    <row r="104" spans="64:73">
      <c r="BL104" s="839"/>
      <c r="BM104" s="846">
        <v>2900</v>
      </c>
      <c r="BN104" s="503" t="s">
        <v>1177</v>
      </c>
      <c r="BO104" s="497">
        <v>0</v>
      </c>
      <c r="BP104" s="497">
        <v>0</v>
      </c>
      <c r="BQ104" s="497">
        <f t="shared" si="205"/>
        <v>0</v>
      </c>
      <c r="BR104" s="497">
        <v>0</v>
      </c>
      <c r="BS104" s="497">
        <v>0</v>
      </c>
      <c r="BT104" s="497">
        <f t="shared" si="206"/>
        <v>0</v>
      </c>
      <c r="BU104" s="841"/>
    </row>
    <row r="105" spans="64:73">
      <c r="BL105" s="839"/>
      <c r="BM105" s="846">
        <v>3000</v>
      </c>
      <c r="BN105" s="495" t="s">
        <v>1183</v>
      </c>
      <c r="BO105" s="496">
        <f t="shared" ref="BO105:BT105" si="207">SUM(BO106:BO114)</f>
        <v>0</v>
      </c>
      <c r="BP105" s="496">
        <f t="shared" si="207"/>
        <v>0</v>
      </c>
      <c r="BQ105" s="496">
        <f t="shared" si="207"/>
        <v>0</v>
      </c>
      <c r="BR105" s="496">
        <f t="shared" si="207"/>
        <v>0</v>
      </c>
      <c r="BS105" s="496">
        <f t="shared" si="207"/>
        <v>0</v>
      </c>
      <c r="BT105" s="496">
        <f t="shared" si="207"/>
        <v>0</v>
      </c>
      <c r="BU105" s="841"/>
    </row>
    <row r="106" spans="64:73">
      <c r="BL106" s="839"/>
      <c r="BM106" s="846">
        <v>3100</v>
      </c>
      <c r="BN106" s="503" t="s">
        <v>1189</v>
      </c>
      <c r="BO106" s="497">
        <v>0</v>
      </c>
      <c r="BP106" s="497">
        <v>0</v>
      </c>
      <c r="BQ106" s="497">
        <f t="shared" ref="BQ106:BQ114" si="208">+BO106+BP106</f>
        <v>0</v>
      </c>
      <c r="BR106" s="497">
        <v>0</v>
      </c>
      <c r="BS106" s="497">
        <v>0</v>
      </c>
      <c r="BT106" s="497">
        <f t="shared" ref="BT106:BT114" si="209">+BQ106-BR106</f>
        <v>0</v>
      </c>
      <c r="BU106" s="841"/>
    </row>
    <row r="107" spans="64:73">
      <c r="BL107" s="839"/>
      <c r="BM107" s="846">
        <v>3200</v>
      </c>
      <c r="BN107" s="503" t="s">
        <v>1197</v>
      </c>
      <c r="BO107" s="497">
        <v>0</v>
      </c>
      <c r="BP107" s="497">
        <v>0</v>
      </c>
      <c r="BQ107" s="497">
        <f t="shared" si="208"/>
        <v>0</v>
      </c>
      <c r="BR107" s="497">
        <v>0</v>
      </c>
      <c r="BS107" s="497">
        <v>0</v>
      </c>
      <c r="BT107" s="497">
        <f t="shared" si="209"/>
        <v>0</v>
      </c>
      <c r="BU107" s="841"/>
    </row>
    <row r="108" spans="64:73">
      <c r="BL108" s="839"/>
      <c r="BM108" s="846">
        <v>3300</v>
      </c>
      <c r="BN108" s="503" t="s">
        <v>1204</v>
      </c>
      <c r="BO108" s="497">
        <v>0</v>
      </c>
      <c r="BP108" s="497">
        <v>0</v>
      </c>
      <c r="BQ108" s="497">
        <f t="shared" si="208"/>
        <v>0</v>
      </c>
      <c r="BR108" s="497">
        <v>0</v>
      </c>
      <c r="BS108" s="497">
        <v>0</v>
      </c>
      <c r="BT108" s="497">
        <f t="shared" si="209"/>
        <v>0</v>
      </c>
      <c r="BU108" s="841"/>
    </row>
    <row r="109" spans="64:73">
      <c r="BL109" s="839"/>
      <c r="BM109" s="846">
        <v>3400</v>
      </c>
      <c r="BN109" s="503" t="s">
        <v>1209</v>
      </c>
      <c r="BO109" s="497">
        <v>0</v>
      </c>
      <c r="BP109" s="497">
        <v>0</v>
      </c>
      <c r="BQ109" s="497">
        <f t="shared" si="208"/>
        <v>0</v>
      </c>
      <c r="BR109" s="497">
        <v>0</v>
      </c>
      <c r="BS109" s="497">
        <v>0</v>
      </c>
      <c r="BT109" s="497">
        <f t="shared" si="209"/>
        <v>0</v>
      </c>
      <c r="BU109" s="841"/>
    </row>
    <row r="110" spans="64:73">
      <c r="BL110" s="839"/>
      <c r="BM110" s="846">
        <v>3500</v>
      </c>
      <c r="BN110" s="503" t="s">
        <v>1215</v>
      </c>
      <c r="BO110" s="497">
        <v>0</v>
      </c>
      <c r="BP110" s="497">
        <v>0</v>
      </c>
      <c r="BQ110" s="497">
        <f t="shared" si="208"/>
        <v>0</v>
      </c>
      <c r="BR110" s="497">
        <v>0</v>
      </c>
      <c r="BS110" s="497">
        <v>0</v>
      </c>
      <c r="BT110" s="497">
        <f t="shared" si="209"/>
        <v>0</v>
      </c>
      <c r="BU110" s="841"/>
    </row>
    <row r="111" spans="64:73">
      <c r="BL111" s="839"/>
      <c r="BM111" s="846">
        <v>3600</v>
      </c>
      <c r="BN111" s="503" t="s">
        <v>1227</v>
      </c>
      <c r="BO111" s="497">
        <v>0</v>
      </c>
      <c r="BP111" s="497">
        <v>0</v>
      </c>
      <c r="BQ111" s="497">
        <f t="shared" si="208"/>
        <v>0</v>
      </c>
      <c r="BR111" s="497">
        <v>0</v>
      </c>
      <c r="BS111" s="497">
        <v>0</v>
      </c>
      <c r="BT111" s="497">
        <f t="shared" si="209"/>
        <v>0</v>
      </c>
      <c r="BU111" s="841"/>
    </row>
    <row r="112" spans="64:73">
      <c r="BL112" s="839"/>
      <c r="BM112" s="846">
        <v>3700</v>
      </c>
      <c r="BN112" s="503" t="s">
        <v>1232</v>
      </c>
      <c r="BO112" s="497">
        <v>0</v>
      </c>
      <c r="BP112" s="497">
        <v>0</v>
      </c>
      <c r="BQ112" s="497">
        <f t="shared" si="208"/>
        <v>0</v>
      </c>
      <c r="BR112" s="497">
        <v>0</v>
      </c>
      <c r="BS112" s="497">
        <v>0</v>
      </c>
      <c r="BT112" s="497">
        <f t="shared" si="209"/>
        <v>0</v>
      </c>
      <c r="BU112" s="841"/>
    </row>
    <row r="113" spans="64:73">
      <c r="BL113" s="839"/>
      <c r="BM113" s="846">
        <v>3800</v>
      </c>
      <c r="BN113" s="503" t="s">
        <v>1237</v>
      </c>
      <c r="BO113" s="497">
        <v>0</v>
      </c>
      <c r="BP113" s="497">
        <v>0</v>
      </c>
      <c r="BQ113" s="497">
        <f t="shared" si="208"/>
        <v>0</v>
      </c>
      <c r="BR113" s="497">
        <v>0</v>
      </c>
      <c r="BS113" s="497">
        <v>0</v>
      </c>
      <c r="BT113" s="497">
        <f t="shared" si="209"/>
        <v>0</v>
      </c>
      <c r="BU113" s="841"/>
    </row>
    <row r="114" spans="64:73">
      <c r="BL114" s="839"/>
      <c r="BM114" s="846">
        <v>3900</v>
      </c>
      <c r="BN114" s="503" t="s">
        <v>1246</v>
      </c>
      <c r="BO114" s="497">
        <v>0</v>
      </c>
      <c r="BP114" s="497">
        <v>0</v>
      </c>
      <c r="BQ114" s="497">
        <f t="shared" si="208"/>
        <v>0</v>
      </c>
      <c r="BR114" s="497">
        <v>0</v>
      </c>
      <c r="BS114" s="497">
        <v>0</v>
      </c>
      <c r="BT114" s="497">
        <f t="shared" si="209"/>
        <v>0</v>
      </c>
      <c r="BU114" s="841"/>
    </row>
    <row r="115" spans="64:73">
      <c r="BL115" s="839"/>
      <c r="BM115" s="846">
        <v>4000</v>
      </c>
      <c r="BN115" s="495" t="s">
        <v>1252</v>
      </c>
      <c r="BO115" s="496">
        <f t="shared" ref="BO115:BT115" si="210">SUM(BO116:BO124)</f>
        <v>0</v>
      </c>
      <c r="BP115" s="496">
        <f t="shared" si="210"/>
        <v>0</v>
      </c>
      <c r="BQ115" s="496">
        <f t="shared" si="210"/>
        <v>0</v>
      </c>
      <c r="BR115" s="496">
        <f t="shared" si="210"/>
        <v>0</v>
      </c>
      <c r="BS115" s="496">
        <f t="shared" si="210"/>
        <v>0</v>
      </c>
      <c r="BT115" s="496">
        <f t="shared" si="210"/>
        <v>0</v>
      </c>
      <c r="BU115" s="841"/>
    </row>
    <row r="116" spans="64:73">
      <c r="BL116" s="839"/>
      <c r="BM116" s="846">
        <v>4100</v>
      </c>
      <c r="BN116" s="503" t="s">
        <v>1259</v>
      </c>
      <c r="BO116" s="497">
        <v>0</v>
      </c>
      <c r="BP116" s="497">
        <v>0</v>
      </c>
      <c r="BQ116" s="497">
        <f t="shared" ref="BQ116:BQ124" si="211">+BO116+BP116</f>
        <v>0</v>
      </c>
      <c r="BR116" s="497">
        <v>0</v>
      </c>
      <c r="BS116" s="497">
        <v>0</v>
      </c>
      <c r="BT116" s="497">
        <f t="shared" ref="BT116:BT124" si="212">+BQ116-BR116</f>
        <v>0</v>
      </c>
      <c r="BU116" s="841"/>
    </row>
    <row r="117" spans="64:73">
      <c r="BL117" s="839"/>
      <c r="BM117" s="846">
        <v>4200</v>
      </c>
      <c r="BN117" s="503" t="s">
        <v>1265</v>
      </c>
      <c r="BO117" s="497">
        <v>0</v>
      </c>
      <c r="BP117" s="497">
        <v>0</v>
      </c>
      <c r="BQ117" s="497">
        <f t="shared" si="211"/>
        <v>0</v>
      </c>
      <c r="BR117" s="497">
        <v>0</v>
      </c>
      <c r="BS117" s="497">
        <v>0</v>
      </c>
      <c r="BT117" s="497">
        <f t="shared" si="212"/>
        <v>0</v>
      </c>
      <c r="BU117" s="841"/>
    </row>
    <row r="118" spans="64:73">
      <c r="BL118" s="839"/>
      <c r="BM118" s="846">
        <v>4300</v>
      </c>
      <c r="BN118" s="503" t="s">
        <v>1272</v>
      </c>
      <c r="BO118" s="497">
        <v>0</v>
      </c>
      <c r="BP118" s="497">
        <v>0</v>
      </c>
      <c r="BQ118" s="497">
        <f t="shared" si="211"/>
        <v>0</v>
      </c>
      <c r="BR118" s="497">
        <v>0</v>
      </c>
      <c r="BS118" s="497">
        <v>0</v>
      </c>
      <c r="BT118" s="497">
        <f t="shared" si="212"/>
        <v>0</v>
      </c>
      <c r="BU118" s="841"/>
    </row>
    <row r="119" spans="64:73">
      <c r="BL119" s="839"/>
      <c r="BM119" s="846">
        <v>4400</v>
      </c>
      <c r="BN119" s="503" t="s">
        <v>1278</v>
      </c>
      <c r="BO119" s="497">
        <v>0</v>
      </c>
      <c r="BP119" s="497">
        <v>0</v>
      </c>
      <c r="BQ119" s="497">
        <f t="shared" si="211"/>
        <v>0</v>
      </c>
      <c r="BR119" s="497">
        <v>0</v>
      </c>
      <c r="BS119" s="497">
        <v>0</v>
      </c>
      <c r="BT119" s="497">
        <f t="shared" si="212"/>
        <v>0</v>
      </c>
      <c r="BU119" s="841"/>
    </row>
    <row r="120" spans="64:73">
      <c r="BL120" s="839"/>
      <c r="BM120" s="846">
        <v>4500</v>
      </c>
      <c r="BN120" s="503" t="s">
        <v>1284</v>
      </c>
      <c r="BO120" s="497">
        <v>0</v>
      </c>
      <c r="BP120" s="497">
        <v>0</v>
      </c>
      <c r="BQ120" s="497">
        <f t="shared" si="211"/>
        <v>0</v>
      </c>
      <c r="BR120" s="497">
        <v>0</v>
      </c>
      <c r="BS120" s="497">
        <v>0</v>
      </c>
      <c r="BT120" s="497">
        <f t="shared" si="212"/>
        <v>0</v>
      </c>
      <c r="BU120" s="841"/>
    </row>
    <row r="121" spans="64:73">
      <c r="BL121" s="839"/>
      <c r="BM121" s="846">
        <v>4600</v>
      </c>
      <c r="BN121" s="503" t="s">
        <v>1289</v>
      </c>
      <c r="BO121" s="497">
        <v>0</v>
      </c>
      <c r="BP121" s="497">
        <v>0</v>
      </c>
      <c r="BQ121" s="497">
        <f t="shared" si="211"/>
        <v>0</v>
      </c>
      <c r="BR121" s="497">
        <v>0</v>
      </c>
      <c r="BS121" s="497">
        <v>0</v>
      </c>
      <c r="BT121" s="497">
        <f t="shared" si="212"/>
        <v>0</v>
      </c>
      <c r="BU121" s="841"/>
    </row>
    <row r="122" spans="64:73">
      <c r="BL122" s="839"/>
      <c r="BM122" s="846">
        <v>4700</v>
      </c>
      <c r="BN122" s="503" t="s">
        <v>1294</v>
      </c>
      <c r="BO122" s="497">
        <v>0</v>
      </c>
      <c r="BP122" s="497">
        <v>0</v>
      </c>
      <c r="BQ122" s="497">
        <f t="shared" si="211"/>
        <v>0</v>
      </c>
      <c r="BR122" s="497">
        <v>0</v>
      </c>
      <c r="BS122" s="497">
        <v>0</v>
      </c>
      <c r="BT122" s="497">
        <f t="shared" si="212"/>
        <v>0</v>
      </c>
      <c r="BU122" s="841"/>
    </row>
    <row r="123" spans="64:73">
      <c r="BL123" s="839"/>
      <c r="BM123" s="846">
        <v>4800</v>
      </c>
      <c r="BN123" s="503" t="s">
        <v>1299</v>
      </c>
      <c r="BO123" s="497">
        <v>0</v>
      </c>
      <c r="BP123" s="497">
        <v>0</v>
      </c>
      <c r="BQ123" s="497">
        <f t="shared" si="211"/>
        <v>0</v>
      </c>
      <c r="BR123" s="497">
        <v>0</v>
      </c>
      <c r="BS123" s="497">
        <v>0</v>
      </c>
      <c r="BT123" s="497">
        <f t="shared" si="212"/>
        <v>0</v>
      </c>
      <c r="BU123" s="841"/>
    </row>
    <row r="124" spans="64:73">
      <c r="BL124" s="839"/>
      <c r="BM124" s="846">
        <v>4900</v>
      </c>
      <c r="BN124" s="503" t="s">
        <v>1304</v>
      </c>
      <c r="BO124" s="497">
        <v>0</v>
      </c>
      <c r="BP124" s="497">
        <v>0</v>
      </c>
      <c r="BQ124" s="497">
        <f t="shared" si="211"/>
        <v>0</v>
      </c>
      <c r="BR124" s="497">
        <v>0</v>
      </c>
      <c r="BS124" s="497">
        <v>0</v>
      </c>
      <c r="BT124" s="497">
        <f t="shared" si="212"/>
        <v>0</v>
      </c>
      <c r="BU124" s="841"/>
    </row>
    <row r="125" spans="64:73">
      <c r="BL125" s="839"/>
      <c r="BM125" s="846">
        <v>5000</v>
      </c>
      <c r="BN125" s="495" t="s">
        <v>1306</v>
      </c>
      <c r="BO125" s="496">
        <f t="shared" ref="BO125:BT125" si="213">SUM(BO126:BO134)</f>
        <v>0</v>
      </c>
      <c r="BP125" s="496">
        <f t="shared" si="213"/>
        <v>0</v>
      </c>
      <c r="BQ125" s="496">
        <f t="shared" si="213"/>
        <v>0</v>
      </c>
      <c r="BR125" s="496">
        <f t="shared" si="213"/>
        <v>0</v>
      </c>
      <c r="BS125" s="496">
        <f t="shared" si="213"/>
        <v>0</v>
      </c>
      <c r="BT125" s="496">
        <f t="shared" si="213"/>
        <v>0</v>
      </c>
      <c r="BU125" s="841"/>
    </row>
    <row r="126" spans="64:73">
      <c r="BL126" s="839"/>
      <c r="BM126" s="846">
        <v>5100</v>
      </c>
      <c r="BN126" s="503" t="s">
        <v>1310</v>
      </c>
      <c r="BO126" s="497">
        <v>0</v>
      </c>
      <c r="BP126" s="497">
        <v>0</v>
      </c>
      <c r="BQ126" s="497">
        <f t="shared" ref="BQ126:BQ134" si="214">+BO126+BP126</f>
        <v>0</v>
      </c>
      <c r="BR126" s="497">
        <v>0</v>
      </c>
      <c r="BS126" s="497">
        <v>0</v>
      </c>
      <c r="BT126" s="497">
        <f t="shared" ref="BT126:BT134" si="215">+BQ126-BR126</f>
        <v>0</v>
      </c>
      <c r="BU126" s="841"/>
    </row>
    <row r="127" spans="64:73">
      <c r="BL127" s="839"/>
      <c r="BM127" s="846">
        <v>5200</v>
      </c>
      <c r="BN127" s="503" t="s">
        <v>1312</v>
      </c>
      <c r="BO127" s="497">
        <v>0</v>
      </c>
      <c r="BP127" s="497">
        <v>0</v>
      </c>
      <c r="BQ127" s="497">
        <f t="shared" si="214"/>
        <v>0</v>
      </c>
      <c r="BR127" s="497">
        <v>0</v>
      </c>
      <c r="BS127" s="497">
        <v>0</v>
      </c>
      <c r="BT127" s="497">
        <f t="shared" si="215"/>
        <v>0</v>
      </c>
      <c r="BU127" s="841"/>
    </row>
    <row r="128" spans="64:73">
      <c r="BL128" s="839"/>
      <c r="BM128" s="846">
        <v>5300</v>
      </c>
      <c r="BN128" s="503" t="s">
        <v>1316</v>
      </c>
      <c r="BO128" s="497">
        <v>0</v>
      </c>
      <c r="BP128" s="497">
        <v>0</v>
      </c>
      <c r="BQ128" s="497">
        <f t="shared" si="214"/>
        <v>0</v>
      </c>
      <c r="BR128" s="497">
        <v>0</v>
      </c>
      <c r="BS128" s="497">
        <v>0</v>
      </c>
      <c r="BT128" s="497">
        <f t="shared" si="215"/>
        <v>0</v>
      </c>
      <c r="BU128" s="841"/>
    </row>
    <row r="129" spans="64:73">
      <c r="BL129" s="839"/>
      <c r="BM129" s="846">
        <v>5400</v>
      </c>
      <c r="BN129" s="503" t="s">
        <v>1321</v>
      </c>
      <c r="BO129" s="497">
        <v>0</v>
      </c>
      <c r="BP129" s="497">
        <v>0</v>
      </c>
      <c r="BQ129" s="497">
        <f t="shared" si="214"/>
        <v>0</v>
      </c>
      <c r="BR129" s="497">
        <v>0</v>
      </c>
      <c r="BS129" s="497">
        <v>0</v>
      </c>
      <c r="BT129" s="497">
        <f t="shared" si="215"/>
        <v>0</v>
      </c>
      <c r="BU129" s="841"/>
    </row>
    <row r="130" spans="64:73">
      <c r="BL130" s="839"/>
      <c r="BM130" s="846">
        <v>5500</v>
      </c>
      <c r="BN130" s="503" t="s">
        <v>1326</v>
      </c>
      <c r="BO130" s="497">
        <v>0</v>
      </c>
      <c r="BP130" s="497">
        <v>0</v>
      </c>
      <c r="BQ130" s="497">
        <f t="shared" si="214"/>
        <v>0</v>
      </c>
      <c r="BR130" s="497">
        <v>0</v>
      </c>
      <c r="BS130" s="497">
        <v>0</v>
      </c>
      <c r="BT130" s="497">
        <f t="shared" si="215"/>
        <v>0</v>
      </c>
      <c r="BU130" s="841"/>
    </row>
    <row r="131" spans="64:73">
      <c r="BL131" s="839"/>
      <c r="BM131" s="846">
        <v>5600</v>
      </c>
      <c r="BN131" s="503" t="s">
        <v>1330</v>
      </c>
      <c r="BO131" s="497">
        <v>0</v>
      </c>
      <c r="BP131" s="497">
        <v>0</v>
      </c>
      <c r="BQ131" s="497">
        <f t="shared" si="214"/>
        <v>0</v>
      </c>
      <c r="BR131" s="497">
        <v>0</v>
      </c>
      <c r="BS131" s="497">
        <v>0</v>
      </c>
      <c r="BT131" s="497">
        <f t="shared" si="215"/>
        <v>0</v>
      </c>
      <c r="BU131" s="841"/>
    </row>
    <row r="132" spans="64:73">
      <c r="BL132" s="839"/>
      <c r="BM132" s="846">
        <v>5700</v>
      </c>
      <c r="BN132" s="503" t="s">
        <v>1334</v>
      </c>
      <c r="BO132" s="497">
        <v>0</v>
      </c>
      <c r="BP132" s="497">
        <v>0</v>
      </c>
      <c r="BQ132" s="497">
        <f t="shared" si="214"/>
        <v>0</v>
      </c>
      <c r="BR132" s="497">
        <v>0</v>
      </c>
      <c r="BS132" s="497">
        <v>0</v>
      </c>
      <c r="BT132" s="497">
        <f t="shared" si="215"/>
        <v>0</v>
      </c>
      <c r="BU132" s="841"/>
    </row>
    <row r="133" spans="64:73">
      <c r="BL133" s="839"/>
      <c r="BM133" s="846">
        <v>5800</v>
      </c>
      <c r="BN133" s="503" t="s">
        <v>1338</v>
      </c>
      <c r="BO133" s="497">
        <v>0</v>
      </c>
      <c r="BP133" s="497">
        <v>0</v>
      </c>
      <c r="BQ133" s="497">
        <f t="shared" si="214"/>
        <v>0</v>
      </c>
      <c r="BR133" s="497">
        <v>0</v>
      </c>
      <c r="BS133" s="497">
        <v>0</v>
      </c>
      <c r="BT133" s="497">
        <f t="shared" si="215"/>
        <v>0</v>
      </c>
      <c r="BU133" s="841"/>
    </row>
    <row r="134" spans="64:73">
      <c r="BL134" s="839"/>
      <c r="BM134" s="846">
        <v>5900</v>
      </c>
      <c r="BN134" s="503" t="s">
        <v>1342</v>
      </c>
      <c r="BO134" s="497">
        <v>0</v>
      </c>
      <c r="BP134" s="497">
        <v>0</v>
      </c>
      <c r="BQ134" s="497">
        <f t="shared" si="214"/>
        <v>0</v>
      </c>
      <c r="BR134" s="497">
        <v>0</v>
      </c>
      <c r="BS134" s="497">
        <v>0</v>
      </c>
      <c r="BT134" s="497">
        <f t="shared" si="215"/>
        <v>0</v>
      </c>
      <c r="BU134" s="841"/>
    </row>
    <row r="135" spans="64:73">
      <c r="BL135" s="839"/>
      <c r="BM135" s="846">
        <v>6000</v>
      </c>
      <c r="BN135" s="495" t="s">
        <v>1345</v>
      </c>
      <c r="BO135" s="496">
        <f t="shared" ref="BO135:BT135" si="216">SUM(BO136:BO138)</f>
        <v>0</v>
      </c>
      <c r="BP135" s="496">
        <f t="shared" si="216"/>
        <v>0</v>
      </c>
      <c r="BQ135" s="496">
        <f t="shared" si="216"/>
        <v>0</v>
      </c>
      <c r="BR135" s="496">
        <f t="shared" si="216"/>
        <v>0</v>
      </c>
      <c r="BS135" s="496">
        <f t="shared" si="216"/>
        <v>0</v>
      </c>
      <c r="BT135" s="496">
        <f t="shared" si="216"/>
        <v>0</v>
      </c>
      <c r="BU135" s="841"/>
    </row>
    <row r="136" spans="64:73">
      <c r="BL136" s="839"/>
      <c r="BM136" s="846">
        <v>6100</v>
      </c>
      <c r="BN136" s="503" t="s">
        <v>1349</v>
      </c>
      <c r="BO136" s="497">
        <v>0</v>
      </c>
      <c r="BP136" s="497">
        <v>0</v>
      </c>
      <c r="BQ136" s="497">
        <f t="shared" ref="BQ136:BQ138" si="217">+BO136+BP136</f>
        <v>0</v>
      </c>
      <c r="BR136" s="497">
        <v>0</v>
      </c>
      <c r="BS136" s="497">
        <v>0</v>
      </c>
      <c r="BT136" s="497">
        <f t="shared" ref="BT136:BT138" si="218">+BQ136-BR136</f>
        <v>0</v>
      </c>
      <c r="BU136" s="841"/>
    </row>
    <row r="137" spans="64:73">
      <c r="BL137" s="839"/>
      <c r="BM137" s="846">
        <v>6200</v>
      </c>
      <c r="BN137" s="503" t="s">
        <v>1352</v>
      </c>
      <c r="BO137" s="497">
        <v>0</v>
      </c>
      <c r="BP137" s="497">
        <v>0</v>
      </c>
      <c r="BQ137" s="497">
        <f t="shared" si="217"/>
        <v>0</v>
      </c>
      <c r="BR137" s="497">
        <v>0</v>
      </c>
      <c r="BS137" s="497">
        <v>0</v>
      </c>
      <c r="BT137" s="497">
        <f t="shared" si="218"/>
        <v>0</v>
      </c>
      <c r="BU137" s="841"/>
    </row>
    <row r="138" spans="64:73">
      <c r="BL138" s="839"/>
      <c r="BM138" s="846">
        <v>6300</v>
      </c>
      <c r="BN138" s="503" t="s">
        <v>1356</v>
      </c>
      <c r="BO138" s="497">
        <v>0</v>
      </c>
      <c r="BP138" s="497">
        <v>0</v>
      </c>
      <c r="BQ138" s="497">
        <f t="shared" si="217"/>
        <v>0</v>
      </c>
      <c r="BR138" s="497">
        <v>0</v>
      </c>
      <c r="BS138" s="497">
        <v>0</v>
      </c>
      <c r="BT138" s="497">
        <f t="shared" si="218"/>
        <v>0</v>
      </c>
      <c r="BU138" s="841"/>
    </row>
    <row r="139" spans="64:73">
      <c r="BL139" s="839"/>
      <c r="BM139" s="846">
        <v>7000</v>
      </c>
      <c r="BN139" s="495" t="s">
        <v>1360</v>
      </c>
      <c r="BO139" s="496">
        <f t="shared" ref="BO139:BT139" si="219">SUM(BO140:BO146)</f>
        <v>0</v>
      </c>
      <c r="BP139" s="496">
        <f t="shared" si="219"/>
        <v>0</v>
      </c>
      <c r="BQ139" s="496">
        <f t="shared" si="219"/>
        <v>0</v>
      </c>
      <c r="BR139" s="496">
        <f t="shared" si="219"/>
        <v>0</v>
      </c>
      <c r="BS139" s="496">
        <f t="shared" si="219"/>
        <v>0</v>
      </c>
      <c r="BT139" s="496">
        <f t="shared" si="219"/>
        <v>0</v>
      </c>
      <c r="BU139" s="841"/>
    </row>
    <row r="140" spans="64:73">
      <c r="BL140" s="839"/>
      <c r="BM140" s="846">
        <v>7100</v>
      </c>
      <c r="BN140" s="503" t="s">
        <v>1363</v>
      </c>
      <c r="BO140" s="497">
        <v>0</v>
      </c>
      <c r="BP140" s="497">
        <v>0</v>
      </c>
      <c r="BQ140" s="497">
        <f t="shared" ref="BQ140:BQ147" si="220">+BO140+BP140</f>
        <v>0</v>
      </c>
      <c r="BR140" s="497">
        <v>0</v>
      </c>
      <c r="BS140" s="497">
        <v>0</v>
      </c>
      <c r="BT140" s="497">
        <f t="shared" ref="BT140:BT147" si="221">+BQ140-BR140</f>
        <v>0</v>
      </c>
      <c r="BU140" s="841"/>
    </row>
    <row r="141" spans="64:73">
      <c r="BL141" s="839"/>
      <c r="BM141" s="846">
        <v>7200</v>
      </c>
      <c r="BN141" s="503" t="s">
        <v>1366</v>
      </c>
      <c r="BO141" s="497">
        <v>0</v>
      </c>
      <c r="BP141" s="497">
        <v>0</v>
      </c>
      <c r="BQ141" s="497">
        <f t="shared" si="220"/>
        <v>0</v>
      </c>
      <c r="BR141" s="497">
        <v>0</v>
      </c>
      <c r="BS141" s="497">
        <v>0</v>
      </c>
      <c r="BT141" s="497">
        <f t="shared" si="221"/>
        <v>0</v>
      </c>
      <c r="BU141" s="841"/>
    </row>
    <row r="142" spans="64:73">
      <c r="BL142" s="839"/>
      <c r="BM142" s="846">
        <v>7300</v>
      </c>
      <c r="BN142" s="503" t="s">
        <v>1369</v>
      </c>
      <c r="BO142" s="497">
        <v>0</v>
      </c>
      <c r="BP142" s="497">
        <v>0</v>
      </c>
      <c r="BQ142" s="497">
        <f t="shared" si="220"/>
        <v>0</v>
      </c>
      <c r="BR142" s="497">
        <v>0</v>
      </c>
      <c r="BS142" s="497">
        <v>0</v>
      </c>
      <c r="BT142" s="497">
        <f t="shared" si="221"/>
        <v>0</v>
      </c>
      <c r="BU142" s="841"/>
    </row>
    <row r="143" spans="64:73">
      <c r="BL143" s="839"/>
      <c r="BM143" s="846">
        <v>7400</v>
      </c>
      <c r="BN143" s="503" t="s">
        <v>1371</v>
      </c>
      <c r="BO143" s="497">
        <v>0</v>
      </c>
      <c r="BP143" s="497">
        <v>0</v>
      </c>
      <c r="BQ143" s="497">
        <f t="shared" si="220"/>
        <v>0</v>
      </c>
      <c r="BR143" s="497">
        <v>0</v>
      </c>
      <c r="BS143" s="497">
        <v>0</v>
      </c>
      <c r="BT143" s="497">
        <f t="shared" si="221"/>
        <v>0</v>
      </c>
      <c r="BU143" s="841"/>
    </row>
    <row r="144" spans="64:73">
      <c r="BL144" s="839"/>
      <c r="BM144" s="846">
        <v>7500</v>
      </c>
      <c r="BN144" s="503" t="s">
        <v>1374</v>
      </c>
      <c r="BO144" s="497">
        <v>0</v>
      </c>
      <c r="BP144" s="497">
        <v>0</v>
      </c>
      <c r="BQ144" s="497">
        <f t="shared" si="220"/>
        <v>0</v>
      </c>
      <c r="BR144" s="497">
        <v>0</v>
      </c>
      <c r="BS144" s="497">
        <v>0</v>
      </c>
      <c r="BT144" s="497">
        <f t="shared" si="221"/>
        <v>0</v>
      </c>
      <c r="BU144" s="841"/>
    </row>
    <row r="145" spans="64:73">
      <c r="BL145" s="839"/>
      <c r="BM145" s="846"/>
      <c r="BN145" s="503" t="s">
        <v>1376</v>
      </c>
      <c r="BO145" s="497">
        <v>0</v>
      </c>
      <c r="BP145" s="497">
        <v>0</v>
      </c>
      <c r="BQ145" s="497">
        <f t="shared" si="220"/>
        <v>0</v>
      </c>
      <c r="BR145" s="497">
        <v>0</v>
      </c>
      <c r="BS145" s="497">
        <v>0</v>
      </c>
      <c r="BT145" s="497">
        <f t="shared" si="221"/>
        <v>0</v>
      </c>
      <c r="BU145" s="841"/>
    </row>
    <row r="146" spans="64:73">
      <c r="BL146" s="839"/>
      <c r="BM146" s="846">
        <v>7600</v>
      </c>
      <c r="BN146" s="503" t="s">
        <v>1379</v>
      </c>
      <c r="BO146" s="497">
        <v>0</v>
      </c>
      <c r="BP146" s="497">
        <v>0</v>
      </c>
      <c r="BQ146" s="497">
        <f t="shared" si="220"/>
        <v>0</v>
      </c>
      <c r="BR146" s="497">
        <v>0</v>
      </c>
      <c r="BS146" s="497">
        <v>0</v>
      </c>
      <c r="BT146" s="497">
        <f t="shared" si="221"/>
        <v>0</v>
      </c>
      <c r="BU146" s="841"/>
    </row>
    <row r="147" spans="64:73">
      <c r="BL147" s="839"/>
      <c r="BM147" s="846">
        <v>7900</v>
      </c>
      <c r="BN147" s="503" t="s">
        <v>1381</v>
      </c>
      <c r="BO147" s="497">
        <v>0</v>
      </c>
      <c r="BP147" s="497">
        <v>0</v>
      </c>
      <c r="BQ147" s="497">
        <f t="shared" si="220"/>
        <v>0</v>
      </c>
      <c r="BR147" s="497">
        <v>0</v>
      </c>
      <c r="BS147" s="497">
        <v>0</v>
      </c>
      <c r="BT147" s="497">
        <f t="shared" si="221"/>
        <v>0</v>
      </c>
      <c r="BU147" s="841"/>
    </row>
    <row r="148" spans="64:73">
      <c r="BL148" s="839"/>
      <c r="BM148" s="846">
        <v>8000</v>
      </c>
      <c r="BN148" s="495" t="s">
        <v>1384</v>
      </c>
      <c r="BO148" s="496">
        <f t="shared" ref="BO148:BT148" si="222">SUM(BO149:BO151)</f>
        <v>0</v>
      </c>
      <c r="BP148" s="496">
        <f t="shared" si="222"/>
        <v>0</v>
      </c>
      <c r="BQ148" s="496">
        <f t="shared" si="222"/>
        <v>0</v>
      </c>
      <c r="BR148" s="496">
        <f t="shared" si="222"/>
        <v>0</v>
      </c>
      <c r="BS148" s="496">
        <f t="shared" si="222"/>
        <v>0</v>
      </c>
      <c r="BT148" s="496">
        <f t="shared" si="222"/>
        <v>0</v>
      </c>
      <c r="BU148" s="841"/>
    </row>
    <row r="149" spans="64:73">
      <c r="BL149" s="839"/>
      <c r="BM149" s="846">
        <v>8100</v>
      </c>
      <c r="BN149" s="503" t="s">
        <v>1387</v>
      </c>
      <c r="BO149" s="497">
        <v>0</v>
      </c>
      <c r="BP149" s="497">
        <v>0</v>
      </c>
      <c r="BQ149" s="497">
        <f t="shared" ref="BQ149:BQ151" si="223">+BO149+BP149</f>
        <v>0</v>
      </c>
      <c r="BR149" s="497">
        <v>0</v>
      </c>
      <c r="BS149" s="497">
        <v>0</v>
      </c>
      <c r="BT149" s="497">
        <f t="shared" ref="BT149:BT151" si="224">+BQ149-BR149</f>
        <v>0</v>
      </c>
      <c r="BU149" s="841"/>
    </row>
    <row r="150" spans="64:73">
      <c r="BL150" s="839"/>
      <c r="BM150" s="846">
        <v>8300</v>
      </c>
      <c r="BN150" s="503" t="s">
        <v>1391</v>
      </c>
      <c r="BO150" s="497">
        <v>0</v>
      </c>
      <c r="BP150" s="497">
        <v>0</v>
      </c>
      <c r="BQ150" s="497">
        <f t="shared" si="223"/>
        <v>0</v>
      </c>
      <c r="BR150" s="497">
        <v>0</v>
      </c>
      <c r="BS150" s="497">
        <v>0</v>
      </c>
      <c r="BT150" s="497">
        <f t="shared" si="224"/>
        <v>0</v>
      </c>
      <c r="BU150" s="841"/>
    </row>
    <row r="151" spans="64:73">
      <c r="BL151" s="839"/>
      <c r="BM151" s="846">
        <v>8500</v>
      </c>
      <c r="BN151" s="503" t="s">
        <v>1394</v>
      </c>
      <c r="BO151" s="497">
        <v>0</v>
      </c>
      <c r="BP151" s="497">
        <v>0</v>
      </c>
      <c r="BQ151" s="497">
        <f t="shared" si="223"/>
        <v>0</v>
      </c>
      <c r="BR151" s="497">
        <v>0</v>
      </c>
      <c r="BS151" s="497">
        <v>0</v>
      </c>
      <c r="BT151" s="497">
        <f t="shared" si="224"/>
        <v>0</v>
      </c>
      <c r="BU151" s="841"/>
    </row>
    <row r="152" spans="64:73">
      <c r="BL152" s="839"/>
      <c r="BM152" s="846">
        <v>9000</v>
      </c>
      <c r="BN152" s="495" t="s">
        <v>1396</v>
      </c>
      <c r="BO152" s="496">
        <f t="shared" ref="BO152:BT152" si="225">SUM(BO153:BO159)</f>
        <v>0</v>
      </c>
      <c r="BP152" s="496">
        <f t="shared" si="225"/>
        <v>0</v>
      </c>
      <c r="BQ152" s="496">
        <f t="shared" si="225"/>
        <v>0</v>
      </c>
      <c r="BR152" s="496">
        <f t="shared" si="225"/>
        <v>0</v>
      </c>
      <c r="BS152" s="496">
        <f t="shared" si="225"/>
        <v>0</v>
      </c>
      <c r="BT152" s="496">
        <f t="shared" si="225"/>
        <v>0</v>
      </c>
      <c r="BU152" s="841"/>
    </row>
    <row r="153" spans="64:73">
      <c r="BL153" s="839"/>
      <c r="BM153" s="846">
        <v>9100</v>
      </c>
      <c r="BN153" s="503" t="s">
        <v>1397</v>
      </c>
      <c r="BO153" s="497">
        <v>0</v>
      </c>
      <c r="BP153" s="497">
        <v>0</v>
      </c>
      <c r="BQ153" s="497">
        <f t="shared" ref="BQ153:BQ159" si="226">+BO153+BP153</f>
        <v>0</v>
      </c>
      <c r="BR153" s="497">
        <v>0</v>
      </c>
      <c r="BS153" s="497">
        <v>0</v>
      </c>
      <c r="BT153" s="497">
        <f t="shared" ref="BT153:BT159" si="227">+BQ153-BR153</f>
        <v>0</v>
      </c>
      <c r="BU153" s="841"/>
    </row>
    <row r="154" spans="64:73">
      <c r="BL154" s="839"/>
      <c r="BM154" s="846">
        <v>9200</v>
      </c>
      <c r="BN154" s="503" t="s">
        <v>1400</v>
      </c>
      <c r="BO154" s="497">
        <v>0</v>
      </c>
      <c r="BP154" s="497">
        <v>0</v>
      </c>
      <c r="BQ154" s="497">
        <f t="shared" si="226"/>
        <v>0</v>
      </c>
      <c r="BR154" s="497">
        <v>0</v>
      </c>
      <c r="BS154" s="497">
        <v>0</v>
      </c>
      <c r="BT154" s="497">
        <f t="shared" si="227"/>
        <v>0</v>
      </c>
      <c r="BU154" s="841"/>
    </row>
    <row r="155" spans="64:73">
      <c r="BL155" s="839"/>
      <c r="BM155" s="846">
        <v>9300</v>
      </c>
      <c r="BN155" s="503" t="s">
        <v>1403</v>
      </c>
      <c r="BO155" s="497">
        <v>0</v>
      </c>
      <c r="BP155" s="497">
        <v>0</v>
      </c>
      <c r="BQ155" s="497">
        <f t="shared" si="226"/>
        <v>0</v>
      </c>
      <c r="BR155" s="497">
        <v>0</v>
      </c>
      <c r="BS155" s="497">
        <v>0</v>
      </c>
      <c r="BT155" s="497">
        <f t="shared" si="227"/>
        <v>0</v>
      </c>
      <c r="BU155" s="841"/>
    </row>
    <row r="156" spans="64:73">
      <c r="BL156" s="839"/>
      <c r="BM156" s="846">
        <v>9400</v>
      </c>
      <c r="BN156" s="503" t="s">
        <v>1405</v>
      </c>
      <c r="BO156" s="497">
        <v>0</v>
      </c>
      <c r="BP156" s="497">
        <v>0</v>
      </c>
      <c r="BQ156" s="497">
        <f t="shared" si="226"/>
        <v>0</v>
      </c>
      <c r="BR156" s="497">
        <v>0</v>
      </c>
      <c r="BS156" s="497">
        <v>0</v>
      </c>
      <c r="BT156" s="497">
        <f t="shared" si="227"/>
        <v>0</v>
      </c>
      <c r="BU156" s="841"/>
    </row>
    <row r="157" spans="64:73">
      <c r="BL157" s="839"/>
      <c r="BM157" s="846">
        <v>9500</v>
      </c>
      <c r="BN157" s="503" t="s">
        <v>1406</v>
      </c>
      <c r="BO157" s="497">
        <v>0</v>
      </c>
      <c r="BP157" s="497">
        <v>0</v>
      </c>
      <c r="BQ157" s="497">
        <f t="shared" si="226"/>
        <v>0</v>
      </c>
      <c r="BR157" s="497">
        <v>0</v>
      </c>
      <c r="BS157" s="497">
        <v>0</v>
      </c>
      <c r="BT157" s="497">
        <f t="shared" si="227"/>
        <v>0</v>
      </c>
      <c r="BU157" s="841"/>
    </row>
    <row r="158" spans="64:73">
      <c r="BL158" s="839"/>
      <c r="BM158" s="846">
        <v>9600</v>
      </c>
      <c r="BN158" s="503" t="s">
        <v>1408</v>
      </c>
      <c r="BO158" s="497">
        <v>0</v>
      </c>
      <c r="BP158" s="497">
        <v>0</v>
      </c>
      <c r="BQ158" s="497">
        <f t="shared" si="226"/>
        <v>0</v>
      </c>
      <c r="BR158" s="497">
        <v>0</v>
      </c>
      <c r="BS158" s="497">
        <v>0</v>
      </c>
      <c r="BT158" s="497">
        <f t="shared" si="227"/>
        <v>0</v>
      </c>
      <c r="BU158" s="841"/>
    </row>
    <row r="159" spans="64:73">
      <c r="BL159" s="839"/>
      <c r="BM159" s="846">
        <v>9900</v>
      </c>
      <c r="BN159" s="503" t="s">
        <v>1409</v>
      </c>
      <c r="BO159" s="497">
        <v>0</v>
      </c>
      <c r="BP159" s="497">
        <v>0</v>
      </c>
      <c r="BQ159" s="497">
        <f t="shared" si="226"/>
        <v>0</v>
      </c>
      <c r="BR159" s="497">
        <v>0</v>
      </c>
      <c r="BS159" s="497">
        <v>0</v>
      </c>
      <c r="BT159" s="497">
        <f t="shared" si="227"/>
        <v>0</v>
      </c>
      <c r="BU159" s="841"/>
    </row>
    <row r="160" spans="64:73">
      <c r="BL160" s="839"/>
      <c r="BM160" s="846"/>
      <c r="BN160" s="495"/>
      <c r="BO160" s="481"/>
      <c r="BP160" s="481"/>
      <c r="BQ160" s="481"/>
      <c r="BR160" s="481"/>
      <c r="BS160" s="481"/>
      <c r="BT160" s="481"/>
      <c r="BU160" s="841"/>
    </row>
    <row r="161" spans="64:73">
      <c r="BL161" s="839"/>
      <c r="BM161" s="846"/>
      <c r="BN161" s="498" t="s">
        <v>1190</v>
      </c>
      <c r="BO161" s="545">
        <f>+BO11+BO86</f>
        <v>80405840.510000005</v>
      </c>
      <c r="BP161" s="545">
        <f t="shared" ref="BP161:BT161" si="228">+BP11+BP86</f>
        <v>8457903.8099999987</v>
      </c>
      <c r="BQ161" s="545">
        <f t="shared" si="228"/>
        <v>88863744.319999993</v>
      </c>
      <c r="BR161" s="545">
        <f t="shared" si="228"/>
        <v>86193205.109999985</v>
      </c>
      <c r="BS161" s="545">
        <f t="shared" si="228"/>
        <v>84872096.260000005</v>
      </c>
      <c r="BT161" s="545">
        <f t="shared" si="228"/>
        <v>2670539.2100000004</v>
      </c>
      <c r="BU161" s="841"/>
    </row>
    <row r="162" spans="64:73">
      <c r="BL162" s="839"/>
      <c r="BM162" s="846"/>
      <c r="BN162" s="495"/>
      <c r="BO162" s="481"/>
      <c r="BP162" s="481"/>
      <c r="BQ162" s="481"/>
      <c r="BR162" s="481"/>
      <c r="BS162" s="481"/>
      <c r="BT162" s="481"/>
      <c r="BU162" s="841"/>
    </row>
    <row r="163" spans="64:73" ht="12.75" thickBot="1">
      <c r="BL163" s="849"/>
      <c r="BM163" s="858"/>
      <c r="BN163" s="852"/>
      <c r="BO163" s="852"/>
      <c r="BP163" s="852"/>
      <c r="BQ163" s="852"/>
      <c r="BR163" s="852"/>
      <c r="BS163" s="852"/>
      <c r="BT163" s="852"/>
      <c r="BU163" s="841"/>
    </row>
    <row r="164" spans="64:73" ht="12.75" thickBot="1">
      <c r="BM164" s="859"/>
      <c r="BN164" s="850"/>
      <c r="BO164" s="850"/>
      <c r="BP164" s="850"/>
      <c r="BQ164" s="850"/>
      <c r="BR164" s="850"/>
      <c r="BS164" s="850"/>
      <c r="BT164" s="850"/>
      <c r="BU164" s="851"/>
    </row>
  </sheetData>
  <protectedRanges>
    <protectedRange sqref="BO86:BT86 BO10:BT11" name="Rango1_2"/>
    <protectedRange sqref="CM48:CR48 CM10:CR11" name="Rango1_2_2"/>
  </protectedRanges>
  <mergeCells count="68">
    <mergeCell ref="AV67:AV68"/>
    <mergeCell ref="AR51:AR52"/>
    <mergeCell ref="AS51:AS52"/>
    <mergeCell ref="AT51:AT52"/>
    <mergeCell ref="AU51:AU52"/>
    <mergeCell ref="AV51:AV52"/>
    <mergeCell ref="AU38:AU39"/>
    <mergeCell ref="AR67:AR68"/>
    <mergeCell ref="AS67:AS68"/>
    <mergeCell ref="AT67:AT68"/>
    <mergeCell ref="AU67:AU68"/>
    <mergeCell ref="T35:T37"/>
    <mergeCell ref="U35:U37"/>
    <mergeCell ref="AR38:AR39"/>
    <mergeCell ref="AS38:AS39"/>
    <mergeCell ref="AT38:AT39"/>
    <mergeCell ref="O35:O37"/>
    <mergeCell ref="P35:P37"/>
    <mergeCell ref="Q35:Q37"/>
    <mergeCell ref="R35:R37"/>
    <mergeCell ref="S35:S37"/>
    <mergeCell ref="CX7:DD7"/>
    <mergeCell ref="AV38:AV39"/>
    <mergeCell ref="BC8:BG8"/>
    <mergeCell ref="BO8:BS8"/>
    <mergeCell ref="CA8:CE8"/>
    <mergeCell ref="CM8:CQ8"/>
    <mergeCell ref="CY8:DC8"/>
    <mergeCell ref="BN7:BT7"/>
    <mergeCell ref="BZ7:CF7"/>
    <mergeCell ref="CL7:CR7"/>
    <mergeCell ref="BN5:BT5"/>
    <mergeCell ref="BZ5:CF5"/>
    <mergeCell ref="CL5:CR5"/>
    <mergeCell ref="CX5:DD5"/>
    <mergeCell ref="D6:J6"/>
    <mergeCell ref="P6:W6"/>
    <mergeCell ref="AC6:AM6"/>
    <mergeCell ref="AS6:AV6"/>
    <mergeCell ref="BA6:BH6"/>
    <mergeCell ref="BN6:BT6"/>
    <mergeCell ref="BZ6:CF6"/>
    <mergeCell ref="CL6:CR6"/>
    <mergeCell ref="CX6:DD6"/>
    <mergeCell ref="D5:J5"/>
    <mergeCell ref="P5:W5"/>
    <mergeCell ref="AC5:AM5"/>
    <mergeCell ref="AS5:AV5"/>
    <mergeCell ref="BA5:BH5"/>
    <mergeCell ref="CX3:DD3"/>
    <mergeCell ref="D4:J4"/>
    <mergeCell ref="P4:W4"/>
    <mergeCell ref="AC4:AM4"/>
    <mergeCell ref="AS4:AV4"/>
    <mergeCell ref="BA4:BH4"/>
    <mergeCell ref="BN4:BT4"/>
    <mergeCell ref="BA3:BH3"/>
    <mergeCell ref="BZ4:CF4"/>
    <mergeCell ref="CL4:CR4"/>
    <mergeCell ref="CX4:DD4"/>
    <mergeCell ref="BN3:BT3"/>
    <mergeCell ref="BZ3:CF3"/>
    <mergeCell ref="CL3:CR3"/>
    <mergeCell ref="D2:J2"/>
    <mergeCell ref="D3:J3"/>
    <mergeCell ref="P3:W3"/>
    <mergeCell ref="AC3:AM3"/>
    <mergeCell ref="AS3:AV3"/>
  </mergeCells>
  <pageMargins left="0.7" right="0.7" top="0.75" bottom="0.75" header="0.3" footer="0.3"/>
  <pageSetup paperSize="119" orientation="portrait" horizontalDpi="1200" verticalDpi="1200" r:id="rId1"/>
  <ignoredErrors>
    <ignoredError sqref="AT12:AV12 BC12:BH44 BC47:BH67 BC68:BH68 BC76:BH76 BC75:BH75 BC70:BH73 BC69:BH69 BC74:BH74 CA11:CF31 CM11:CR85 CY12:DD35" unlockedFormula="1"/>
    <ignoredError sqref="BA69:BA74"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B2:M74"/>
  <sheetViews>
    <sheetView showGridLines="0" zoomScale="80" zoomScaleNormal="80" workbookViewId="0">
      <pane ySplit="12" topLeftCell="A52" activePane="bottomLeft" state="frozen"/>
      <selection activeCell="C1" sqref="C1"/>
      <selection pane="bottomLeft" activeCell="J61" sqref="J61"/>
    </sheetView>
  </sheetViews>
  <sheetFormatPr baseColWidth="10" defaultColWidth="11" defaultRowHeight="15" outlineLevelRow="3"/>
  <cols>
    <col min="1" max="2" width="2.42578125" customWidth="1"/>
    <col min="4" max="4" width="3.42578125" bestFit="1" customWidth="1"/>
    <col min="5" max="5" width="44.28515625" customWidth="1"/>
    <col min="6" max="6" width="4" bestFit="1" customWidth="1"/>
    <col min="7" max="7" width="25.42578125" customWidth="1"/>
    <col min="8" max="8" width="5.85546875" customWidth="1"/>
    <col min="9" max="9" width="13.5703125" customWidth="1"/>
    <col min="10" max="10" width="14.7109375" customWidth="1"/>
    <col min="12" max="12" width="22.7109375" customWidth="1"/>
    <col min="13" max="13" width="45.5703125" customWidth="1"/>
  </cols>
  <sheetData>
    <row r="2" spans="2:13">
      <c r="B2" s="466"/>
      <c r="C2" s="466"/>
      <c r="D2" s="466"/>
      <c r="E2" s="466"/>
      <c r="F2" s="466"/>
      <c r="G2" s="466"/>
      <c r="H2" s="466"/>
      <c r="I2" s="466"/>
      <c r="J2" s="466"/>
      <c r="K2" s="466"/>
      <c r="L2" s="466"/>
      <c r="M2" s="466"/>
    </row>
    <row r="3" spans="2:13" s="569" customFormat="1">
      <c r="B3" s="566"/>
      <c r="C3" s="1083"/>
      <c r="D3" s="1083"/>
      <c r="E3" s="1083"/>
      <c r="F3" s="1083"/>
      <c r="G3" s="1083"/>
      <c r="H3" s="1083"/>
      <c r="I3" s="1083"/>
      <c r="J3" s="1083"/>
      <c r="K3" s="1083"/>
      <c r="L3" s="1083"/>
      <c r="M3" s="1083"/>
    </row>
    <row r="4" spans="2:13" s="569" customFormat="1">
      <c r="B4" s="566"/>
      <c r="C4" s="1084" t="str">
        <f>Títulos!$B$2</f>
        <v>TRIBUNAL DE JUSTICIA ADMINISTRATIVA</v>
      </c>
      <c r="D4" s="1084"/>
      <c r="E4" s="1084"/>
      <c r="F4" s="1084"/>
      <c r="G4" s="1084"/>
      <c r="H4" s="1084"/>
      <c r="I4" s="1084"/>
      <c r="J4" s="1084"/>
      <c r="K4" s="1084"/>
      <c r="L4" s="1084"/>
      <c r="M4" s="1084"/>
    </row>
    <row r="5" spans="2:13" s="569" customFormat="1">
      <c r="B5" s="566"/>
      <c r="C5" s="1084" t="s">
        <v>1412</v>
      </c>
      <c r="D5" s="1084"/>
      <c r="E5" s="1084"/>
      <c r="F5" s="1084"/>
      <c r="G5" s="1084"/>
      <c r="H5" s="1084"/>
      <c r="I5" s="1084"/>
      <c r="J5" s="1084"/>
      <c r="K5" s="1084"/>
      <c r="L5" s="1084"/>
      <c r="M5" s="1084"/>
    </row>
    <row r="6" spans="2:13" s="569" customFormat="1">
      <c r="B6" s="566"/>
      <c r="C6" s="1084" t="s">
        <v>2967</v>
      </c>
      <c r="D6" s="1084"/>
      <c r="E6" s="1084"/>
      <c r="F6" s="1084"/>
      <c r="G6" s="1084"/>
      <c r="H6" s="1084"/>
      <c r="I6" s="1084"/>
      <c r="J6" s="1084"/>
      <c r="K6" s="1084"/>
      <c r="L6" s="1084"/>
      <c r="M6" s="1084"/>
    </row>
    <row r="7" spans="2:13" s="569" customFormat="1">
      <c r="B7" s="566"/>
      <c r="C7" s="1085"/>
      <c r="D7" s="1085"/>
      <c r="E7" s="1085"/>
      <c r="F7" s="1085"/>
      <c r="G7" s="1085"/>
      <c r="H7" s="1085"/>
      <c r="I7" s="1085"/>
      <c r="J7" s="1085"/>
      <c r="K7" s="1085"/>
      <c r="L7" s="1085"/>
      <c r="M7" s="1085"/>
    </row>
    <row r="8" spans="2:13" s="569" customFormat="1">
      <c r="B8" s="566"/>
      <c r="C8" s="1086" t="s">
        <v>1413</v>
      </c>
      <c r="D8" s="1086"/>
      <c r="E8" s="1086"/>
      <c r="F8" s="1087" t="s">
        <v>1414</v>
      </c>
      <c r="G8" s="1087"/>
      <c r="H8" s="1087"/>
      <c r="I8" s="1087"/>
      <c r="J8" s="1087" t="s">
        <v>1415</v>
      </c>
      <c r="K8" s="1087"/>
      <c r="L8" s="1088" t="s">
        <v>1416</v>
      </c>
      <c r="M8" s="1088" t="s">
        <v>1417</v>
      </c>
    </row>
    <row r="9" spans="2:13" s="569" customFormat="1">
      <c r="B9" s="566"/>
      <c r="C9" s="1086"/>
      <c r="D9" s="1086"/>
      <c r="E9" s="1086"/>
      <c r="F9" s="1088" t="s">
        <v>1418</v>
      </c>
      <c r="G9" s="1088"/>
      <c r="H9" s="1088" t="s">
        <v>1419</v>
      </c>
      <c r="I9" s="1088"/>
      <c r="J9" s="945"/>
      <c r="K9" s="945"/>
      <c r="L9" s="1088"/>
      <c r="M9" s="1088"/>
    </row>
    <row r="10" spans="2:13" s="569" customFormat="1" ht="48">
      <c r="B10" s="566"/>
      <c r="C10" s="1086"/>
      <c r="D10" s="1086"/>
      <c r="E10" s="1086"/>
      <c r="F10" s="946"/>
      <c r="G10" s="570" t="s">
        <v>1420</v>
      </c>
      <c r="H10" s="570"/>
      <c r="I10" s="570" t="s">
        <v>1421</v>
      </c>
      <c r="J10" s="571" t="s">
        <v>1422</v>
      </c>
      <c r="K10" s="570" t="s">
        <v>1423</v>
      </c>
      <c r="L10" s="1088"/>
      <c r="M10" s="1088"/>
    </row>
    <row r="11" spans="2:13" ht="12" customHeight="1">
      <c r="B11" s="466" t="e">
        <f>+B12+B41</f>
        <v>#REF!</v>
      </c>
      <c r="C11" s="1089" t="s">
        <v>1424</v>
      </c>
      <c r="D11" s="1090"/>
      <c r="E11" s="1090"/>
      <c r="F11" s="1090"/>
      <c r="G11" s="1090"/>
      <c r="H11" s="1090"/>
      <c r="I11" s="1090"/>
      <c r="J11" s="1090"/>
      <c r="K11" s="1090"/>
      <c r="L11" s="1090"/>
      <c r="M11" s="1091"/>
    </row>
    <row r="12" spans="2:13" ht="12" customHeight="1" outlineLevel="1">
      <c r="B12" s="466" t="e">
        <f>+B13+B17+B21+B25+B32+B35+B37</f>
        <v>#REF!</v>
      </c>
      <c r="C12" s="1092" t="s">
        <v>1425</v>
      </c>
      <c r="D12" s="1092"/>
      <c r="E12" s="1092"/>
      <c r="F12" s="1092"/>
      <c r="G12" s="1092"/>
      <c r="H12" s="1092"/>
      <c r="I12" s="1092"/>
      <c r="J12" s="1092"/>
      <c r="K12" s="1092"/>
      <c r="L12" s="1092"/>
      <c r="M12" s="1092"/>
    </row>
    <row r="13" spans="2:13" outlineLevel="2">
      <c r="B13" s="466">
        <f>+B14+B15+B16</f>
        <v>0</v>
      </c>
      <c r="C13" s="546">
        <v>1</v>
      </c>
      <c r="D13" s="1082" t="s">
        <v>1426</v>
      </c>
      <c r="E13" s="1082"/>
      <c r="F13" s="547"/>
      <c r="G13" s="548"/>
      <c r="H13" s="547"/>
      <c r="I13" s="548"/>
      <c r="J13" s="547"/>
      <c r="K13" s="547"/>
      <c r="L13" s="547"/>
      <c r="M13" s="547"/>
    </row>
    <row r="14" spans="2:13" ht="36" outlineLevel="3">
      <c r="B14" s="466"/>
      <c r="C14" s="549"/>
      <c r="D14" s="550" t="s">
        <v>1427</v>
      </c>
      <c r="E14" s="551" t="s">
        <v>1428</v>
      </c>
      <c r="F14" s="552" t="s">
        <v>1418</v>
      </c>
      <c r="G14" s="553" t="s">
        <v>1429</v>
      </c>
      <c r="H14" s="552"/>
      <c r="I14" s="554"/>
      <c r="J14" s="555">
        <f>SUMIF(pi_cri,"*",pi_e)-SUMIF(PE_COG,"*",PE_A)</f>
        <v>0</v>
      </c>
      <c r="K14" s="553" t="s">
        <v>1430</v>
      </c>
      <c r="L14" s="553" t="s">
        <v>1431</v>
      </c>
      <c r="M14" s="556" t="s">
        <v>2966</v>
      </c>
    </row>
    <row r="15" spans="2:13" ht="24" outlineLevel="3">
      <c r="B15" s="466"/>
      <c r="C15" s="549"/>
      <c r="D15" s="550" t="s">
        <v>1432</v>
      </c>
      <c r="E15" s="551" t="s">
        <v>357</v>
      </c>
      <c r="F15" s="552" t="s">
        <v>1418</v>
      </c>
      <c r="G15" s="553" t="s">
        <v>1433</v>
      </c>
      <c r="H15" s="552"/>
      <c r="I15" s="554"/>
      <c r="J15" s="555">
        <f>SUMIF(pi_cri,"*",pi_e)-SUMIF(PE_COG,"*",PE_A)</f>
        <v>0</v>
      </c>
      <c r="K15" s="553" t="s">
        <v>1430</v>
      </c>
      <c r="L15" s="553" t="s">
        <v>1431</v>
      </c>
      <c r="M15" s="556" t="s">
        <v>2966</v>
      </c>
    </row>
    <row r="16" spans="2:13" ht="24" outlineLevel="3">
      <c r="B16" s="466"/>
      <c r="C16" s="549"/>
      <c r="D16" s="550" t="s">
        <v>1434</v>
      </c>
      <c r="E16" s="551" t="s">
        <v>396</v>
      </c>
      <c r="F16" s="552" t="s">
        <v>1418</v>
      </c>
      <c r="G16" s="553" t="s">
        <v>1435</v>
      </c>
      <c r="H16" s="552"/>
      <c r="I16" s="554"/>
      <c r="J16" s="555">
        <f>SUMIF(pi_cri,"*",pi_d)-SUMIF(PE_COG,"*",PE_D)</f>
        <v>2670534.3099999577</v>
      </c>
      <c r="K16" s="553" t="s">
        <v>1430</v>
      </c>
      <c r="L16" s="553" t="s">
        <v>1431</v>
      </c>
      <c r="M16" s="556" t="s">
        <v>2966</v>
      </c>
    </row>
    <row r="17" spans="2:13" outlineLevel="2">
      <c r="B17" s="466">
        <f>+B18+B19+B20</f>
        <v>0</v>
      </c>
      <c r="C17" s="546">
        <v>2</v>
      </c>
      <c r="D17" s="1082" t="s">
        <v>1436</v>
      </c>
      <c r="E17" s="1082"/>
      <c r="F17" s="557"/>
      <c r="G17" s="547"/>
      <c r="H17" s="557"/>
      <c r="I17" s="548"/>
      <c r="J17" s="558"/>
      <c r="K17" s="547"/>
      <c r="L17" s="547"/>
      <c r="M17" s="557"/>
    </row>
    <row r="18" spans="2:13" ht="36" outlineLevel="3">
      <c r="B18" s="466"/>
      <c r="C18" s="549"/>
      <c r="D18" s="550" t="s">
        <v>1427</v>
      </c>
      <c r="E18" s="551" t="s">
        <v>1428</v>
      </c>
      <c r="F18" s="552" t="s">
        <v>1418</v>
      </c>
      <c r="G18" s="553" t="s">
        <v>1429</v>
      </c>
      <c r="H18" s="552"/>
      <c r="I18" s="554"/>
      <c r="J18" s="555">
        <f>SUMIF(pi_cri,"*",pi_e)-SUMIF(PE_COG,"*",PE_A)</f>
        <v>0</v>
      </c>
      <c r="K18" s="553" t="s">
        <v>1430</v>
      </c>
      <c r="L18" s="553" t="s">
        <v>1431</v>
      </c>
      <c r="M18" s="552" t="str">
        <f>+M14</f>
        <v>liga</v>
      </c>
    </row>
    <row r="19" spans="2:13" ht="24" outlineLevel="3">
      <c r="B19" s="466"/>
      <c r="C19" s="549"/>
      <c r="D19" s="550" t="s">
        <v>1432</v>
      </c>
      <c r="E19" s="551" t="s">
        <v>357</v>
      </c>
      <c r="F19" s="552" t="s">
        <v>1418</v>
      </c>
      <c r="G19" s="553" t="s">
        <v>1433</v>
      </c>
      <c r="H19" s="552"/>
      <c r="I19" s="554"/>
      <c r="J19" s="555">
        <f>SUMIF(pi_cri,"*",pi_e)-SUMIF(PE_COG,"*",PE_A)</f>
        <v>0</v>
      </c>
      <c r="K19" s="553" t="s">
        <v>1430</v>
      </c>
      <c r="L19" s="553" t="s">
        <v>1431</v>
      </c>
      <c r="M19" s="552" t="str">
        <f t="shared" ref="M19:M20" si="0">+M15</f>
        <v>liga</v>
      </c>
    </row>
    <row r="20" spans="2:13" ht="24" outlineLevel="3">
      <c r="B20" s="466"/>
      <c r="C20" s="549"/>
      <c r="D20" s="550" t="s">
        <v>1434</v>
      </c>
      <c r="E20" s="551" t="s">
        <v>396</v>
      </c>
      <c r="F20" s="552" t="s">
        <v>1418</v>
      </c>
      <c r="G20" s="553" t="s">
        <v>1435</v>
      </c>
      <c r="H20" s="552"/>
      <c r="I20" s="554"/>
      <c r="J20" s="555">
        <f>SUMIF(pi_cri,"*",pi_d)-SUMIF(PE_COG,"*",PE_D)</f>
        <v>2670534.3099999577</v>
      </c>
      <c r="K20" s="553" t="s">
        <v>1430</v>
      </c>
      <c r="L20" s="553" t="s">
        <v>1431</v>
      </c>
      <c r="M20" s="552" t="str">
        <f t="shared" si="0"/>
        <v>liga</v>
      </c>
    </row>
    <row r="21" spans="2:13" outlineLevel="2">
      <c r="B21" s="466">
        <f>+B22+B23+B24</f>
        <v>0</v>
      </c>
      <c r="C21" s="546">
        <v>3</v>
      </c>
      <c r="D21" s="1082" t="s">
        <v>1437</v>
      </c>
      <c r="E21" s="1082"/>
      <c r="F21" s="557"/>
      <c r="G21" s="547"/>
      <c r="H21" s="557"/>
      <c r="I21" s="548"/>
      <c r="J21" s="558"/>
      <c r="K21" s="547"/>
      <c r="L21" s="547"/>
      <c r="M21" s="557"/>
    </row>
    <row r="22" spans="2:13" ht="24" outlineLevel="3">
      <c r="B22" s="466"/>
      <c r="C22" s="549"/>
      <c r="D22" s="550" t="s">
        <v>1427</v>
      </c>
      <c r="E22" s="551" t="s">
        <v>1428</v>
      </c>
      <c r="F22" s="552" t="s">
        <v>1438</v>
      </c>
      <c r="G22" s="553" t="s">
        <v>1439</v>
      </c>
      <c r="H22" s="552"/>
      <c r="I22" s="554"/>
      <c r="J22" s="555">
        <v>0</v>
      </c>
      <c r="K22" s="553" t="s">
        <v>1430</v>
      </c>
      <c r="L22" s="553" t="s">
        <v>1440</v>
      </c>
      <c r="M22" s="552" t="s">
        <v>1441</v>
      </c>
    </row>
    <row r="23" spans="2:13" ht="24" outlineLevel="3">
      <c r="B23" s="466"/>
      <c r="C23" s="549"/>
      <c r="D23" s="550" t="s">
        <v>1432</v>
      </c>
      <c r="E23" s="551" t="s">
        <v>357</v>
      </c>
      <c r="F23" s="552" t="s">
        <v>1438</v>
      </c>
      <c r="G23" s="553" t="s">
        <v>1442</v>
      </c>
      <c r="H23" s="552"/>
      <c r="I23" s="554"/>
      <c r="J23" s="555">
        <v>0</v>
      </c>
      <c r="K23" s="553" t="s">
        <v>1430</v>
      </c>
      <c r="L23" s="553" t="s">
        <v>1440</v>
      </c>
      <c r="M23" s="552" t="s">
        <v>1441</v>
      </c>
    </row>
    <row r="24" spans="2:13" ht="24" outlineLevel="3">
      <c r="B24" s="466"/>
      <c r="C24" s="549"/>
      <c r="D24" s="550" t="s">
        <v>1434</v>
      </c>
      <c r="E24" s="551" t="s">
        <v>396</v>
      </c>
      <c r="F24" s="552" t="s">
        <v>1438</v>
      </c>
      <c r="G24" s="553" t="s">
        <v>1435</v>
      </c>
      <c r="H24" s="552"/>
      <c r="I24" s="554"/>
      <c r="J24" s="555">
        <v>0</v>
      </c>
      <c r="K24" s="553" t="s">
        <v>1430</v>
      </c>
      <c r="L24" s="553" t="s">
        <v>1440</v>
      </c>
      <c r="M24" s="552" t="s">
        <v>1441</v>
      </c>
    </row>
    <row r="25" spans="2:13" outlineLevel="2">
      <c r="B25" s="466">
        <f>+B26+B29+B30+B31</f>
        <v>0</v>
      </c>
      <c r="C25" s="546">
        <v>4</v>
      </c>
      <c r="D25" s="1082" t="s">
        <v>1443</v>
      </c>
      <c r="E25" s="1082"/>
      <c r="F25" s="557"/>
      <c r="G25" s="547"/>
      <c r="H25" s="557"/>
      <c r="I25" s="548"/>
      <c r="J25" s="558"/>
      <c r="K25" s="547"/>
      <c r="L25" s="547"/>
      <c r="M25" s="557"/>
    </row>
    <row r="26" spans="2:13" ht="24" outlineLevel="3">
      <c r="B26" s="466"/>
      <c r="C26" s="559"/>
      <c r="D26" s="560" t="s">
        <v>1427</v>
      </c>
      <c r="E26" s="561" t="s">
        <v>1444</v>
      </c>
      <c r="F26" s="557"/>
      <c r="G26" s="547"/>
      <c r="H26" s="557"/>
      <c r="I26" s="548"/>
      <c r="J26" s="558"/>
      <c r="K26" s="547"/>
      <c r="L26" s="547"/>
      <c r="M26" s="557"/>
    </row>
    <row r="27" spans="2:13" ht="24" outlineLevel="3">
      <c r="B27" s="466"/>
      <c r="C27" s="549"/>
      <c r="D27" s="550"/>
      <c r="E27" s="562" t="s">
        <v>1445</v>
      </c>
      <c r="F27" s="552" t="s">
        <v>1438</v>
      </c>
      <c r="G27" s="553" t="s">
        <v>1446</v>
      </c>
      <c r="H27" s="552"/>
      <c r="I27" s="554"/>
      <c r="J27" s="555">
        <v>0</v>
      </c>
      <c r="K27" s="553" t="s">
        <v>1430</v>
      </c>
      <c r="L27" s="553" t="s">
        <v>1447</v>
      </c>
      <c r="M27" s="552" t="s">
        <v>1441</v>
      </c>
    </row>
    <row r="28" spans="2:13" ht="24" outlineLevel="3">
      <c r="B28" s="466"/>
      <c r="C28" s="549"/>
      <c r="D28" s="550"/>
      <c r="E28" s="562" t="s">
        <v>1448</v>
      </c>
      <c r="F28" s="552" t="s">
        <v>1438</v>
      </c>
      <c r="G28" s="553" t="s">
        <v>1449</v>
      </c>
      <c r="H28" s="552"/>
      <c r="I28" s="554"/>
      <c r="J28" s="555">
        <v>0</v>
      </c>
      <c r="K28" s="553" t="s">
        <v>1430</v>
      </c>
      <c r="L28" s="553" t="s">
        <v>1447</v>
      </c>
      <c r="M28" s="552" t="s">
        <v>1441</v>
      </c>
    </row>
    <row r="29" spans="2:13" ht="36" outlineLevel="3">
      <c r="B29" s="466"/>
      <c r="C29" s="563"/>
      <c r="D29" s="550" t="s">
        <v>1432</v>
      </c>
      <c r="E29" s="551" t="s">
        <v>1450</v>
      </c>
      <c r="F29" s="557"/>
      <c r="G29" s="553" t="s">
        <v>1451</v>
      </c>
      <c r="H29" s="557"/>
      <c r="I29" s="554"/>
      <c r="J29" s="555">
        <v>0</v>
      </c>
      <c r="K29" s="553" t="s">
        <v>1430</v>
      </c>
      <c r="L29" s="553" t="s">
        <v>1447</v>
      </c>
      <c r="M29" s="552" t="s">
        <v>1441</v>
      </c>
    </row>
    <row r="30" spans="2:13" ht="24" outlineLevel="3">
      <c r="B30" s="466"/>
      <c r="C30" s="563"/>
      <c r="D30" s="550" t="s">
        <v>1434</v>
      </c>
      <c r="E30" s="551" t="s">
        <v>1452</v>
      </c>
      <c r="F30" s="557"/>
      <c r="G30" s="553" t="s">
        <v>1453</v>
      </c>
      <c r="H30" s="557"/>
      <c r="I30" s="554"/>
      <c r="J30" s="555">
        <v>0</v>
      </c>
      <c r="K30" s="553" t="s">
        <v>1430</v>
      </c>
      <c r="L30" s="553" t="s">
        <v>1447</v>
      </c>
      <c r="M30" s="552" t="s">
        <v>1441</v>
      </c>
    </row>
    <row r="31" spans="2:13" ht="36" outlineLevel="3">
      <c r="B31" s="466"/>
      <c r="C31" s="563"/>
      <c r="D31" s="550" t="s">
        <v>1454</v>
      </c>
      <c r="E31" s="551" t="s">
        <v>1455</v>
      </c>
      <c r="F31" s="557"/>
      <c r="G31" s="553" t="s">
        <v>1451</v>
      </c>
      <c r="H31" s="557"/>
      <c r="I31" s="554"/>
      <c r="J31" s="555">
        <v>0</v>
      </c>
      <c r="K31" s="553" t="s">
        <v>1430</v>
      </c>
      <c r="L31" s="553" t="s">
        <v>1447</v>
      </c>
      <c r="M31" s="552" t="s">
        <v>1441</v>
      </c>
    </row>
    <row r="32" spans="2:13" outlineLevel="2">
      <c r="B32" s="466">
        <f>+B33+B34</f>
        <v>0</v>
      </c>
      <c r="C32" s="546">
        <v>5</v>
      </c>
      <c r="D32" s="1082" t="s">
        <v>1456</v>
      </c>
      <c r="E32" s="1082"/>
      <c r="F32" s="557"/>
      <c r="G32" s="547"/>
      <c r="H32" s="557"/>
      <c r="I32" s="548"/>
      <c r="J32" s="558"/>
      <c r="K32" s="547"/>
      <c r="L32" s="547"/>
      <c r="M32" s="557"/>
    </row>
    <row r="33" spans="2:13" outlineLevel="3">
      <c r="B33" s="466"/>
      <c r="C33" s="549"/>
      <c r="D33" s="550" t="s">
        <v>1457</v>
      </c>
      <c r="E33" s="551" t="s">
        <v>1458</v>
      </c>
      <c r="F33" s="552" t="s">
        <v>1418</v>
      </c>
      <c r="G33" s="553" t="s">
        <v>1459</v>
      </c>
      <c r="H33" s="552"/>
      <c r="I33" s="554"/>
      <c r="J33" s="555">
        <f>SUMIF(PE_COG,"1*",PE_A)</f>
        <v>59875476.900000006</v>
      </c>
      <c r="K33" s="553" t="s">
        <v>1430</v>
      </c>
      <c r="L33" s="553" t="s">
        <v>1460</v>
      </c>
      <c r="M33" s="552"/>
    </row>
    <row r="34" spans="2:13" ht="24" outlineLevel="3">
      <c r="B34" s="466"/>
      <c r="C34" s="549"/>
      <c r="D34" s="550" t="s">
        <v>1461</v>
      </c>
      <c r="E34" s="551" t="s">
        <v>396</v>
      </c>
      <c r="F34" s="552" t="s">
        <v>1418</v>
      </c>
      <c r="G34" s="553" t="s">
        <v>1459</v>
      </c>
      <c r="H34" s="552"/>
      <c r="I34" s="554"/>
      <c r="J34" s="555">
        <f>SUMIF(PE_COG,"1*",PE_D)</f>
        <v>65924124.189999998</v>
      </c>
      <c r="K34" s="553" t="s">
        <v>1430</v>
      </c>
      <c r="L34" s="553" t="s">
        <v>1462</v>
      </c>
      <c r="M34" s="552"/>
    </row>
    <row r="35" spans="2:13" outlineLevel="2">
      <c r="B35" s="466" t="e">
        <f>+#REF!+B36</f>
        <v>#REF!</v>
      </c>
      <c r="C35" s="546">
        <v>6</v>
      </c>
      <c r="D35" s="1082" t="s">
        <v>1463</v>
      </c>
      <c r="E35" s="1082"/>
      <c r="F35" s="557"/>
      <c r="G35" s="547"/>
      <c r="H35" s="557"/>
      <c r="I35" s="548"/>
      <c r="J35" s="558"/>
      <c r="K35" s="547"/>
      <c r="L35" s="547"/>
      <c r="M35" s="557"/>
    </row>
    <row r="36" spans="2:13" ht="24" outlineLevel="3">
      <c r="B36" s="466"/>
      <c r="C36" s="549"/>
      <c r="D36" s="550" t="s">
        <v>1457</v>
      </c>
      <c r="E36" s="551" t="s">
        <v>1458</v>
      </c>
      <c r="F36" s="552" t="s">
        <v>1438</v>
      </c>
      <c r="G36" s="553" t="s">
        <v>1464</v>
      </c>
      <c r="H36" s="552"/>
      <c r="I36" s="554"/>
      <c r="J36" s="555">
        <v>0</v>
      </c>
      <c r="K36" s="553" t="s">
        <v>1430</v>
      </c>
      <c r="L36" s="553" t="s">
        <v>1465</v>
      </c>
      <c r="M36" s="552" t="s">
        <v>1441</v>
      </c>
    </row>
    <row r="37" spans="2:13" outlineLevel="2">
      <c r="B37" s="466">
        <f>+B38+B39+B40</f>
        <v>0</v>
      </c>
      <c r="C37" s="546">
        <v>7</v>
      </c>
      <c r="D37" s="1082" t="s">
        <v>1466</v>
      </c>
      <c r="E37" s="1082"/>
      <c r="F37" s="557"/>
      <c r="G37" s="547"/>
      <c r="H37" s="557"/>
      <c r="I37" s="548"/>
      <c r="J37" s="558"/>
      <c r="K37" s="547"/>
      <c r="L37" s="547"/>
      <c r="M37" s="557"/>
    </row>
    <row r="38" spans="2:13" ht="24" outlineLevel="3">
      <c r="B38" s="466"/>
      <c r="C38" s="549"/>
      <c r="D38" s="550" t="s">
        <v>1457</v>
      </c>
      <c r="E38" s="551" t="s">
        <v>1428</v>
      </c>
      <c r="F38" s="552" t="s">
        <v>1438</v>
      </c>
      <c r="G38" s="553" t="s">
        <v>1467</v>
      </c>
      <c r="H38" s="552"/>
      <c r="I38" s="554"/>
      <c r="J38" s="555">
        <v>0</v>
      </c>
      <c r="K38" s="553" t="s">
        <v>1430</v>
      </c>
      <c r="L38" s="553" t="s">
        <v>1468</v>
      </c>
      <c r="M38" s="552" t="s">
        <v>1469</v>
      </c>
    </row>
    <row r="39" spans="2:13" ht="24" outlineLevel="3">
      <c r="B39" s="466"/>
      <c r="C39" s="549"/>
      <c r="D39" s="550" t="s">
        <v>1461</v>
      </c>
      <c r="E39" s="551" t="s">
        <v>357</v>
      </c>
      <c r="F39" s="552" t="s">
        <v>1438</v>
      </c>
      <c r="G39" s="553" t="s">
        <v>1446</v>
      </c>
      <c r="H39" s="552"/>
      <c r="I39" s="554"/>
      <c r="J39" s="555">
        <v>0</v>
      </c>
      <c r="K39" s="553" t="s">
        <v>1430</v>
      </c>
      <c r="L39" s="553" t="s">
        <v>1468</v>
      </c>
      <c r="M39" s="552" t="s">
        <v>1469</v>
      </c>
    </row>
    <row r="40" spans="2:13" ht="24" outlineLevel="3">
      <c r="B40" s="466"/>
      <c r="C40" s="549"/>
      <c r="D40" s="550" t="s">
        <v>1434</v>
      </c>
      <c r="E40" s="551" t="s">
        <v>396</v>
      </c>
      <c r="F40" s="552" t="s">
        <v>1438</v>
      </c>
      <c r="G40" s="553" t="s">
        <v>1449</v>
      </c>
      <c r="H40" s="553"/>
      <c r="I40" s="554"/>
      <c r="J40" s="555">
        <v>0</v>
      </c>
      <c r="K40" s="553" t="s">
        <v>1430</v>
      </c>
      <c r="L40" s="553" t="s">
        <v>1468</v>
      </c>
      <c r="M40" s="552" t="s">
        <v>1469</v>
      </c>
    </row>
    <row r="41" spans="2:13" ht="12" customHeight="1" outlineLevel="1">
      <c r="B41" s="466" t="e">
        <f>+B42+B48+B53</f>
        <v>#REF!</v>
      </c>
      <c r="C41" s="1092" t="s">
        <v>1470</v>
      </c>
      <c r="D41" s="1092"/>
      <c r="E41" s="1092"/>
      <c r="F41" s="1092"/>
      <c r="G41" s="1092"/>
      <c r="H41" s="1092"/>
      <c r="I41" s="1092"/>
      <c r="J41" s="1092"/>
      <c r="K41" s="1092"/>
      <c r="L41" s="1092"/>
      <c r="M41" s="1092"/>
    </row>
    <row r="42" spans="2:13" outlineLevel="2">
      <c r="B42" s="466">
        <f>+B43+B44+B45+B46+B47</f>
        <v>0</v>
      </c>
      <c r="C42" s="546">
        <v>1</v>
      </c>
      <c r="D42" s="1082" t="s">
        <v>1429</v>
      </c>
      <c r="E42" s="1082"/>
      <c r="F42" s="547"/>
      <c r="G42" s="548"/>
      <c r="H42" s="547"/>
      <c r="I42" s="548"/>
      <c r="J42" s="547"/>
      <c r="K42" s="547"/>
      <c r="L42" s="547"/>
      <c r="M42" s="547"/>
    </row>
    <row r="43" spans="2:13" ht="36" outlineLevel="3">
      <c r="B43" s="466"/>
      <c r="C43" s="563"/>
      <c r="D43" s="564" t="s">
        <v>1427</v>
      </c>
      <c r="E43" s="551" t="s">
        <v>1471</v>
      </c>
      <c r="F43" s="552" t="s">
        <v>1438</v>
      </c>
      <c r="G43" s="553" t="s">
        <v>1429</v>
      </c>
      <c r="H43" s="552"/>
      <c r="I43" s="554"/>
      <c r="J43" s="557"/>
      <c r="K43" s="547"/>
      <c r="L43" s="553" t="s">
        <v>1472</v>
      </c>
      <c r="M43" s="552" t="s">
        <v>1441</v>
      </c>
    </row>
    <row r="44" spans="2:13" ht="36" outlineLevel="3">
      <c r="B44" s="466"/>
      <c r="C44" s="563"/>
      <c r="D44" s="564" t="s">
        <v>1432</v>
      </c>
      <c r="E44" s="551" t="s">
        <v>1473</v>
      </c>
      <c r="F44" s="552" t="s">
        <v>1418</v>
      </c>
      <c r="G44" s="553" t="s">
        <v>1474</v>
      </c>
      <c r="H44" s="552"/>
      <c r="I44" s="554"/>
      <c r="J44" s="557"/>
      <c r="K44" s="547"/>
      <c r="L44" s="553" t="s">
        <v>1472</v>
      </c>
      <c r="M44" s="556" t="s">
        <v>2966</v>
      </c>
    </row>
    <row r="45" spans="2:13" ht="36" outlineLevel="3">
      <c r="B45" s="466"/>
      <c r="C45" s="563"/>
      <c r="D45" s="564" t="s">
        <v>1434</v>
      </c>
      <c r="E45" s="551" t="s">
        <v>1475</v>
      </c>
      <c r="F45" s="552" t="s">
        <v>1438</v>
      </c>
      <c r="G45" s="553" t="s">
        <v>1429</v>
      </c>
      <c r="H45" s="552"/>
      <c r="I45" s="554"/>
      <c r="J45" s="557"/>
      <c r="K45" s="547"/>
      <c r="L45" s="553" t="s">
        <v>1472</v>
      </c>
      <c r="M45" s="552" t="s">
        <v>1441</v>
      </c>
    </row>
    <row r="46" spans="2:13" ht="36" outlineLevel="3">
      <c r="B46" s="466"/>
      <c r="C46" s="563"/>
      <c r="D46" s="564" t="s">
        <v>1454</v>
      </c>
      <c r="E46" s="551" t="s">
        <v>1476</v>
      </c>
      <c r="F46" s="552" t="s">
        <v>1418</v>
      </c>
      <c r="G46" s="553" t="s">
        <v>1477</v>
      </c>
      <c r="H46" s="552"/>
      <c r="I46" s="554"/>
      <c r="J46" s="557"/>
      <c r="K46" s="547"/>
      <c r="L46" s="553" t="s">
        <v>1472</v>
      </c>
      <c r="M46" s="556" t="s">
        <v>2966</v>
      </c>
    </row>
    <row r="47" spans="2:13" ht="24" outlineLevel="3">
      <c r="B47" s="466"/>
      <c r="C47" s="563"/>
      <c r="D47" s="564" t="s">
        <v>1478</v>
      </c>
      <c r="E47" s="551" t="s">
        <v>1479</v>
      </c>
      <c r="F47" s="552" t="s">
        <v>1418</v>
      </c>
      <c r="G47" s="553" t="s">
        <v>1480</v>
      </c>
      <c r="H47" s="552"/>
      <c r="I47" s="554"/>
      <c r="J47" s="547"/>
      <c r="K47" s="547"/>
      <c r="L47" s="553" t="s">
        <v>1472</v>
      </c>
      <c r="M47" s="556" t="s">
        <v>2966</v>
      </c>
    </row>
    <row r="48" spans="2:13" outlineLevel="2">
      <c r="B48" s="466">
        <f>+B49+B50+B51+B52</f>
        <v>0</v>
      </c>
      <c r="C48" s="546">
        <v>2</v>
      </c>
      <c r="D48" s="1082" t="s">
        <v>1481</v>
      </c>
      <c r="E48" s="1082"/>
      <c r="F48" s="557"/>
      <c r="G48" s="548"/>
      <c r="H48" s="557"/>
      <c r="I48" s="548"/>
      <c r="J48" s="547"/>
      <c r="K48" s="547"/>
      <c r="L48" s="547"/>
      <c r="M48" s="557"/>
    </row>
    <row r="49" spans="2:13" ht="36" outlineLevel="3">
      <c r="B49" s="466"/>
      <c r="C49" s="563"/>
      <c r="D49" s="564" t="s">
        <v>1427</v>
      </c>
      <c r="E49" s="551" t="s">
        <v>1482</v>
      </c>
      <c r="F49" s="552" t="s">
        <v>1438</v>
      </c>
      <c r="G49" s="553" t="s">
        <v>1483</v>
      </c>
      <c r="H49" s="552"/>
      <c r="I49" s="554"/>
      <c r="J49" s="547"/>
      <c r="K49" s="547"/>
      <c r="L49" s="553" t="s">
        <v>1431</v>
      </c>
      <c r="M49" s="552" t="s">
        <v>1484</v>
      </c>
    </row>
    <row r="50" spans="2:13" ht="36" outlineLevel="3">
      <c r="B50" s="466"/>
      <c r="C50" s="563"/>
      <c r="D50" s="564" t="s">
        <v>1432</v>
      </c>
      <c r="E50" s="551" t="s">
        <v>1485</v>
      </c>
      <c r="F50" s="552" t="s">
        <v>1438</v>
      </c>
      <c r="G50" s="553" t="s">
        <v>1483</v>
      </c>
      <c r="H50" s="552"/>
      <c r="I50" s="554"/>
      <c r="J50" s="547"/>
      <c r="K50" s="547"/>
      <c r="L50" s="553" t="s">
        <v>1431</v>
      </c>
      <c r="M50" s="552" t="s">
        <v>1484</v>
      </c>
    </row>
    <row r="51" spans="2:13" ht="36" outlineLevel="3">
      <c r="B51" s="466"/>
      <c r="C51" s="563"/>
      <c r="D51" s="564" t="s">
        <v>1434</v>
      </c>
      <c r="E51" s="551" t="s">
        <v>1486</v>
      </c>
      <c r="F51" s="552" t="s">
        <v>1438</v>
      </c>
      <c r="G51" s="553" t="s">
        <v>1483</v>
      </c>
      <c r="H51" s="552"/>
      <c r="I51" s="554"/>
      <c r="J51" s="547"/>
      <c r="K51" s="547"/>
      <c r="L51" s="553" t="s">
        <v>1431</v>
      </c>
      <c r="M51" s="552" t="s">
        <v>1484</v>
      </c>
    </row>
    <row r="52" spans="2:13" ht="36" outlineLevel="3">
      <c r="B52" s="466"/>
      <c r="C52" s="563"/>
      <c r="D52" s="564" t="s">
        <v>1454</v>
      </c>
      <c r="E52" s="551" t="s">
        <v>1487</v>
      </c>
      <c r="F52" s="552" t="s">
        <v>1438</v>
      </c>
      <c r="G52" s="553" t="s">
        <v>1488</v>
      </c>
      <c r="H52" s="552"/>
      <c r="I52" s="554"/>
      <c r="J52" s="547"/>
      <c r="K52" s="547"/>
      <c r="L52" s="553" t="s">
        <v>1431</v>
      </c>
      <c r="M52" s="552" t="s">
        <v>1484</v>
      </c>
    </row>
    <row r="53" spans="2:13" outlineLevel="2">
      <c r="B53" s="466" t="e">
        <f>+B54+B55+#REF!</f>
        <v>#REF!</v>
      </c>
      <c r="C53" s="546">
        <v>3</v>
      </c>
      <c r="D53" s="1082" t="s">
        <v>1489</v>
      </c>
      <c r="E53" s="1082"/>
      <c r="F53" s="557"/>
      <c r="G53" s="548"/>
      <c r="H53" s="557"/>
      <c r="I53" s="548"/>
      <c r="J53" s="547"/>
      <c r="K53" s="547"/>
      <c r="L53" s="547"/>
      <c r="M53" s="557"/>
    </row>
    <row r="54" spans="2:13" ht="24" outlineLevel="3">
      <c r="B54" s="466"/>
      <c r="C54" s="563"/>
      <c r="D54" s="564" t="s">
        <v>1457</v>
      </c>
      <c r="E54" s="551" t="s">
        <v>1490</v>
      </c>
      <c r="F54" s="552" t="s">
        <v>1438</v>
      </c>
      <c r="G54" s="553" t="s">
        <v>1491</v>
      </c>
      <c r="H54" s="552"/>
      <c r="I54" s="554"/>
      <c r="J54" s="547"/>
      <c r="K54" s="547"/>
      <c r="L54" s="553" t="s">
        <v>1460</v>
      </c>
      <c r="M54" s="552" t="s">
        <v>1441</v>
      </c>
    </row>
    <row r="55" spans="2:13" ht="36" outlineLevel="3">
      <c r="B55" s="466"/>
      <c r="C55" s="563"/>
      <c r="D55" s="564" t="s">
        <v>1461</v>
      </c>
      <c r="E55" s="551" t="s">
        <v>1492</v>
      </c>
      <c r="F55" s="552" t="s">
        <v>1438</v>
      </c>
      <c r="G55" s="553" t="s">
        <v>1491</v>
      </c>
      <c r="H55" s="552"/>
      <c r="I55" s="554"/>
      <c r="J55" s="547"/>
      <c r="K55" s="547"/>
      <c r="L55" s="553" t="s">
        <v>1460</v>
      </c>
      <c r="M55" s="552" t="s">
        <v>1441</v>
      </c>
    </row>
    <row r="56" spans="2:13" ht="12" customHeight="1">
      <c r="B56" s="466" t="e">
        <f>+B57+B64</f>
        <v>#REF!</v>
      </c>
      <c r="C56" s="1089" t="s">
        <v>1493</v>
      </c>
      <c r="D56" s="1090"/>
      <c r="E56" s="1090"/>
      <c r="F56" s="1090"/>
      <c r="G56" s="1090"/>
      <c r="H56" s="1090"/>
      <c r="I56" s="1090"/>
      <c r="J56" s="1090"/>
      <c r="K56" s="1090"/>
      <c r="L56" s="1090"/>
      <c r="M56" s="1091"/>
    </row>
    <row r="57" spans="2:13" ht="12" customHeight="1" outlineLevel="1">
      <c r="B57" s="466" t="e">
        <f>+B58+#REF!</f>
        <v>#REF!</v>
      </c>
      <c r="C57" s="1092" t="s">
        <v>1425</v>
      </c>
      <c r="D57" s="1092"/>
      <c r="E57" s="1092"/>
      <c r="F57" s="1092"/>
      <c r="G57" s="1092"/>
      <c r="H57" s="1092"/>
      <c r="I57" s="1092"/>
      <c r="J57" s="1092"/>
      <c r="K57" s="1092"/>
      <c r="L57" s="1092"/>
      <c r="M57" s="1092"/>
    </row>
    <row r="58" spans="2:13" outlineLevel="2">
      <c r="B58" s="466">
        <f>+B59+B60+B61+B62+B63</f>
        <v>0</v>
      </c>
      <c r="C58" s="546">
        <v>1</v>
      </c>
      <c r="D58" s="1082" t="s">
        <v>1494</v>
      </c>
      <c r="E58" s="1082"/>
      <c r="F58" s="547"/>
      <c r="G58" s="548"/>
      <c r="H58" s="547"/>
      <c r="I58" s="548"/>
      <c r="J58" s="547"/>
      <c r="K58" s="547"/>
      <c r="L58" s="547"/>
      <c r="M58" s="547"/>
    </row>
    <row r="59" spans="2:13" ht="24" outlineLevel="3">
      <c r="B59" s="466"/>
      <c r="C59" s="549"/>
      <c r="D59" s="550" t="s">
        <v>1427</v>
      </c>
      <c r="E59" s="551" t="s">
        <v>1495</v>
      </c>
      <c r="F59" s="552" t="s">
        <v>1438</v>
      </c>
      <c r="G59" s="553" t="s">
        <v>1496</v>
      </c>
      <c r="H59" s="552"/>
      <c r="I59" s="554"/>
      <c r="J59" s="555">
        <v>1577823.9600000083</v>
      </c>
      <c r="K59" s="553" t="s">
        <v>1430</v>
      </c>
      <c r="L59" s="553" t="s">
        <v>1497</v>
      </c>
      <c r="M59" s="556" t="s">
        <v>2966</v>
      </c>
    </row>
    <row r="60" spans="2:13" ht="156" outlineLevel="3">
      <c r="B60" s="466"/>
      <c r="C60" s="549"/>
      <c r="D60" s="550" t="s">
        <v>1432</v>
      </c>
      <c r="E60" s="551" t="s">
        <v>1498</v>
      </c>
      <c r="F60" s="552" t="s">
        <v>1438</v>
      </c>
      <c r="G60" s="553" t="s">
        <v>1499</v>
      </c>
      <c r="H60" s="552"/>
      <c r="I60" s="554"/>
      <c r="J60" s="555">
        <v>0</v>
      </c>
      <c r="K60" s="553" t="s">
        <v>1430</v>
      </c>
      <c r="L60" s="553" t="s">
        <v>1497</v>
      </c>
      <c r="M60" s="552" t="s">
        <v>1500</v>
      </c>
    </row>
    <row r="61" spans="2:13" ht="60" outlineLevel="3">
      <c r="B61" s="466"/>
      <c r="C61" s="549"/>
      <c r="D61" s="550" t="s">
        <v>1434</v>
      </c>
      <c r="E61" s="551" t="s">
        <v>1501</v>
      </c>
      <c r="F61" s="552" t="s">
        <v>1438</v>
      </c>
      <c r="G61" s="553" t="s">
        <v>1499</v>
      </c>
      <c r="H61" s="552"/>
      <c r="I61" s="554"/>
      <c r="J61" s="555">
        <v>0</v>
      </c>
      <c r="K61" s="553" t="s">
        <v>1430</v>
      </c>
      <c r="L61" s="553" t="s">
        <v>1497</v>
      </c>
      <c r="M61" s="552" t="s">
        <v>1502</v>
      </c>
    </row>
    <row r="62" spans="2:13" ht="48" outlineLevel="3">
      <c r="B62" s="466"/>
      <c r="C62" s="549"/>
      <c r="D62" s="550" t="s">
        <v>1454</v>
      </c>
      <c r="E62" s="551" t="s">
        <v>1503</v>
      </c>
      <c r="F62" s="552" t="s">
        <v>1438</v>
      </c>
      <c r="G62" s="553" t="s">
        <v>1499</v>
      </c>
      <c r="H62" s="552"/>
      <c r="I62" s="554"/>
      <c r="J62" s="555">
        <f>+J59-J60-J61</f>
        <v>1577823.9600000083</v>
      </c>
      <c r="K62" s="553" t="s">
        <v>1430</v>
      </c>
      <c r="L62" s="553" t="s">
        <v>1497</v>
      </c>
      <c r="M62" s="552" t="s">
        <v>1504</v>
      </c>
    </row>
    <row r="63" spans="2:13" ht="36" outlineLevel="3">
      <c r="B63" s="466"/>
      <c r="C63" s="549"/>
      <c r="D63" s="550" t="s">
        <v>1478</v>
      </c>
      <c r="E63" s="551" t="s">
        <v>1505</v>
      </c>
      <c r="F63" s="552" t="s">
        <v>1438</v>
      </c>
      <c r="G63" s="553"/>
      <c r="H63" s="552"/>
      <c r="I63" s="554"/>
      <c r="J63" s="555">
        <v>0</v>
      </c>
      <c r="K63" s="553" t="s">
        <v>1430</v>
      </c>
      <c r="L63" s="553" t="s">
        <v>1506</v>
      </c>
      <c r="M63" s="552" t="s">
        <v>1507</v>
      </c>
    </row>
    <row r="64" spans="2:13" ht="12" customHeight="1" outlineLevel="1">
      <c r="B64" s="466">
        <f>+B65+B66+B67</f>
        <v>0</v>
      </c>
      <c r="C64" s="1092" t="s">
        <v>1470</v>
      </c>
      <c r="D64" s="1092"/>
      <c r="E64" s="1092"/>
      <c r="F64" s="1092"/>
      <c r="G64" s="1092"/>
      <c r="H64" s="1092"/>
      <c r="I64" s="1092"/>
      <c r="J64" s="1092"/>
      <c r="K64" s="1092"/>
      <c r="L64" s="1092"/>
      <c r="M64" s="1092"/>
    </row>
    <row r="65" spans="2:13" ht="36" outlineLevel="2">
      <c r="B65" s="466"/>
      <c r="C65" s="549">
        <v>1</v>
      </c>
      <c r="D65" s="1093" t="s">
        <v>1508</v>
      </c>
      <c r="E65" s="1093"/>
      <c r="F65" s="552" t="s">
        <v>1438</v>
      </c>
      <c r="G65" s="553" t="s">
        <v>1509</v>
      </c>
      <c r="H65" s="552"/>
      <c r="I65" s="554"/>
      <c r="J65" s="547"/>
      <c r="K65" s="547"/>
      <c r="L65" s="553" t="s">
        <v>1510</v>
      </c>
      <c r="M65" s="552" t="s">
        <v>1441</v>
      </c>
    </row>
    <row r="66" spans="2:13" ht="36" outlineLevel="2">
      <c r="B66" s="466"/>
      <c r="C66" s="549">
        <v>2</v>
      </c>
      <c r="D66" s="1093" t="s">
        <v>1511</v>
      </c>
      <c r="E66" s="1093"/>
      <c r="F66" s="552" t="s">
        <v>1438</v>
      </c>
      <c r="G66" s="553" t="s">
        <v>1509</v>
      </c>
      <c r="H66" s="552"/>
      <c r="I66" s="554"/>
      <c r="J66" s="547"/>
      <c r="K66" s="547"/>
      <c r="L66" s="553" t="s">
        <v>1510</v>
      </c>
      <c r="M66" s="552" t="s">
        <v>1441</v>
      </c>
    </row>
    <row r="67" spans="2:13" ht="36" outlineLevel="2">
      <c r="B67" s="466"/>
      <c r="C67" s="549">
        <v>3</v>
      </c>
      <c r="D67" s="1093" t="s">
        <v>1512</v>
      </c>
      <c r="E67" s="1093"/>
      <c r="F67" s="552" t="s">
        <v>1438</v>
      </c>
      <c r="G67" s="553" t="s">
        <v>1509</v>
      </c>
      <c r="H67" s="552"/>
      <c r="I67" s="554"/>
      <c r="J67" s="547"/>
      <c r="K67" s="547"/>
      <c r="L67" s="553" t="s">
        <v>1513</v>
      </c>
      <c r="M67" s="552" t="s">
        <v>1441</v>
      </c>
    </row>
    <row r="68" spans="2:13" ht="12" customHeight="1">
      <c r="B68" s="466" t="e">
        <f>+B69+#REF!</f>
        <v>#REF!</v>
      </c>
      <c r="C68" s="1089" t="s">
        <v>1514</v>
      </c>
      <c r="D68" s="1090"/>
      <c r="E68" s="1090"/>
      <c r="F68" s="1090"/>
      <c r="G68" s="1090"/>
      <c r="H68" s="1090"/>
      <c r="I68" s="1090"/>
      <c r="J68" s="1090"/>
      <c r="K68" s="1090"/>
      <c r="L68" s="1090"/>
      <c r="M68" s="1091"/>
    </row>
    <row r="69" spans="2:13" outlineLevel="1">
      <c r="B69" s="466" t="e">
        <f>+B70+#REF!</f>
        <v>#REF!</v>
      </c>
      <c r="C69" s="1092" t="s">
        <v>1425</v>
      </c>
      <c r="D69" s="1092"/>
      <c r="E69" s="1092"/>
      <c r="F69" s="1092"/>
      <c r="G69" s="1092"/>
      <c r="H69" s="1092"/>
      <c r="I69" s="1092"/>
      <c r="J69" s="1092"/>
      <c r="K69" s="1092"/>
      <c r="L69" s="1092"/>
      <c r="M69" s="1092"/>
    </row>
    <row r="70" spans="2:13" outlineLevel="2">
      <c r="B70" s="466">
        <f>+B71+B72</f>
        <v>0</v>
      </c>
      <c r="C70" s="546">
        <v>1</v>
      </c>
      <c r="D70" s="1082" t="s">
        <v>1220</v>
      </c>
      <c r="E70" s="1082"/>
      <c r="F70" s="547"/>
      <c r="G70" s="548"/>
      <c r="H70" s="547"/>
      <c r="I70" s="548"/>
      <c r="J70" s="547"/>
      <c r="K70" s="547"/>
      <c r="L70" s="547"/>
      <c r="M70" s="547"/>
    </row>
    <row r="71" spans="2:13" ht="24" outlineLevel="3">
      <c r="B71" s="466"/>
      <c r="C71" s="549"/>
      <c r="D71" s="550" t="s">
        <v>1427</v>
      </c>
      <c r="E71" s="551" t="s">
        <v>1515</v>
      </c>
      <c r="F71" s="552" t="s">
        <v>1418</v>
      </c>
      <c r="G71" s="553"/>
      <c r="H71" s="552"/>
      <c r="I71" s="554"/>
      <c r="J71" s="555">
        <f>0.06*SUMIF(pi_cri,"*",pi_d)</f>
        <v>5331824.365199999</v>
      </c>
      <c r="K71" s="553" t="s">
        <v>1430</v>
      </c>
      <c r="L71" s="553" t="s">
        <v>1516</v>
      </c>
      <c r="M71" s="552" t="s">
        <v>1517</v>
      </c>
    </row>
    <row r="72" spans="2:13" ht="24" outlineLevel="3">
      <c r="B72" s="466"/>
      <c r="C72" s="549"/>
      <c r="D72" s="550" t="s">
        <v>1432</v>
      </c>
      <c r="E72" s="551" t="s">
        <v>1518</v>
      </c>
      <c r="F72" s="552" t="s">
        <v>1438</v>
      </c>
      <c r="G72" s="553"/>
      <c r="H72" s="552"/>
      <c r="I72" s="554"/>
      <c r="J72" s="555">
        <v>0</v>
      </c>
      <c r="K72" s="553" t="s">
        <v>1430</v>
      </c>
      <c r="L72" s="553" t="s">
        <v>1516</v>
      </c>
      <c r="M72" s="552" t="s">
        <v>1517</v>
      </c>
    </row>
    <row r="73" spans="2:13">
      <c r="B73" s="466"/>
      <c r="C73" s="466"/>
      <c r="D73" s="466"/>
      <c r="E73" s="466"/>
      <c r="F73" s="466"/>
      <c r="G73" s="466"/>
      <c r="H73" s="466"/>
      <c r="I73" s="466"/>
      <c r="J73" s="466"/>
      <c r="K73" s="466"/>
      <c r="L73" s="466"/>
      <c r="M73" s="466"/>
    </row>
    <row r="74" spans="2:13">
      <c r="B74" s="466"/>
      <c r="C74" s="466"/>
      <c r="D74" s="466"/>
      <c r="E74" s="466"/>
      <c r="F74" s="466"/>
      <c r="G74" s="466"/>
      <c r="H74" s="466"/>
      <c r="I74" s="466"/>
      <c r="J74" s="466"/>
      <c r="K74" s="466"/>
      <c r="L74" s="466"/>
      <c r="M74" s="466"/>
    </row>
  </sheetData>
  <mergeCells count="35">
    <mergeCell ref="D70:E70"/>
    <mergeCell ref="C64:M64"/>
    <mergeCell ref="D65:E65"/>
    <mergeCell ref="D66:E66"/>
    <mergeCell ref="D67:E67"/>
    <mergeCell ref="C68:M68"/>
    <mergeCell ref="C69:M69"/>
    <mergeCell ref="D58:E58"/>
    <mergeCell ref="D21:E21"/>
    <mergeCell ref="D25:E25"/>
    <mergeCell ref="D32:E32"/>
    <mergeCell ref="D35:E35"/>
    <mergeCell ref="D37:E37"/>
    <mergeCell ref="C41:M41"/>
    <mergeCell ref="D42:E42"/>
    <mergeCell ref="D48:E48"/>
    <mergeCell ref="D53:E53"/>
    <mergeCell ref="C56:M56"/>
    <mergeCell ref="C57:M57"/>
    <mergeCell ref="D17:E17"/>
    <mergeCell ref="C3:M3"/>
    <mergeCell ref="C4:M4"/>
    <mergeCell ref="C5:M5"/>
    <mergeCell ref="C6:M6"/>
    <mergeCell ref="C7:M7"/>
    <mergeCell ref="C8:E10"/>
    <mergeCell ref="F8:I8"/>
    <mergeCell ref="J8:K8"/>
    <mergeCell ref="L8:L10"/>
    <mergeCell ref="M8:M10"/>
    <mergeCell ref="F9:G9"/>
    <mergeCell ref="H9:I9"/>
    <mergeCell ref="C11:M11"/>
    <mergeCell ref="C12:M12"/>
    <mergeCell ref="D13:E13"/>
  </mergeCells>
  <hyperlinks>
    <hyperlink ref="M14" r:id="rId1" display="http://rendiciondecuentas.tcagto.gob.mx/wp-content/uploads/2016/06/IAPPE_GTO_TCA_00_16.pdf"/>
    <hyperlink ref="M15:M16" r:id="rId2" display="http://rendiciondecuentas.tcagto.gob.mx/wp-content/uploads/2016/06/IAPPE_GTO_TCA_00_16.pdf"/>
    <hyperlink ref="M44" r:id="rId3" display="http://rendiciondecuentas.tcagto.gob.mx/wp-content/uploads/2016/06/IAPPE_GTO_TCA_00_16.pdf"/>
    <hyperlink ref="M46:M47" r:id="rId4" display="http://rendiciondecuentas.tcagto.gob.mx/wp-content/uploads/2016/06/IAPPE_GTO_TCA_00_16.pdf"/>
    <hyperlink ref="M59" r:id="rId5" display="http://rendiciondecuentas.tcagto.gob.mx/wp-content/uploads/2016/06/IAPPE_GTO_TCA_00_16.pdf"/>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showGridLines="0" topLeftCell="D1" workbookViewId="0">
      <selection activeCell="A3" sqref="A3:F79"/>
    </sheetView>
  </sheetViews>
  <sheetFormatPr baseColWidth="10" defaultColWidth="12" defaultRowHeight="11.25"/>
  <cols>
    <col min="1" max="1" width="65.7109375" style="709" customWidth="1"/>
    <col min="2" max="3" width="13.7109375" style="709" customWidth="1"/>
    <col min="4" max="4" width="65.7109375" style="709" customWidth="1"/>
    <col min="5" max="6" width="13.7109375" style="709" customWidth="1"/>
    <col min="7" max="16384" width="12" style="709"/>
  </cols>
  <sheetData>
    <row r="1" spans="1:6" ht="45.95" customHeight="1">
      <c r="A1" s="1094" t="s">
        <v>1585</v>
      </c>
      <c r="B1" s="1095"/>
      <c r="C1" s="1095"/>
      <c r="D1" s="1095"/>
      <c r="E1" s="1095"/>
      <c r="F1" s="1096"/>
    </row>
    <row r="2" spans="1:6" ht="22.5">
      <c r="A2" s="710" t="s">
        <v>384</v>
      </c>
      <c r="B2" s="578" t="s">
        <v>1586</v>
      </c>
      <c r="C2" s="578" t="s">
        <v>1587</v>
      </c>
      <c r="D2" s="710" t="s">
        <v>384</v>
      </c>
      <c r="E2" s="578" t="s">
        <v>1586</v>
      </c>
      <c r="F2" s="578" t="s">
        <v>1587</v>
      </c>
    </row>
    <row r="3" spans="1:6">
      <c r="A3" s="711"/>
      <c r="B3" s="712"/>
      <c r="C3" s="712"/>
      <c r="D3" s="713"/>
      <c r="E3" s="712"/>
      <c r="F3" s="712"/>
    </row>
    <row r="4" spans="1:6">
      <c r="A4" s="714" t="s">
        <v>3</v>
      </c>
      <c r="B4" s="715"/>
      <c r="C4" s="715"/>
      <c r="D4" s="716" t="s">
        <v>35</v>
      </c>
      <c r="E4" s="715"/>
      <c r="F4" s="715"/>
    </row>
    <row r="5" spans="1:6">
      <c r="A5" s="714" t="s">
        <v>1031</v>
      </c>
      <c r="B5" s="717"/>
      <c r="C5" s="717"/>
      <c r="D5" s="716" t="s">
        <v>1032</v>
      </c>
      <c r="E5" s="717"/>
      <c r="F5" s="717"/>
    </row>
    <row r="6" spans="1:6">
      <c r="A6" s="711" t="s">
        <v>1040</v>
      </c>
      <c r="B6" s="715">
        <f ca="1">SUM(B7:B13)</f>
        <v>15692848.699999999</v>
      </c>
      <c r="C6" s="715">
        <f ca="1">SUM(C7:C13)</f>
        <v>11324165.710000001</v>
      </c>
      <c r="D6" s="713" t="s">
        <v>1041</v>
      </c>
      <c r="E6" s="715">
        <f ca="1">SUM(E7:E15)</f>
        <v>5018758.57</v>
      </c>
      <c r="F6" s="715">
        <f ca="1">SUM(F7:F15)</f>
        <v>3380232.33</v>
      </c>
    </row>
    <row r="7" spans="1:6">
      <c r="A7" s="718" t="s">
        <v>1050</v>
      </c>
      <c r="B7" s="717">
        <f ca="1">+'LDF Trim'!E14</f>
        <v>0</v>
      </c>
      <c r="C7" s="717">
        <f ca="1">+'LDF Trim'!F14</f>
        <v>0</v>
      </c>
      <c r="D7" s="719" t="s">
        <v>1051</v>
      </c>
      <c r="E7" s="717">
        <f ca="1">+'LDF Trim'!I14</f>
        <v>1186099.8500000001</v>
      </c>
      <c r="F7" s="717">
        <f ca="1">+'LDF Trim'!J14</f>
        <v>44312.2</v>
      </c>
    </row>
    <row r="8" spans="1:6">
      <c r="A8" s="718" t="s">
        <v>1059</v>
      </c>
      <c r="B8" s="717">
        <f ca="1">+'LDF Trim'!E15</f>
        <v>13450532.83</v>
      </c>
      <c r="C8" s="717">
        <f ca="1">+'LDF Trim'!F15</f>
        <v>11324165.710000001</v>
      </c>
      <c r="D8" s="719" t="s">
        <v>1060</v>
      </c>
      <c r="E8" s="717">
        <f ca="1">+'LDF Trim'!I15</f>
        <v>135009</v>
      </c>
      <c r="F8" s="717">
        <f ca="1">+'LDF Trim'!J15</f>
        <v>168006.59999999998</v>
      </c>
    </row>
    <row r="9" spans="1:6">
      <c r="A9" s="718" t="s">
        <v>1067</v>
      </c>
      <c r="B9" s="717">
        <f ca="1">+'LDF Trim'!E16</f>
        <v>0</v>
      </c>
      <c r="C9" s="717">
        <f ca="1">+'LDF Trim'!F16</f>
        <v>0</v>
      </c>
      <c r="D9" s="719" t="s">
        <v>1068</v>
      </c>
      <c r="E9" s="717">
        <f ca="1">+'LDF Trim'!I16</f>
        <v>0</v>
      </c>
      <c r="F9" s="717">
        <f ca="1">+'LDF Trim'!J16</f>
        <v>0</v>
      </c>
    </row>
    <row r="10" spans="1:6">
      <c r="A10" s="718" t="s">
        <v>1076</v>
      </c>
      <c r="B10" s="717">
        <f ca="1">+'LDF Trim'!E17</f>
        <v>2242315.87</v>
      </c>
      <c r="C10" s="717">
        <f ca="1">+'LDF Trim'!F17</f>
        <v>0</v>
      </c>
      <c r="D10" s="719" t="s">
        <v>1077</v>
      </c>
      <c r="E10" s="717">
        <f ca="1">+'LDF Trim'!I17</f>
        <v>0</v>
      </c>
      <c r="F10" s="717">
        <f ca="1">+'LDF Trim'!J17</f>
        <v>0</v>
      </c>
    </row>
    <row r="11" spans="1:6">
      <c r="A11" s="718" t="s">
        <v>1085</v>
      </c>
      <c r="B11" s="717">
        <f ca="1">+'LDF Trim'!E18</f>
        <v>0</v>
      </c>
      <c r="C11" s="717">
        <f ca="1">+'LDF Trim'!F18</f>
        <v>0</v>
      </c>
      <c r="D11" s="719" t="s">
        <v>1086</v>
      </c>
      <c r="E11" s="717">
        <f ca="1">+'LDF Trim'!I18</f>
        <v>0</v>
      </c>
      <c r="F11" s="717">
        <f ca="1">+'LDF Trim'!J18</f>
        <v>0</v>
      </c>
    </row>
    <row r="12" spans="1:6">
      <c r="A12" s="718" t="s">
        <v>1095</v>
      </c>
      <c r="B12" s="717">
        <f ca="1">+'LDF Trim'!E19</f>
        <v>0</v>
      </c>
      <c r="C12" s="717">
        <f ca="1">+'LDF Trim'!F19</f>
        <v>0</v>
      </c>
      <c r="D12" s="719" t="s">
        <v>1096</v>
      </c>
      <c r="E12" s="717">
        <f ca="1">+'LDF Trim'!I19</f>
        <v>0</v>
      </c>
      <c r="F12" s="717">
        <f ca="1">+'LDF Trim'!J19</f>
        <v>0</v>
      </c>
    </row>
    <row r="13" spans="1:6">
      <c r="A13" s="718" t="s">
        <v>1104</v>
      </c>
      <c r="B13" s="717">
        <f ca="1">+'LDF Trim'!E20</f>
        <v>0</v>
      </c>
      <c r="C13" s="717">
        <f ca="1">+'LDF Trim'!F20</f>
        <v>0</v>
      </c>
      <c r="D13" s="719" t="s">
        <v>1105</v>
      </c>
      <c r="E13" s="717">
        <f ca="1">+'LDF Trim'!I20</f>
        <v>3697649.72</v>
      </c>
      <c r="F13" s="717">
        <f ca="1">+'LDF Trim'!J20</f>
        <v>3137332.29</v>
      </c>
    </row>
    <row r="14" spans="1:6">
      <c r="A14" s="711" t="s">
        <v>1113</v>
      </c>
      <c r="B14" s="715">
        <f ca="1">SUM(B15:B21)</f>
        <v>18249.57</v>
      </c>
      <c r="C14" s="715">
        <f ca="1">SUM(C15:C21)</f>
        <v>18150.45</v>
      </c>
      <c r="D14" s="719" t="s">
        <v>1114</v>
      </c>
      <c r="E14" s="717">
        <f ca="1">+'LDF Trim'!I21</f>
        <v>0</v>
      </c>
      <c r="F14" s="717">
        <f ca="1">+'LDF Trim'!J21</f>
        <v>0</v>
      </c>
    </row>
    <row r="15" spans="1:6">
      <c r="A15" s="718" t="s">
        <v>1122</v>
      </c>
      <c r="B15" s="717">
        <f ca="1">+'LDF Trim'!E22</f>
        <v>0</v>
      </c>
      <c r="C15" s="717">
        <f ca="1">+'LDF Trim'!F22</f>
        <v>0</v>
      </c>
      <c r="D15" s="719" t="s">
        <v>1123</v>
      </c>
      <c r="E15" s="717">
        <f ca="1">+'LDF Trim'!I22</f>
        <v>0</v>
      </c>
      <c r="F15" s="717">
        <f ca="1">+'LDF Trim'!J22</f>
        <v>30581.239999999998</v>
      </c>
    </row>
    <row r="16" spans="1:6">
      <c r="A16" s="718" t="s">
        <v>1130</v>
      </c>
      <c r="B16" s="717">
        <f ca="1">+'LDF Trim'!E23</f>
        <v>18147.43</v>
      </c>
      <c r="C16" s="717">
        <f ca="1">+'LDF Trim'!F23</f>
        <v>18147.43</v>
      </c>
      <c r="D16" s="713" t="s">
        <v>1131</v>
      </c>
      <c r="E16" s="715">
        <f ca="1">SUM(E17:E19)</f>
        <v>0</v>
      </c>
      <c r="F16" s="715">
        <f ca="1">SUM(F17:F19)</f>
        <v>0</v>
      </c>
    </row>
    <row r="17" spans="1:6">
      <c r="A17" s="718" t="s">
        <v>1138</v>
      </c>
      <c r="B17" s="717">
        <f ca="1">+'LDF Trim'!E24</f>
        <v>0.02</v>
      </c>
      <c r="C17" s="717">
        <f ca="1">+'LDF Trim'!F24</f>
        <v>0</v>
      </c>
      <c r="D17" s="719" t="s">
        <v>1139</v>
      </c>
      <c r="E17" s="717">
        <f ca="1">+'LDF Trim'!I24</f>
        <v>0</v>
      </c>
      <c r="F17" s="717">
        <f ca="1">+'LDF Trim'!J24</f>
        <v>0</v>
      </c>
    </row>
    <row r="18" spans="1:6" ht="13.5" customHeight="1">
      <c r="A18" s="718" t="s">
        <v>1146</v>
      </c>
      <c r="B18" s="717">
        <f ca="1">+'LDF Trim'!E25</f>
        <v>0</v>
      </c>
      <c r="C18" s="717">
        <f ca="1">+'LDF Trim'!F25</f>
        <v>0</v>
      </c>
      <c r="D18" s="719" t="s">
        <v>1147</v>
      </c>
      <c r="E18" s="717">
        <f ca="1">+'LDF Trim'!I25</f>
        <v>0</v>
      </c>
      <c r="F18" s="717">
        <f ca="1">+'LDF Trim'!J25</f>
        <v>0</v>
      </c>
    </row>
    <row r="19" spans="1:6">
      <c r="A19" s="718" t="s">
        <v>1154</v>
      </c>
      <c r="B19" s="717">
        <f ca="1">+'LDF Trim'!E26</f>
        <v>0</v>
      </c>
      <c r="C19" s="717">
        <f ca="1">+'LDF Trim'!F26</f>
        <v>0</v>
      </c>
      <c r="D19" s="719" t="s">
        <v>1155</v>
      </c>
      <c r="E19" s="717">
        <f ca="1">+'LDF Trim'!I26</f>
        <v>0</v>
      </c>
      <c r="F19" s="717">
        <f ca="1">+'LDF Trim'!J26</f>
        <v>0</v>
      </c>
    </row>
    <row r="20" spans="1:6">
      <c r="A20" s="718" t="s">
        <v>1162</v>
      </c>
      <c r="B20" s="717">
        <f ca="1">+'LDF Trim'!E27</f>
        <v>0</v>
      </c>
      <c r="C20" s="717">
        <f ca="1">+'LDF Trim'!F27</f>
        <v>0</v>
      </c>
      <c r="D20" s="713" t="s">
        <v>1163</v>
      </c>
      <c r="E20" s="715">
        <f ca="1">SUM(E21:E22)</f>
        <v>0</v>
      </c>
      <c r="F20" s="715">
        <f ca="1">SUM(F21:F22)</f>
        <v>0</v>
      </c>
    </row>
    <row r="21" spans="1:6">
      <c r="A21" s="718" t="s">
        <v>1168</v>
      </c>
      <c r="B21" s="717">
        <f ca="1">+'LDF Trim'!E28</f>
        <v>102.12</v>
      </c>
      <c r="C21" s="717">
        <f ca="1">+'LDF Trim'!F28</f>
        <v>3.02</v>
      </c>
      <c r="D21" s="719" t="s">
        <v>1169</v>
      </c>
      <c r="E21" s="717">
        <f ca="1">+'LDF Trim'!I28</f>
        <v>0</v>
      </c>
      <c r="F21" s="717">
        <f ca="1">+'LDF Trim'!J28</f>
        <v>0</v>
      </c>
    </row>
    <row r="22" spans="1:6">
      <c r="A22" s="711" t="s">
        <v>1174</v>
      </c>
      <c r="B22" s="715">
        <f ca="1">SUM(B23:B27)</f>
        <v>19632.43</v>
      </c>
      <c r="C22" s="715">
        <f ca="1">SUM(C23:C27)</f>
        <v>19509.560000000001</v>
      </c>
      <c r="D22" s="719" t="s">
        <v>1175</v>
      </c>
      <c r="E22" s="717">
        <f ca="1">+'LDF Trim'!I29</f>
        <v>0</v>
      </c>
      <c r="F22" s="717">
        <f ca="1">+'LDF Trim'!J29</f>
        <v>0</v>
      </c>
    </row>
    <row r="23" spans="1:6" ht="22.5">
      <c r="A23" s="718" t="s">
        <v>1179</v>
      </c>
      <c r="B23" s="717">
        <f ca="1">+'LDF Trim'!E30</f>
        <v>19632.43</v>
      </c>
      <c r="C23" s="717">
        <f ca="1">+'LDF Trim'!F30</f>
        <v>19509.560000000001</v>
      </c>
      <c r="D23" s="713" t="s">
        <v>1180</v>
      </c>
      <c r="E23" s="715">
        <f ca="1">+'LDF Trim'!I30</f>
        <v>0</v>
      </c>
      <c r="F23" s="715">
        <f ca="1">+'LDF Trim'!J30</f>
        <v>0</v>
      </c>
    </row>
    <row r="24" spans="1:6">
      <c r="A24" s="718" t="s">
        <v>1184</v>
      </c>
      <c r="B24" s="717">
        <f ca="1">+'LDF Trim'!E31</f>
        <v>0</v>
      </c>
      <c r="C24" s="717">
        <f ca="1">+'LDF Trim'!F31</f>
        <v>0</v>
      </c>
      <c r="D24" s="713" t="s">
        <v>1185</v>
      </c>
      <c r="E24" s="715">
        <f ca="1">SUM(E25:E27)</f>
        <v>18500</v>
      </c>
      <c r="F24" s="715">
        <f ca="1">SUM(F25:F27)</f>
        <v>18500</v>
      </c>
    </row>
    <row r="25" spans="1:6">
      <c r="A25" s="718" t="s">
        <v>1192</v>
      </c>
      <c r="B25" s="717">
        <f ca="1">+'LDF Trim'!E32</f>
        <v>0</v>
      </c>
      <c r="C25" s="717">
        <f ca="1">+'LDF Trim'!F32</f>
        <v>0</v>
      </c>
      <c r="D25" s="719" t="s">
        <v>1193</v>
      </c>
      <c r="E25" s="717">
        <f ca="1">+'LDF Trim'!I32</f>
        <v>0</v>
      </c>
      <c r="F25" s="717">
        <f ca="1">+'LDF Trim'!J32</f>
        <v>0</v>
      </c>
    </row>
    <row r="26" spans="1:6">
      <c r="A26" s="718" t="s">
        <v>1199</v>
      </c>
      <c r="B26" s="717">
        <f ca="1">+'LDF Trim'!E33</f>
        <v>0</v>
      </c>
      <c r="C26" s="717">
        <f ca="1">+'LDF Trim'!F33</f>
        <v>0</v>
      </c>
      <c r="D26" s="719" t="s">
        <v>1200</v>
      </c>
      <c r="E26" s="717">
        <f ca="1">+'LDF Trim'!I33</f>
        <v>0</v>
      </c>
      <c r="F26" s="717">
        <f ca="1">+'LDF Trim'!J33</f>
        <v>0</v>
      </c>
    </row>
    <row r="27" spans="1:6">
      <c r="A27" s="718" t="s">
        <v>1206</v>
      </c>
      <c r="B27" s="717">
        <f ca="1">+'LDF Trim'!E34</f>
        <v>0</v>
      </c>
      <c r="C27" s="717">
        <f ca="1">+'LDF Trim'!F34</f>
        <v>0</v>
      </c>
      <c r="D27" s="719" t="s">
        <v>1207</v>
      </c>
      <c r="E27" s="717">
        <f ca="1">+'LDF Trim'!I34</f>
        <v>18500</v>
      </c>
      <c r="F27" s="717">
        <f ca="1">+'LDF Trim'!J34</f>
        <v>18500</v>
      </c>
    </row>
    <row r="28" spans="1:6" ht="22.5">
      <c r="A28" s="711" t="s">
        <v>1211</v>
      </c>
      <c r="B28" s="715">
        <f ca="1">SUM(B29:B33)</f>
        <v>0</v>
      </c>
      <c r="C28" s="715">
        <f ca="1">SUM(C29:C33)</f>
        <v>0</v>
      </c>
      <c r="D28" s="713" t="s">
        <v>1212</v>
      </c>
      <c r="E28" s="715">
        <f ca="1">SUM(E29:E34)</f>
        <v>0</v>
      </c>
      <c r="F28" s="715">
        <f ca="1">SUM(F29:F34)</f>
        <v>0</v>
      </c>
    </row>
    <row r="29" spans="1:6">
      <c r="A29" s="718" t="s">
        <v>1218</v>
      </c>
      <c r="B29" s="717">
        <f ca="1">+'LDF Trim'!E36</f>
        <v>0</v>
      </c>
      <c r="C29" s="717">
        <f ca="1">+'LDF Trim'!F36</f>
        <v>0</v>
      </c>
      <c r="D29" s="719" t="s">
        <v>1219</v>
      </c>
      <c r="E29" s="717">
        <f ca="1">+'LDF Trim'!I36</f>
        <v>0</v>
      </c>
      <c r="F29" s="717">
        <f ca="1">+'LDF Trim'!J36</f>
        <v>0</v>
      </c>
    </row>
    <row r="30" spans="1:6">
      <c r="A30" s="718" t="s">
        <v>1229</v>
      </c>
      <c r="B30" s="717">
        <f ca="1">+'LDF Trim'!E37</f>
        <v>0</v>
      </c>
      <c r="C30" s="717">
        <f ca="1">+'LDF Trim'!F37</f>
        <v>0</v>
      </c>
      <c r="D30" s="719" t="s">
        <v>1230</v>
      </c>
      <c r="E30" s="717">
        <f ca="1">+'LDF Trim'!I37</f>
        <v>0</v>
      </c>
      <c r="F30" s="717">
        <f ca="1">+'LDF Trim'!J37</f>
        <v>0</v>
      </c>
    </row>
    <row r="31" spans="1:6">
      <c r="A31" s="718" t="s">
        <v>1234</v>
      </c>
      <c r="B31" s="717">
        <f ca="1">+'LDF Trim'!E38</f>
        <v>0</v>
      </c>
      <c r="C31" s="717">
        <f ca="1">+'LDF Trim'!F38</f>
        <v>0</v>
      </c>
      <c r="D31" s="719" t="s">
        <v>1235</v>
      </c>
      <c r="E31" s="717">
        <f ca="1">+'LDF Trim'!I38</f>
        <v>0</v>
      </c>
      <c r="F31" s="717">
        <f ca="1">+'LDF Trim'!J38</f>
        <v>0</v>
      </c>
    </row>
    <row r="32" spans="1:6">
      <c r="A32" s="718" t="s">
        <v>1239</v>
      </c>
      <c r="B32" s="717">
        <f ca="1">+'LDF Trim'!E39</f>
        <v>0</v>
      </c>
      <c r="C32" s="717">
        <f ca="1">+'LDF Trim'!F39</f>
        <v>0</v>
      </c>
      <c r="D32" s="719" t="s">
        <v>1240</v>
      </c>
      <c r="E32" s="717">
        <f ca="1">+'LDF Trim'!I39</f>
        <v>0</v>
      </c>
      <c r="F32" s="717">
        <f ca="1">+'LDF Trim'!J39</f>
        <v>0</v>
      </c>
    </row>
    <row r="33" spans="1:6">
      <c r="A33" s="718" t="s">
        <v>1248</v>
      </c>
      <c r="B33" s="717">
        <f ca="1">+'LDF Trim'!E40</f>
        <v>0</v>
      </c>
      <c r="C33" s="717">
        <f ca="1">+'LDF Trim'!F40</f>
        <v>0</v>
      </c>
      <c r="D33" s="719" t="s">
        <v>1249</v>
      </c>
      <c r="E33" s="717">
        <f ca="1">+'LDF Trim'!I40</f>
        <v>0</v>
      </c>
      <c r="F33" s="717">
        <f ca="1">+'LDF Trim'!J40</f>
        <v>0</v>
      </c>
    </row>
    <row r="34" spans="1:6">
      <c r="A34" s="711" t="s">
        <v>1254</v>
      </c>
      <c r="B34" s="717">
        <f ca="1">+'LDF Trim'!E41</f>
        <v>0</v>
      </c>
      <c r="C34" s="717">
        <f ca="1">+'LDF Trim'!F41</f>
        <v>0</v>
      </c>
      <c r="D34" s="719" t="s">
        <v>1255</v>
      </c>
      <c r="E34" s="717">
        <f ca="1">+'LDF Trim'!I41</f>
        <v>0</v>
      </c>
      <c r="F34" s="717">
        <f ca="1">+'LDF Trim'!J41</f>
        <v>0</v>
      </c>
    </row>
    <row r="35" spans="1:6">
      <c r="A35" s="711" t="s">
        <v>1260</v>
      </c>
      <c r="B35" s="715">
        <f ca="1">SUM(B36:B37)</f>
        <v>0</v>
      </c>
      <c r="C35" s="715">
        <f ca="1">SUM(C36:C37)</f>
        <v>0</v>
      </c>
      <c r="D35" s="713" t="s">
        <v>1261</v>
      </c>
      <c r="E35" s="715">
        <f ca="1">SUM(E36:E38)</f>
        <v>0</v>
      </c>
      <c r="F35" s="715">
        <f ca="1">SUM(F36:F38)</f>
        <v>0</v>
      </c>
    </row>
    <row r="36" spans="1:6" ht="22.5">
      <c r="A36" s="718" t="s">
        <v>1267</v>
      </c>
      <c r="B36" s="717">
        <f ca="1">+'LDF Trim'!E43</f>
        <v>0</v>
      </c>
      <c r="C36" s="717">
        <f ca="1">+'LDF Trim'!F43</f>
        <v>0</v>
      </c>
      <c r="D36" s="719" t="s">
        <v>1268</v>
      </c>
      <c r="E36" s="717">
        <f ca="1">+'LDF Trim'!I43</f>
        <v>0</v>
      </c>
      <c r="F36" s="717">
        <f ca="1">+'LDF Trim'!J43</f>
        <v>0</v>
      </c>
    </row>
    <row r="37" spans="1:6">
      <c r="A37" s="718" t="s">
        <v>1274</v>
      </c>
      <c r="B37" s="717">
        <f ca="1">+'LDF Trim'!E44</f>
        <v>0</v>
      </c>
      <c r="C37" s="717">
        <f ca="1">+'LDF Trim'!F44</f>
        <v>0</v>
      </c>
      <c r="D37" s="719" t="s">
        <v>1275</v>
      </c>
      <c r="E37" s="717">
        <f ca="1">+'LDF Trim'!I44</f>
        <v>0</v>
      </c>
      <c r="F37" s="717">
        <f ca="1">+'LDF Trim'!J44</f>
        <v>0</v>
      </c>
    </row>
    <row r="38" spans="1:6">
      <c r="A38" s="711" t="s">
        <v>1280</v>
      </c>
      <c r="B38" s="717">
        <f ca="1">+'LDF Trim'!E45</f>
        <v>0</v>
      </c>
      <c r="C38" s="717">
        <f ca="1">+'LDF Trim'!F45</f>
        <v>0</v>
      </c>
      <c r="D38" s="719" t="s">
        <v>1281</v>
      </c>
      <c r="E38" s="717">
        <f ca="1">+'LDF Trim'!I45</f>
        <v>0</v>
      </c>
      <c r="F38" s="717">
        <f ca="1">+'LDF Trim'!J45</f>
        <v>0</v>
      </c>
    </row>
    <row r="39" spans="1:6">
      <c r="A39" s="718" t="s">
        <v>1286</v>
      </c>
      <c r="B39" s="717">
        <f ca="1">+'LDF Trim'!E46</f>
        <v>0</v>
      </c>
      <c r="C39" s="717">
        <f ca="1">+'LDF Trim'!F46</f>
        <v>0</v>
      </c>
      <c r="D39" s="713" t="s">
        <v>1287</v>
      </c>
      <c r="E39" s="715">
        <f ca="1">SUM(E40:E42)</f>
        <v>0</v>
      </c>
      <c r="F39" s="715">
        <f ca="1">SUM(F40:F42)</f>
        <v>0</v>
      </c>
    </row>
    <row r="40" spans="1:6">
      <c r="A40" s="718" t="s">
        <v>1291</v>
      </c>
      <c r="B40" s="717">
        <f ca="1">+'LDF Trim'!E47</f>
        <v>0</v>
      </c>
      <c r="C40" s="717">
        <f ca="1">+'LDF Trim'!F47</f>
        <v>0</v>
      </c>
      <c r="D40" s="719" t="s">
        <v>1292</v>
      </c>
      <c r="E40" s="717">
        <f ca="1">+'LDF Trim'!I47</f>
        <v>0</v>
      </c>
      <c r="F40" s="717">
        <f ca="1">+'LDF Trim'!J47</f>
        <v>0</v>
      </c>
    </row>
    <row r="41" spans="1:6">
      <c r="A41" s="718" t="s">
        <v>1295</v>
      </c>
      <c r="B41" s="717">
        <f ca="1">+'LDF Trim'!E48</f>
        <v>0</v>
      </c>
      <c r="C41" s="717">
        <f ca="1">+'LDF Trim'!F48</f>
        <v>0</v>
      </c>
      <c r="D41" s="719" t="s">
        <v>1296</v>
      </c>
      <c r="E41" s="717">
        <f ca="1">+'LDF Trim'!I48</f>
        <v>0</v>
      </c>
      <c r="F41" s="717">
        <f ca="1">+'LDF Trim'!J48</f>
        <v>0</v>
      </c>
    </row>
    <row r="42" spans="1:6">
      <c r="A42" s="718" t="s">
        <v>1301</v>
      </c>
      <c r="B42" s="717">
        <f ca="1">+'LDF Trim'!E49</f>
        <v>0</v>
      </c>
      <c r="C42" s="717">
        <f ca="1">+'LDF Trim'!F49</f>
        <v>0</v>
      </c>
      <c r="D42" s="719" t="s">
        <v>1302</v>
      </c>
      <c r="E42" s="717">
        <f ca="1">+'LDF Trim'!I49</f>
        <v>0</v>
      </c>
      <c r="F42" s="717">
        <f ca="1">+'LDF Trim'!J49</f>
        <v>0</v>
      </c>
    </row>
    <row r="43" spans="1:6">
      <c r="A43" s="711"/>
      <c r="B43" s="717"/>
      <c r="C43" s="717"/>
      <c r="D43" s="713"/>
      <c r="E43" s="717"/>
      <c r="F43" s="717"/>
    </row>
    <row r="44" spans="1:6">
      <c r="A44" s="714" t="s">
        <v>1307</v>
      </c>
      <c r="B44" s="715">
        <f ca="1">B6+B14+B22+B28+B34+B35+B38</f>
        <v>15730730.699999999</v>
      </c>
      <c r="C44" s="715">
        <f ca="1">C6+C14+C22+C28+C34+C35+C38</f>
        <v>11361825.720000001</v>
      </c>
      <c r="D44" s="716" t="s">
        <v>1308</v>
      </c>
      <c r="E44" s="715">
        <f ca="1">E6+E16+E20+E23+E24+E28+E35+E39</f>
        <v>5037258.57</v>
      </c>
      <c r="F44" s="715">
        <f ca="1">F6+F16+F20+F23+F24+F28+F35+F39</f>
        <v>3398732.33</v>
      </c>
    </row>
    <row r="45" spans="1:6">
      <c r="A45" s="714"/>
      <c r="B45" s="717"/>
      <c r="C45" s="717"/>
      <c r="D45" s="716"/>
      <c r="E45" s="717"/>
      <c r="F45" s="717"/>
    </row>
    <row r="46" spans="1:6">
      <c r="A46" s="720" t="s">
        <v>1313</v>
      </c>
      <c r="B46" s="717"/>
      <c r="C46" s="717"/>
      <c r="D46" s="716" t="s">
        <v>1314</v>
      </c>
      <c r="E46" s="717"/>
      <c r="F46" s="717"/>
    </row>
    <row r="47" spans="1:6">
      <c r="A47" s="721" t="s">
        <v>1317</v>
      </c>
      <c r="B47" s="717">
        <f ca="1">+'LDF Trim'!E54</f>
        <v>0</v>
      </c>
      <c r="C47" s="717">
        <f ca="1">+'LDF Trim'!F54</f>
        <v>0</v>
      </c>
      <c r="D47" s="713" t="s">
        <v>1318</v>
      </c>
      <c r="E47" s="717">
        <f ca="1">+'LDF Trim'!I54</f>
        <v>0</v>
      </c>
      <c r="F47" s="717">
        <f ca="1">+'LDF Trim'!J54</f>
        <v>0</v>
      </c>
    </row>
    <row r="48" spans="1:6">
      <c r="A48" s="721" t="s">
        <v>1322</v>
      </c>
      <c r="B48" s="717">
        <f ca="1">+'LDF Trim'!E55</f>
        <v>0</v>
      </c>
      <c r="C48" s="717">
        <f ca="1">+'LDF Trim'!F55</f>
        <v>0</v>
      </c>
      <c r="D48" s="713" t="s">
        <v>1323</v>
      </c>
      <c r="E48" s="717">
        <f ca="1">+'LDF Trim'!I55</f>
        <v>0</v>
      </c>
      <c r="F48" s="717">
        <f ca="1">+'LDF Trim'!J55</f>
        <v>0</v>
      </c>
    </row>
    <row r="49" spans="1:6">
      <c r="A49" s="721" t="s">
        <v>1327</v>
      </c>
      <c r="B49" s="717">
        <f ca="1">+'LDF Trim'!E56</f>
        <v>0</v>
      </c>
      <c r="C49" s="717">
        <f ca="1">+'LDF Trim'!F56</f>
        <v>0</v>
      </c>
      <c r="D49" s="713" t="s">
        <v>1328</v>
      </c>
      <c r="E49" s="717">
        <f ca="1">+'LDF Trim'!I56</f>
        <v>0</v>
      </c>
      <c r="F49" s="717">
        <f ca="1">+'LDF Trim'!J56</f>
        <v>0</v>
      </c>
    </row>
    <row r="50" spans="1:6">
      <c r="A50" s="721" t="s">
        <v>1331</v>
      </c>
      <c r="B50" s="717">
        <f ca="1">+'LDF Trim'!E57</f>
        <v>17883200.050000001</v>
      </c>
      <c r="C50" s="717">
        <f ca="1">+'LDF Trim'!F57</f>
        <v>15855010.120000001</v>
      </c>
      <c r="D50" s="713" t="s">
        <v>1332</v>
      </c>
      <c r="E50" s="717">
        <f ca="1">+'LDF Trim'!I57</f>
        <v>0</v>
      </c>
      <c r="F50" s="717">
        <f ca="1">+'LDF Trim'!J57</f>
        <v>0</v>
      </c>
    </row>
    <row r="51" spans="1:6" ht="12.75" customHeight="1">
      <c r="A51" s="721" t="s">
        <v>1335</v>
      </c>
      <c r="B51" s="717">
        <f ca="1">+'LDF Trim'!E58</f>
        <v>12948932.159999998</v>
      </c>
      <c r="C51" s="717">
        <f ca="1">+'LDF Trim'!F58</f>
        <v>12823516.859999999</v>
      </c>
      <c r="D51" s="713" t="s">
        <v>1336</v>
      </c>
      <c r="E51" s="717">
        <f ca="1">+'LDF Trim'!I58</f>
        <v>0</v>
      </c>
      <c r="F51" s="717">
        <f ca="1">+'LDF Trim'!J58</f>
        <v>0</v>
      </c>
    </row>
    <row r="52" spans="1:6">
      <c r="A52" s="721" t="s">
        <v>1339</v>
      </c>
      <c r="B52" s="717">
        <f ca="1">+'LDF Trim'!E59</f>
        <v>-10699176.560000001</v>
      </c>
      <c r="C52" s="717">
        <f ca="1">+'LDF Trim'!F59</f>
        <v>-8858009.2199999988</v>
      </c>
      <c r="D52" s="713" t="s">
        <v>1340</v>
      </c>
      <c r="E52" s="717">
        <f ca="1">+'LDF Trim'!I59</f>
        <v>2233972.39</v>
      </c>
      <c r="F52" s="717">
        <f ca="1">+'LDF Trim'!J59</f>
        <v>2058413.68</v>
      </c>
    </row>
    <row r="53" spans="1:6">
      <c r="A53" s="721" t="s">
        <v>1343</v>
      </c>
      <c r="B53" s="717">
        <f ca="1">+'LDF Trim'!E60</f>
        <v>35200</v>
      </c>
      <c r="C53" s="717">
        <f ca="1">+'LDF Trim'!F60</f>
        <v>45485.72</v>
      </c>
      <c r="D53" s="716"/>
      <c r="E53" s="717"/>
      <c r="F53" s="717"/>
    </row>
    <row r="54" spans="1:6">
      <c r="A54" s="721" t="s">
        <v>1346</v>
      </c>
      <c r="B54" s="717">
        <f ca="1">+'LDF Trim'!E61</f>
        <v>0</v>
      </c>
      <c r="C54" s="717">
        <f ca="1">+'LDF Trim'!F61</f>
        <v>0</v>
      </c>
      <c r="D54" s="716" t="s">
        <v>1347</v>
      </c>
      <c r="E54" s="715">
        <f ca="1">SUM(E47:E52)</f>
        <v>2233972.39</v>
      </c>
      <c r="F54" s="715">
        <f ca="1">SUM(F47:F52)</f>
        <v>2058413.68</v>
      </c>
    </row>
    <row r="55" spans="1:6">
      <c r="A55" s="721" t="s">
        <v>1350</v>
      </c>
      <c r="B55" s="717">
        <f ca="1">+'LDF Trim'!E62</f>
        <v>0</v>
      </c>
      <c r="C55" s="717">
        <f ca="1">+'LDF Trim'!F62</f>
        <v>0</v>
      </c>
      <c r="D55" s="722"/>
      <c r="E55" s="717"/>
      <c r="F55" s="717"/>
    </row>
    <row r="56" spans="1:6">
      <c r="A56" s="721"/>
      <c r="B56" s="717"/>
      <c r="C56" s="717"/>
      <c r="D56" s="716" t="s">
        <v>1353</v>
      </c>
      <c r="E56" s="715">
        <f ca="1">E44+E54</f>
        <v>7271230.9600000009</v>
      </c>
      <c r="F56" s="715">
        <f ca="1">F44+F54</f>
        <v>5457146.0099999998</v>
      </c>
    </row>
    <row r="57" spans="1:6">
      <c r="A57" s="720" t="s">
        <v>1357</v>
      </c>
      <c r="B57" s="715">
        <f ca="1">SUM(B47:B55)</f>
        <v>20168155.649999999</v>
      </c>
      <c r="C57" s="715">
        <f ca="1">SUM(C47:C55)</f>
        <v>19866003.48</v>
      </c>
      <c r="D57" s="713"/>
      <c r="E57" s="717"/>
      <c r="F57" s="717"/>
    </row>
    <row r="58" spans="1:6">
      <c r="A58" s="721"/>
      <c r="B58" s="717"/>
      <c r="C58" s="717"/>
      <c r="D58" s="716" t="s">
        <v>1361</v>
      </c>
      <c r="E58" s="717"/>
      <c r="F58" s="717"/>
    </row>
    <row r="59" spans="1:6">
      <c r="A59" s="720" t="s">
        <v>1364</v>
      </c>
      <c r="B59" s="715">
        <f ca="1">B44+B57</f>
        <v>35898886.349999994</v>
      </c>
      <c r="C59" s="715">
        <f ca="1">C44+C57</f>
        <v>31227829.200000003</v>
      </c>
      <c r="D59" s="716"/>
      <c r="E59" s="717"/>
      <c r="F59" s="717"/>
    </row>
    <row r="60" spans="1:6">
      <c r="A60" s="721"/>
      <c r="B60" s="717"/>
      <c r="C60" s="717"/>
      <c r="D60" s="716" t="s">
        <v>1367</v>
      </c>
      <c r="E60" s="715">
        <f ca="1">SUM(E61:E63)</f>
        <v>27577726.700000003</v>
      </c>
      <c r="F60" s="715">
        <f ca="1">SUM(F61:F63)</f>
        <v>26724265.559999999</v>
      </c>
    </row>
    <row r="61" spans="1:6">
      <c r="A61" s="721"/>
      <c r="B61" s="717"/>
      <c r="C61" s="717"/>
      <c r="D61" s="713" t="s">
        <v>1370</v>
      </c>
      <c r="E61" s="717">
        <f ca="1">+'LDF Trim'!I68</f>
        <v>27577726.700000003</v>
      </c>
      <c r="F61" s="717">
        <f ca="1">+'LDF Trim'!J68</f>
        <v>26724265.559999999</v>
      </c>
    </row>
    <row r="62" spans="1:6">
      <c r="A62" s="721"/>
      <c r="B62" s="717"/>
      <c r="C62" s="717"/>
      <c r="D62" s="713" t="s">
        <v>1372</v>
      </c>
      <c r="E62" s="717">
        <f ca="1">+'LDF Trim'!I69</f>
        <v>0</v>
      </c>
      <c r="F62" s="717">
        <f ca="1">+'LDF Trim'!J69</f>
        <v>0</v>
      </c>
    </row>
    <row r="63" spans="1:6">
      <c r="A63" s="721"/>
      <c r="B63" s="717"/>
      <c r="C63" s="717"/>
      <c r="D63" s="713" t="s">
        <v>1375</v>
      </c>
      <c r="E63" s="717">
        <f ca="1">+'LDF Trim'!I70</f>
        <v>0</v>
      </c>
      <c r="F63" s="717">
        <f ca="1">+'LDF Trim'!J70</f>
        <v>0</v>
      </c>
    </row>
    <row r="64" spans="1:6">
      <c r="A64" s="721"/>
      <c r="B64" s="717"/>
      <c r="C64" s="717"/>
      <c r="D64" s="713"/>
      <c r="E64" s="717"/>
      <c r="F64" s="717"/>
    </row>
    <row r="65" spans="1:6">
      <c r="A65" s="721"/>
      <c r="B65" s="717"/>
      <c r="C65" s="717"/>
      <c r="D65" s="716" t="s">
        <v>1380</v>
      </c>
      <c r="E65" s="715">
        <f ca="1">SUM(E66:E70)</f>
        <v>1049928.6900000083</v>
      </c>
      <c r="F65" s="715">
        <f ca="1">SUM(F66:F70)</f>
        <v>-953582.36999997729</v>
      </c>
    </row>
    <row r="66" spans="1:6">
      <c r="A66" s="721"/>
      <c r="B66" s="717"/>
      <c r="C66" s="717"/>
      <c r="D66" s="713" t="s">
        <v>1382</v>
      </c>
      <c r="E66" s="717">
        <f ca="1">+'LDF Trim'!I73</f>
        <v>394466.96000000834</v>
      </c>
      <c r="F66" s="717">
        <f ca="1">+'LDF Trim'!J73</f>
        <v>-1484625.6799999774</v>
      </c>
    </row>
    <row r="67" spans="1:6">
      <c r="A67" s="721"/>
      <c r="B67" s="717"/>
      <c r="C67" s="717"/>
      <c r="D67" s="713" t="s">
        <v>1385</v>
      </c>
      <c r="E67" s="717">
        <f ca="1">+'LDF Trim'!I74</f>
        <v>655461.73</v>
      </c>
      <c r="F67" s="717">
        <f ca="1">+'LDF Trim'!J74</f>
        <v>531043.31000000006</v>
      </c>
    </row>
    <row r="68" spans="1:6">
      <c r="A68" s="721"/>
      <c r="B68" s="717"/>
      <c r="C68" s="717"/>
      <c r="D68" s="713" t="s">
        <v>1388</v>
      </c>
      <c r="E68" s="717">
        <f ca="1">+'LDF Trim'!I75</f>
        <v>0</v>
      </c>
      <c r="F68" s="717">
        <f ca="1">+'LDF Trim'!J75</f>
        <v>0</v>
      </c>
    </row>
    <row r="69" spans="1:6">
      <c r="A69" s="721"/>
      <c r="B69" s="717"/>
      <c r="C69" s="717"/>
      <c r="D69" s="713" t="s">
        <v>1392</v>
      </c>
      <c r="E69" s="717">
        <f ca="1">+'LDF Trim'!I76</f>
        <v>0</v>
      </c>
      <c r="F69" s="717">
        <f ca="1">+'LDF Trim'!J76</f>
        <v>0</v>
      </c>
    </row>
    <row r="70" spans="1:6">
      <c r="A70" s="721"/>
      <c r="B70" s="717"/>
      <c r="C70" s="717"/>
      <c r="D70" s="713" t="s">
        <v>1395</v>
      </c>
      <c r="E70" s="717">
        <f ca="1">+'LDF Trim'!I77</f>
        <v>0</v>
      </c>
      <c r="F70" s="717">
        <f ca="1">+'LDF Trim'!J77</f>
        <v>0</v>
      </c>
    </row>
    <row r="71" spans="1:6">
      <c r="A71" s="721"/>
      <c r="B71" s="717"/>
      <c r="C71" s="717"/>
      <c r="D71" s="713"/>
      <c r="E71" s="717"/>
      <c r="F71" s="717"/>
    </row>
    <row r="72" spans="1:6" ht="22.5">
      <c r="A72" s="721"/>
      <c r="B72" s="717"/>
      <c r="C72" s="717"/>
      <c r="D72" s="716" t="s">
        <v>1588</v>
      </c>
      <c r="E72" s="715">
        <f ca="1">SUM(E73:E74)</f>
        <v>0</v>
      </c>
      <c r="F72" s="715">
        <f ca="1">SUM(F73:F74)</f>
        <v>0</v>
      </c>
    </row>
    <row r="73" spans="1:6">
      <c r="A73" s="721"/>
      <c r="B73" s="717"/>
      <c r="C73" s="717"/>
      <c r="D73" s="713" t="s">
        <v>1401</v>
      </c>
      <c r="E73" s="717">
        <f ca="1">+'LDF Trim'!I80</f>
        <v>0</v>
      </c>
      <c r="F73" s="717">
        <f ca="1">+'LDF Trim'!J80</f>
        <v>0</v>
      </c>
    </row>
    <row r="74" spans="1:6">
      <c r="A74" s="721"/>
      <c r="B74" s="717"/>
      <c r="C74" s="717"/>
      <c r="D74" s="713" t="s">
        <v>1404</v>
      </c>
      <c r="E74" s="717">
        <f ca="1">+'LDF Trim'!I81</f>
        <v>0</v>
      </c>
      <c r="F74" s="717">
        <f ca="1">+'LDF Trim'!J81</f>
        <v>0</v>
      </c>
    </row>
    <row r="75" spans="1:6">
      <c r="A75" s="721"/>
      <c r="B75" s="717"/>
      <c r="C75" s="717"/>
      <c r="D75" s="713"/>
      <c r="E75" s="717"/>
      <c r="F75" s="717"/>
    </row>
    <row r="76" spans="1:6">
      <c r="A76" s="721"/>
      <c r="B76" s="717"/>
      <c r="C76" s="717"/>
      <c r="D76" s="716" t="s">
        <v>1407</v>
      </c>
      <c r="E76" s="715">
        <f ca="1">E60+E65+E72</f>
        <v>28627655.390000012</v>
      </c>
      <c r="F76" s="715">
        <f ca="1">F60+F65+F72</f>
        <v>25770683.19000002</v>
      </c>
    </row>
    <row r="77" spans="1:6">
      <c r="A77" s="721"/>
      <c r="B77" s="717"/>
      <c r="C77" s="717"/>
      <c r="D77" s="713"/>
      <c r="E77" s="717"/>
      <c r="F77" s="717"/>
    </row>
    <row r="78" spans="1:6">
      <c r="A78" s="721"/>
      <c r="B78" s="717"/>
      <c r="C78" s="717"/>
      <c r="D78" s="716" t="s">
        <v>1411</v>
      </c>
      <c r="E78" s="715">
        <f ca="1">E56+E76</f>
        <v>35898886.350000009</v>
      </c>
      <c r="F78" s="715">
        <f ca="1">F56+F76</f>
        <v>31227829.200000018</v>
      </c>
    </row>
    <row r="79" spans="1:6">
      <c r="A79" s="723"/>
      <c r="B79" s="724"/>
      <c r="C79" s="724"/>
      <c r="D79" s="725"/>
      <c r="E79" s="724"/>
      <c r="F79" s="724"/>
    </row>
  </sheetData>
  <mergeCells count="1">
    <mergeCell ref="A1:F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
  <sheetViews>
    <sheetView topLeftCell="C1" workbookViewId="0">
      <selection activeCell="B13" sqref="B13:F13"/>
    </sheetView>
  </sheetViews>
  <sheetFormatPr baseColWidth="10" defaultColWidth="12" defaultRowHeight="11.25"/>
  <cols>
    <col min="1" max="1" width="55.140625" style="709" customWidth="1"/>
    <col min="2" max="2" width="17.28515625" style="709" customWidth="1"/>
    <col min="3" max="4" width="17.7109375" style="709" customWidth="1"/>
    <col min="5" max="5" width="18.7109375" style="709" customWidth="1"/>
    <col min="6" max="7" width="17.7109375" style="709" customWidth="1"/>
    <col min="8" max="8" width="23.7109375" style="709" customWidth="1"/>
    <col min="9" max="16384" width="12" style="709"/>
  </cols>
  <sheetData>
    <row r="1" spans="1:8" ht="45.95" customHeight="1">
      <c r="A1" s="1097" t="s">
        <v>1589</v>
      </c>
      <c r="B1" s="1098"/>
      <c r="C1" s="1098"/>
      <c r="D1" s="1098"/>
      <c r="E1" s="1098"/>
      <c r="F1" s="1098"/>
      <c r="G1" s="1098"/>
      <c r="H1" s="1099"/>
    </row>
    <row r="2" spans="1:8" ht="33.75">
      <c r="A2" s="726" t="s">
        <v>1590</v>
      </c>
      <c r="B2" s="726" t="s">
        <v>1591</v>
      </c>
      <c r="C2" s="726" t="s">
        <v>1592</v>
      </c>
      <c r="D2" s="726" t="s">
        <v>1593</v>
      </c>
      <c r="E2" s="726" t="s">
        <v>1594</v>
      </c>
      <c r="F2" s="726" t="s">
        <v>1595</v>
      </c>
      <c r="G2" s="726" t="s">
        <v>1596</v>
      </c>
      <c r="H2" s="726" t="s">
        <v>1597</v>
      </c>
    </row>
    <row r="3" spans="1:8" ht="5.0999999999999996" customHeight="1">
      <c r="A3" s="727"/>
      <c r="B3" s="728"/>
      <c r="C3" s="728"/>
      <c r="D3" s="728"/>
      <c r="E3" s="728"/>
      <c r="F3" s="728"/>
      <c r="G3" s="728"/>
      <c r="H3" s="728"/>
    </row>
    <row r="4" spans="1:8">
      <c r="A4" s="729" t="s">
        <v>1033</v>
      </c>
      <c r="B4" s="376">
        <f ca="1">+B5+B9</f>
        <v>0</v>
      </c>
      <c r="C4" s="376">
        <f t="shared" ref="C4:H4" ca="1" si="0">+C5+C9</f>
        <v>0</v>
      </c>
      <c r="D4" s="376">
        <f t="shared" ca="1" si="0"/>
        <v>0</v>
      </c>
      <c r="E4" s="376">
        <f t="shared" ca="1" si="0"/>
        <v>0</v>
      </c>
      <c r="F4" s="376">
        <f t="shared" ca="1" si="0"/>
        <v>0</v>
      </c>
      <c r="G4" s="376">
        <f t="shared" ca="1" si="0"/>
        <v>0</v>
      </c>
      <c r="H4" s="376">
        <f t="shared" ca="1" si="0"/>
        <v>0</v>
      </c>
    </row>
    <row r="5" spans="1:8">
      <c r="A5" s="729" t="s">
        <v>1042</v>
      </c>
      <c r="B5" s="376">
        <f ca="1">SUM(B6:B8)</f>
        <v>0</v>
      </c>
      <c r="C5" s="376">
        <f t="shared" ref="C5:H5" si="1">SUM(C6:C8)</f>
        <v>0</v>
      </c>
      <c r="D5" s="376">
        <f t="shared" ca="1" si="1"/>
        <v>0</v>
      </c>
      <c r="E5" s="376">
        <f t="shared" ca="1" si="1"/>
        <v>0</v>
      </c>
      <c r="F5" s="376">
        <f t="shared" ca="1" si="1"/>
        <v>0</v>
      </c>
      <c r="G5" s="376">
        <f t="shared" ca="1" si="1"/>
        <v>0</v>
      </c>
      <c r="H5" s="376">
        <f t="shared" ca="1" si="1"/>
        <v>0</v>
      </c>
    </row>
    <row r="6" spans="1:8">
      <c r="A6" s="730" t="s">
        <v>1052</v>
      </c>
      <c r="B6" s="378">
        <f ca="1">+'LDF Trim'!Q13</f>
        <v>0</v>
      </c>
      <c r="C6" s="378"/>
      <c r="D6" s="378">
        <f ca="1">+'LDF Trim'!S13</f>
        <v>0</v>
      </c>
      <c r="E6" s="378">
        <f ca="1">+'LDF Trim'!T13</f>
        <v>0</v>
      </c>
      <c r="F6" s="378">
        <f ca="1">+'LDF Trim'!U13</f>
        <v>0</v>
      </c>
      <c r="G6" s="378">
        <f ca="1">+'LDF Trim'!V13</f>
        <v>0</v>
      </c>
      <c r="H6" s="378">
        <f ca="1">+'LDF Trim'!W13</f>
        <v>0</v>
      </c>
    </row>
    <row r="7" spans="1:8">
      <c r="A7" s="730" t="s">
        <v>1061</v>
      </c>
      <c r="B7" s="378">
        <f ca="1">+'LDF Trim'!Q14</f>
        <v>0</v>
      </c>
      <c r="C7" s="378"/>
      <c r="D7" s="378">
        <f ca="1">+'LDF Trim'!S14</f>
        <v>0</v>
      </c>
      <c r="E7" s="378">
        <f ca="1">+'LDF Trim'!T14</f>
        <v>0</v>
      </c>
      <c r="F7" s="378">
        <f ca="1">+'LDF Trim'!U14</f>
        <v>0</v>
      </c>
      <c r="G7" s="378">
        <f>+'LDF Trim'!V14</f>
        <v>0</v>
      </c>
      <c r="H7" s="378">
        <f>+'LDF Trim'!W14</f>
        <v>0</v>
      </c>
    </row>
    <row r="8" spans="1:8">
      <c r="A8" s="730" t="s">
        <v>1069</v>
      </c>
      <c r="B8" s="378">
        <f ca="1">+'LDF Trim'!Q15</f>
        <v>0</v>
      </c>
      <c r="C8" s="378"/>
      <c r="D8" s="378">
        <f ca="1">+'LDF Trim'!S15</f>
        <v>0</v>
      </c>
      <c r="E8" s="378">
        <f ca="1">+'LDF Trim'!T15</f>
        <v>0</v>
      </c>
      <c r="F8" s="378">
        <f ca="1">+'LDF Trim'!U15</f>
        <v>0</v>
      </c>
      <c r="G8" s="378">
        <f>+'LDF Trim'!V15</f>
        <v>0</v>
      </c>
      <c r="H8" s="378">
        <f>+'LDF Trim'!W15</f>
        <v>0</v>
      </c>
    </row>
    <row r="9" spans="1:8">
      <c r="A9" s="729" t="s">
        <v>1078</v>
      </c>
      <c r="B9" s="376">
        <f ca="1">SUM(B10:B12)</f>
        <v>0</v>
      </c>
      <c r="C9" s="376">
        <f t="shared" ref="C9:H9" ca="1" si="2">SUM(C10:C12)</f>
        <v>0</v>
      </c>
      <c r="D9" s="376">
        <f t="shared" si="2"/>
        <v>0</v>
      </c>
      <c r="E9" s="376">
        <f t="shared" ca="1" si="2"/>
        <v>0</v>
      </c>
      <c r="F9" s="376">
        <f t="shared" ref="F9" ca="1" si="3">SUM(F10:F12)</f>
        <v>0</v>
      </c>
      <c r="G9" s="376">
        <f t="shared" si="2"/>
        <v>0</v>
      </c>
      <c r="H9" s="376">
        <f t="shared" si="2"/>
        <v>0</v>
      </c>
    </row>
    <row r="10" spans="1:8">
      <c r="A10" s="730" t="s">
        <v>1087</v>
      </c>
      <c r="B10" s="378">
        <f ca="1">+'LDF Trim'!Q17</f>
        <v>0</v>
      </c>
      <c r="C10" s="378">
        <f ca="1">+'LDF Trim'!R17</f>
        <v>0</v>
      </c>
      <c r="D10" s="378"/>
      <c r="E10" s="378">
        <f ca="1">+'LDF Trim'!T17</f>
        <v>0</v>
      </c>
      <c r="F10" s="378">
        <f ca="1">+'LDF Trim'!U17</f>
        <v>0</v>
      </c>
      <c r="G10" s="378"/>
      <c r="H10" s="378"/>
    </row>
    <row r="11" spans="1:8">
      <c r="A11" s="730" t="s">
        <v>1097</v>
      </c>
      <c r="B11" s="378">
        <f ca="1">+'LDF Trim'!Q18</f>
        <v>0</v>
      </c>
      <c r="C11" s="378">
        <f ca="1">+'LDF Trim'!R18</f>
        <v>0</v>
      </c>
      <c r="D11" s="378"/>
      <c r="E11" s="378">
        <f ca="1">+'LDF Trim'!T18</f>
        <v>0</v>
      </c>
      <c r="F11" s="378">
        <f ca="1">+'LDF Trim'!U18</f>
        <v>0</v>
      </c>
      <c r="G11" s="378"/>
      <c r="H11" s="378"/>
    </row>
    <row r="12" spans="1:8">
      <c r="A12" s="730" t="s">
        <v>1106</v>
      </c>
      <c r="B12" s="378">
        <f ca="1">+'LDF Trim'!Q19</f>
        <v>0</v>
      </c>
      <c r="C12" s="378">
        <f ca="1">+'LDF Trim'!R19</f>
        <v>0</v>
      </c>
      <c r="D12" s="378"/>
      <c r="E12" s="378">
        <f ca="1">+'LDF Trim'!T19</f>
        <v>0</v>
      </c>
      <c r="F12" s="378">
        <f ca="1">+'LDF Trim'!U19</f>
        <v>0</v>
      </c>
      <c r="G12" s="378"/>
      <c r="H12" s="378"/>
    </row>
    <row r="13" spans="1:8">
      <c r="A13" s="729" t="s">
        <v>1115</v>
      </c>
      <c r="B13" s="376">
        <f ca="1">+'LDF Trim'!Q20</f>
        <v>5457146.0099999998</v>
      </c>
      <c r="C13" s="731"/>
      <c r="D13" s="731"/>
      <c r="E13" s="731"/>
      <c r="F13" s="376">
        <f ca="1">+'LDF Trim'!U20</f>
        <v>7271230.9600000009</v>
      </c>
      <c r="G13" s="731"/>
      <c r="H13" s="731"/>
    </row>
    <row r="14" spans="1:8" ht="5.0999999999999996" customHeight="1">
      <c r="A14" s="729"/>
      <c r="B14" s="376"/>
      <c r="C14" s="376"/>
      <c r="D14" s="376"/>
      <c r="E14" s="376"/>
      <c r="F14" s="376"/>
      <c r="G14" s="376"/>
      <c r="H14" s="376"/>
    </row>
    <row r="15" spans="1:8" ht="16.5" customHeight="1">
      <c r="A15" s="729" t="s">
        <v>1132</v>
      </c>
      <c r="B15" s="376">
        <f ca="1">+B4+B13</f>
        <v>5457146.0099999998</v>
      </c>
      <c r="C15" s="376">
        <f ca="1">+C4</f>
        <v>0</v>
      </c>
      <c r="D15" s="376">
        <f ca="1">+D4</f>
        <v>0</v>
      </c>
      <c r="E15" s="376">
        <f ca="1">+E4</f>
        <v>0</v>
      </c>
      <c r="F15" s="376">
        <f ca="1">+F4+F13</f>
        <v>7271230.9600000009</v>
      </c>
      <c r="G15" s="376">
        <f ca="1">+G4</f>
        <v>0</v>
      </c>
      <c r="H15" s="376">
        <f ca="1">+H4</f>
        <v>0</v>
      </c>
    </row>
    <row r="16" spans="1:8" ht="5.0999999999999996" customHeight="1">
      <c r="A16" s="729"/>
      <c r="B16" s="376"/>
      <c r="C16" s="376"/>
      <c r="D16" s="376"/>
      <c r="E16" s="376"/>
      <c r="F16" s="376"/>
      <c r="G16" s="376"/>
      <c r="H16" s="376"/>
    </row>
    <row r="17" spans="1:8" ht="16.5" customHeight="1">
      <c r="A17" s="729" t="s">
        <v>1598</v>
      </c>
      <c r="B17" s="376">
        <f>SUM(B18:B20)</f>
        <v>0</v>
      </c>
      <c r="C17" s="376">
        <f t="shared" ref="C17:H17" si="4">SUM(C18:C20)</f>
        <v>0</v>
      </c>
      <c r="D17" s="376">
        <f t="shared" si="4"/>
        <v>0</v>
      </c>
      <c r="E17" s="376">
        <f t="shared" si="4"/>
        <v>0</v>
      </c>
      <c r="F17" s="376">
        <f t="shared" si="4"/>
        <v>0</v>
      </c>
      <c r="G17" s="376">
        <f t="shared" si="4"/>
        <v>0</v>
      </c>
      <c r="H17" s="376">
        <f t="shared" si="4"/>
        <v>0</v>
      </c>
    </row>
    <row r="18" spans="1:8">
      <c r="A18" s="733" t="s">
        <v>1156</v>
      </c>
      <c r="B18" s="378">
        <f>+'LDF Trim'!Q25</f>
        <v>0</v>
      </c>
      <c r="C18" s="378">
        <f>+'LDF Trim'!R25</f>
        <v>0</v>
      </c>
      <c r="D18" s="378">
        <f>+'LDF Trim'!S25</f>
        <v>0</v>
      </c>
      <c r="E18" s="378">
        <f>+'LDF Trim'!T25</f>
        <v>0</v>
      </c>
      <c r="F18" s="378">
        <f>+'LDF Trim'!U25</f>
        <v>0</v>
      </c>
      <c r="G18" s="378">
        <f>+'LDF Trim'!V25</f>
        <v>0</v>
      </c>
      <c r="H18" s="378">
        <f>+'LDF Trim'!W25</f>
        <v>0</v>
      </c>
    </row>
    <row r="19" spans="1:8">
      <c r="A19" s="733" t="s">
        <v>1164</v>
      </c>
      <c r="B19" s="378">
        <f>+'LDF Trim'!Q26</f>
        <v>0</v>
      </c>
      <c r="C19" s="378">
        <f>+'LDF Trim'!R26</f>
        <v>0</v>
      </c>
      <c r="D19" s="378">
        <f>+'LDF Trim'!S26</f>
        <v>0</v>
      </c>
      <c r="E19" s="378">
        <f>+'LDF Trim'!T26</f>
        <v>0</v>
      </c>
      <c r="F19" s="378">
        <f>+'LDF Trim'!U26</f>
        <v>0</v>
      </c>
      <c r="G19" s="378">
        <f>+'LDF Trim'!V26</f>
        <v>0</v>
      </c>
      <c r="H19" s="378">
        <f>+'LDF Trim'!W26</f>
        <v>0</v>
      </c>
    </row>
    <row r="20" spans="1:8">
      <c r="A20" s="733" t="s">
        <v>1170</v>
      </c>
      <c r="B20" s="378">
        <f>+'LDF Trim'!Q27</f>
        <v>0</v>
      </c>
      <c r="C20" s="378">
        <f>+'LDF Trim'!R27</f>
        <v>0</v>
      </c>
      <c r="D20" s="378">
        <f>+'LDF Trim'!S27</f>
        <v>0</v>
      </c>
      <c r="E20" s="378">
        <f>+'LDF Trim'!T27</f>
        <v>0</v>
      </c>
      <c r="F20" s="378">
        <f>+'LDF Trim'!U27</f>
        <v>0</v>
      </c>
      <c r="G20" s="378">
        <f>+'LDF Trim'!V27</f>
        <v>0</v>
      </c>
      <c r="H20" s="378">
        <f>+'LDF Trim'!W27</f>
        <v>0</v>
      </c>
    </row>
    <row r="21" spans="1:8" ht="5.0999999999999996" customHeight="1">
      <c r="A21" s="733"/>
      <c r="B21" s="732"/>
      <c r="C21" s="732"/>
      <c r="D21" s="732"/>
      <c r="E21" s="732"/>
      <c r="F21" s="732"/>
      <c r="G21" s="732"/>
      <c r="H21" s="732"/>
    </row>
    <row r="22" spans="1:8" ht="16.5" customHeight="1">
      <c r="A22" s="729" t="s">
        <v>1599</v>
      </c>
      <c r="B22" s="376">
        <f>SUM(B23:B25)</f>
        <v>0</v>
      </c>
      <c r="C22" s="376">
        <f t="shared" ref="C22:H22" si="5">SUM(C23:C25)</f>
        <v>0</v>
      </c>
      <c r="D22" s="376">
        <f t="shared" si="5"/>
        <v>0</v>
      </c>
      <c r="E22" s="376">
        <f t="shared" si="5"/>
        <v>0</v>
      </c>
      <c r="F22" s="376">
        <f t="shared" si="5"/>
        <v>0</v>
      </c>
      <c r="G22" s="376">
        <f t="shared" si="5"/>
        <v>0</v>
      </c>
      <c r="H22" s="376">
        <f t="shared" si="5"/>
        <v>0</v>
      </c>
    </row>
    <row r="23" spans="1:8">
      <c r="A23" s="733" t="s">
        <v>1186</v>
      </c>
      <c r="B23" s="378">
        <f>+'LDF Trim'!Q30</f>
        <v>0</v>
      </c>
      <c r="C23" s="378">
        <f>+'LDF Trim'!R30</f>
        <v>0</v>
      </c>
      <c r="D23" s="378">
        <f>+'LDF Trim'!S30</f>
        <v>0</v>
      </c>
      <c r="E23" s="378">
        <f>+'LDF Trim'!T30</f>
        <v>0</v>
      </c>
      <c r="F23" s="378">
        <f>+'LDF Trim'!U30</f>
        <v>0</v>
      </c>
      <c r="G23" s="378">
        <f>+'LDF Trim'!V30</f>
        <v>0</v>
      </c>
      <c r="H23" s="378">
        <f>+'LDF Trim'!W30</f>
        <v>0</v>
      </c>
    </row>
    <row r="24" spans="1:8">
      <c r="A24" s="733" t="s">
        <v>1194</v>
      </c>
      <c r="B24" s="378">
        <f>+'LDF Trim'!Q31</f>
        <v>0</v>
      </c>
      <c r="C24" s="378">
        <f>+'LDF Trim'!R31</f>
        <v>0</v>
      </c>
      <c r="D24" s="378">
        <f>+'LDF Trim'!S31</f>
        <v>0</v>
      </c>
      <c r="E24" s="378">
        <f>+'LDF Trim'!T31</f>
        <v>0</v>
      </c>
      <c r="F24" s="378">
        <f>+'LDF Trim'!U31</f>
        <v>0</v>
      </c>
      <c r="G24" s="378">
        <f>+'LDF Trim'!V31</f>
        <v>0</v>
      </c>
      <c r="H24" s="378">
        <f>+'LDF Trim'!W31</f>
        <v>0</v>
      </c>
    </row>
    <row r="25" spans="1:8">
      <c r="A25" s="733" t="s">
        <v>1201</v>
      </c>
      <c r="B25" s="378">
        <f>+'LDF Trim'!Q32</f>
        <v>0</v>
      </c>
      <c r="C25" s="378">
        <f>+'LDF Trim'!R32</f>
        <v>0</v>
      </c>
      <c r="D25" s="378">
        <f>+'LDF Trim'!S32</f>
        <v>0</v>
      </c>
      <c r="E25" s="378">
        <f>+'LDF Trim'!T32</f>
        <v>0</v>
      </c>
      <c r="F25" s="378">
        <f>+'LDF Trim'!U32</f>
        <v>0</v>
      </c>
      <c r="G25" s="378">
        <f>+'LDF Trim'!V32</f>
        <v>0</v>
      </c>
      <c r="H25" s="378">
        <f>+'LDF Trim'!W32</f>
        <v>0</v>
      </c>
    </row>
    <row r="26" spans="1:8" ht="5.0999999999999996" customHeight="1">
      <c r="A26" s="734"/>
      <c r="B26" s="732"/>
      <c r="C26" s="732"/>
      <c r="D26" s="732"/>
      <c r="E26" s="732"/>
      <c r="F26" s="732"/>
      <c r="G26" s="732"/>
      <c r="H26" s="732"/>
    </row>
    <row r="27" spans="1:8" ht="11.25" customHeight="1">
      <c r="A27" s="735"/>
      <c r="B27" s="735"/>
      <c r="C27" s="735"/>
      <c r="D27" s="735"/>
      <c r="E27" s="735"/>
      <c r="F27" s="735"/>
      <c r="G27" s="735"/>
      <c r="H27" s="735"/>
    </row>
    <row r="28" spans="1:8" ht="11.25" customHeight="1">
      <c r="A28" s="1100" t="s">
        <v>1600</v>
      </c>
      <c r="B28" s="1103" t="s">
        <v>1601</v>
      </c>
      <c r="C28" s="1103" t="s">
        <v>1602</v>
      </c>
      <c r="D28" s="1103" t="s">
        <v>1223</v>
      </c>
      <c r="E28" s="1103" t="s">
        <v>1224</v>
      </c>
      <c r="F28" s="1103" t="s">
        <v>1225</v>
      </c>
    </row>
    <row r="29" spans="1:8">
      <c r="A29" s="1101"/>
      <c r="B29" s="1104"/>
      <c r="C29" s="1104"/>
      <c r="D29" s="1104"/>
      <c r="E29" s="1104"/>
      <c r="F29" s="1104"/>
    </row>
    <row r="30" spans="1:8">
      <c r="A30" s="1102"/>
      <c r="B30" s="1105"/>
      <c r="C30" s="1105"/>
      <c r="D30" s="1105"/>
      <c r="E30" s="1105"/>
      <c r="F30" s="1105"/>
    </row>
    <row r="31" spans="1:8">
      <c r="A31" s="736" t="s">
        <v>1014</v>
      </c>
      <c r="B31" s="736" t="s">
        <v>1015</v>
      </c>
      <c r="C31" s="736" t="s">
        <v>1241</v>
      </c>
      <c r="D31" s="736" t="s">
        <v>1242</v>
      </c>
      <c r="E31" s="736" t="s">
        <v>1243</v>
      </c>
      <c r="F31" s="736" t="s">
        <v>1244</v>
      </c>
    </row>
    <row r="32" spans="1:8">
      <c r="A32" s="737" t="s">
        <v>1250</v>
      </c>
      <c r="B32" s="376">
        <f>SUM(B33:B35)</f>
        <v>0</v>
      </c>
      <c r="C32" s="376">
        <f t="shared" ref="C32" si="6">SUM(C33:C35)</f>
        <v>0</v>
      </c>
      <c r="D32" s="376">
        <f t="shared" ref="D32" si="7">SUM(D33:D35)</f>
        <v>0</v>
      </c>
      <c r="E32" s="376">
        <f t="shared" ref="E32" si="8">SUM(E33:E35)</f>
        <v>0</v>
      </c>
      <c r="F32" s="376">
        <f t="shared" ref="F32" si="9">SUM(F33:F35)</f>
        <v>0</v>
      </c>
    </row>
    <row r="33" spans="1:6">
      <c r="A33" s="733" t="s">
        <v>1256</v>
      </c>
      <c r="B33" s="378">
        <f>+'LDF Trim'!Q40</f>
        <v>0</v>
      </c>
      <c r="C33" s="378">
        <f>+'LDF Trim'!R40</f>
        <v>0</v>
      </c>
      <c r="D33" s="378">
        <f>+'LDF Trim'!S40</f>
        <v>0</v>
      </c>
      <c r="E33" s="378">
        <f>+'LDF Trim'!T40</f>
        <v>0</v>
      </c>
      <c r="F33" s="378">
        <f>+'LDF Trim'!U40</f>
        <v>0</v>
      </c>
    </row>
    <row r="34" spans="1:6">
      <c r="A34" s="733" t="s">
        <v>1262</v>
      </c>
      <c r="B34" s="378">
        <f>+'LDF Trim'!Q41</f>
        <v>0</v>
      </c>
      <c r="C34" s="378">
        <f>+'LDF Trim'!R41</f>
        <v>0</v>
      </c>
      <c r="D34" s="378">
        <f>+'LDF Trim'!S41</f>
        <v>0</v>
      </c>
      <c r="E34" s="378">
        <f>+'LDF Trim'!T41</f>
        <v>0</v>
      </c>
      <c r="F34" s="378">
        <f>+'LDF Trim'!U41</f>
        <v>0</v>
      </c>
    </row>
    <row r="35" spans="1:6">
      <c r="A35" s="734" t="s">
        <v>1269</v>
      </c>
      <c r="B35" s="380">
        <f>+'LDF Trim'!Q42</f>
        <v>0</v>
      </c>
      <c r="C35" s="380">
        <f>+'LDF Trim'!R42</f>
        <v>0</v>
      </c>
      <c r="D35" s="380">
        <f>+'LDF Trim'!S42</f>
        <v>0</v>
      </c>
      <c r="E35" s="380">
        <f>+'LDF Trim'!T42</f>
        <v>0</v>
      </c>
      <c r="F35" s="380">
        <f>+'LDF Trim'!U42</f>
        <v>0</v>
      </c>
    </row>
    <row r="36" spans="1:6">
      <c r="B36" s="738"/>
      <c r="C36" s="739"/>
      <c r="D36" s="739"/>
      <c r="E36" s="739"/>
      <c r="F36" s="739"/>
    </row>
    <row r="37" spans="1:6">
      <c r="B37" s="738"/>
      <c r="C37" s="739"/>
      <c r="D37" s="739"/>
      <c r="E37" s="739"/>
      <c r="F37" s="739"/>
    </row>
    <row r="38" spans="1:6">
      <c r="B38" s="738"/>
      <c r="C38" s="739"/>
      <c r="D38" s="739"/>
      <c r="E38" s="739"/>
      <c r="F38" s="739"/>
    </row>
    <row r="39" spans="1:6">
      <c r="B39" s="738"/>
      <c r="C39" s="739"/>
      <c r="D39" s="739"/>
      <c r="E39" s="739"/>
      <c r="F39" s="739"/>
    </row>
    <row r="40" spans="1:6">
      <c r="B40" s="738"/>
      <c r="C40" s="739"/>
      <c r="D40" s="739"/>
      <c r="E40" s="739"/>
      <c r="F40" s="739"/>
    </row>
    <row r="41" spans="1:6">
      <c r="B41" s="738"/>
      <c r="C41" s="739"/>
      <c r="D41" s="739"/>
      <c r="E41" s="739"/>
      <c r="F41" s="739"/>
    </row>
    <row r="42" spans="1:6">
      <c r="B42" s="738"/>
      <c r="C42" s="739"/>
      <c r="D42" s="739"/>
      <c r="E42" s="739"/>
      <c r="F42" s="739"/>
    </row>
    <row r="43" spans="1:6">
      <c r="B43" s="738"/>
      <c r="C43" s="739"/>
      <c r="D43" s="739"/>
      <c r="E43" s="739"/>
      <c r="F43" s="739"/>
    </row>
    <row r="44" spans="1:6">
      <c r="B44" s="738"/>
      <c r="C44" s="739"/>
      <c r="D44" s="739"/>
      <c r="E44" s="739"/>
      <c r="F44" s="739"/>
    </row>
    <row r="45" spans="1:6">
      <c r="B45" s="738"/>
      <c r="C45" s="739"/>
      <c r="D45" s="739"/>
      <c r="E45" s="739"/>
      <c r="F45" s="739"/>
    </row>
    <row r="46" spans="1:6">
      <c r="B46" s="738"/>
      <c r="C46" s="739"/>
      <c r="D46" s="739"/>
      <c r="E46" s="739"/>
      <c r="F46" s="739"/>
    </row>
    <row r="47" spans="1:6">
      <c r="B47" s="738"/>
      <c r="C47" s="739"/>
      <c r="D47" s="739"/>
      <c r="E47" s="739"/>
      <c r="F47" s="739"/>
    </row>
    <row r="48" spans="1:6">
      <c r="B48" s="738"/>
      <c r="C48" s="739"/>
      <c r="D48" s="739"/>
      <c r="E48" s="739"/>
      <c r="F48" s="739"/>
    </row>
    <row r="49" spans="2:6">
      <c r="B49" s="738"/>
      <c r="C49" s="739"/>
      <c r="D49" s="739"/>
      <c r="E49" s="739"/>
      <c r="F49" s="739"/>
    </row>
    <row r="50" spans="2:6">
      <c r="B50" s="738"/>
      <c r="C50" s="739"/>
      <c r="D50" s="739"/>
      <c r="E50" s="739"/>
      <c r="F50" s="739"/>
    </row>
    <row r="51" spans="2:6">
      <c r="B51" s="738"/>
      <c r="C51" s="739"/>
      <c r="D51" s="739"/>
      <c r="E51" s="739"/>
      <c r="F51" s="739"/>
    </row>
    <row r="52" spans="2:6">
      <c r="B52" s="738"/>
      <c r="C52" s="739"/>
      <c r="D52" s="739"/>
      <c r="E52" s="739"/>
      <c r="F52" s="739"/>
    </row>
    <row r="53" spans="2:6">
      <c r="B53" s="738"/>
      <c r="C53" s="739"/>
      <c r="D53" s="739"/>
      <c r="E53" s="739"/>
      <c r="F53" s="739"/>
    </row>
    <row r="54" spans="2:6">
      <c r="B54" s="738"/>
      <c r="C54" s="739"/>
      <c r="D54" s="739"/>
      <c r="E54" s="739"/>
      <c r="F54" s="739"/>
    </row>
    <row r="55" spans="2:6">
      <c r="B55" s="738"/>
      <c r="C55" s="739"/>
      <c r="D55" s="739"/>
      <c r="E55" s="739"/>
      <c r="F55" s="739"/>
    </row>
    <row r="56" spans="2:6">
      <c r="B56" s="738"/>
      <c r="C56" s="739"/>
      <c r="D56" s="739"/>
      <c r="E56" s="739"/>
      <c r="F56" s="739"/>
    </row>
    <row r="57" spans="2:6">
      <c r="B57" s="738"/>
      <c r="C57" s="739"/>
      <c r="D57" s="739"/>
      <c r="E57" s="739"/>
      <c r="F57" s="739"/>
    </row>
    <row r="58" spans="2:6">
      <c r="B58" s="738"/>
      <c r="C58" s="739"/>
      <c r="D58" s="739"/>
      <c r="E58" s="739"/>
      <c r="F58" s="739"/>
    </row>
    <row r="59" spans="2:6">
      <c r="B59" s="738"/>
      <c r="C59" s="739"/>
      <c r="D59" s="739"/>
      <c r="E59" s="739"/>
      <c r="F59" s="739"/>
    </row>
    <row r="60" spans="2:6">
      <c r="B60" s="738"/>
      <c r="C60" s="739"/>
      <c r="D60" s="739"/>
      <c r="E60" s="739"/>
      <c r="F60" s="739"/>
    </row>
    <row r="61" spans="2:6">
      <c r="B61" s="738"/>
      <c r="C61" s="739"/>
      <c r="D61" s="739"/>
      <c r="E61" s="739"/>
      <c r="F61" s="739"/>
    </row>
    <row r="62" spans="2:6">
      <c r="B62" s="738"/>
      <c r="C62" s="739"/>
      <c r="D62" s="739"/>
      <c r="E62" s="739"/>
      <c r="F62" s="739"/>
    </row>
    <row r="63" spans="2:6">
      <c r="B63" s="738"/>
    </row>
    <row r="64" spans="2:6">
      <c r="B64" s="738"/>
    </row>
    <row r="65" spans="2:2">
      <c r="B65" s="738"/>
    </row>
    <row r="66" spans="2:2">
      <c r="B66" s="738"/>
    </row>
    <row r="67" spans="2:2">
      <c r="B67" s="738"/>
    </row>
    <row r="68" spans="2:2">
      <c r="B68" s="738"/>
    </row>
    <row r="69" spans="2:2">
      <c r="B69" s="738"/>
    </row>
    <row r="70" spans="2:2">
      <c r="B70" s="738"/>
    </row>
    <row r="71" spans="2:2">
      <c r="B71" s="738"/>
    </row>
  </sheetData>
  <mergeCells count="7">
    <mergeCell ref="A1:H1"/>
    <mergeCell ref="A28:A30"/>
    <mergeCell ref="B28:B30"/>
    <mergeCell ref="C28:C30"/>
    <mergeCell ref="D28:D30"/>
    <mergeCell ref="E28:E30"/>
    <mergeCell ref="F28:F30"/>
  </mergeCells>
  <pageMargins left="0.7" right="0.7" top="0.75" bottom="0.75" header="0.3" footer="0.3"/>
  <ignoredErrors>
    <ignoredError sqref="B4:H25 B32:F35" unlocked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E4" sqref="E4:K16"/>
    </sheetView>
  </sheetViews>
  <sheetFormatPr baseColWidth="10" defaultColWidth="12" defaultRowHeight="11.25"/>
  <cols>
    <col min="1" max="1" width="50.7109375" style="709" customWidth="1"/>
    <col min="2" max="2" width="12" style="709"/>
    <col min="3" max="3" width="16.140625" style="709" customWidth="1"/>
    <col min="4" max="4" width="14" style="709" customWidth="1"/>
    <col min="5" max="5" width="13.7109375" style="709" customWidth="1"/>
    <col min="6" max="6" width="12" style="709"/>
    <col min="7" max="7" width="21.7109375" style="709" customWidth="1"/>
    <col min="8" max="8" width="24.7109375" style="709" customWidth="1"/>
    <col min="9" max="9" width="17.7109375" style="709" customWidth="1"/>
    <col min="10" max="10" width="20.42578125" style="709" customWidth="1"/>
    <col min="11" max="11" width="24.7109375" style="709" customWidth="1"/>
    <col min="12" max="16384" width="12" style="709"/>
  </cols>
  <sheetData>
    <row r="1" spans="1:11" ht="45.95" customHeight="1">
      <c r="A1" s="1106" t="s">
        <v>1603</v>
      </c>
      <c r="B1" s="1107"/>
      <c r="C1" s="1107"/>
      <c r="D1" s="1107"/>
      <c r="E1" s="1107"/>
      <c r="F1" s="1107"/>
      <c r="G1" s="1107"/>
      <c r="H1" s="1107"/>
      <c r="I1" s="1107"/>
      <c r="J1" s="1107"/>
      <c r="K1" s="1108"/>
    </row>
    <row r="2" spans="1:11" ht="45">
      <c r="A2" s="578" t="s">
        <v>1604</v>
      </c>
      <c r="B2" s="578" t="s">
        <v>1605</v>
      </c>
      <c r="C2" s="578" t="s">
        <v>1606</v>
      </c>
      <c r="D2" s="578" t="s">
        <v>1607</v>
      </c>
      <c r="E2" s="578" t="s">
        <v>1608</v>
      </c>
      <c r="F2" s="578" t="s">
        <v>1609</v>
      </c>
      <c r="G2" s="578" t="s">
        <v>1610</v>
      </c>
      <c r="H2" s="578" t="s">
        <v>1611</v>
      </c>
      <c r="I2" s="578" t="s">
        <v>1612</v>
      </c>
      <c r="J2" s="578" t="s">
        <v>1613</v>
      </c>
      <c r="K2" s="578" t="s">
        <v>1614</v>
      </c>
    </row>
    <row r="3" spans="1:11" ht="5.0999999999999996" customHeight="1">
      <c r="A3" s="740"/>
      <c r="B3" s="741"/>
      <c r="C3" s="741"/>
      <c r="D3" s="742"/>
      <c r="E3" s="743"/>
      <c r="F3" s="742"/>
      <c r="G3" s="743"/>
      <c r="H3" s="743"/>
      <c r="I3" s="743"/>
      <c r="J3" s="743"/>
      <c r="K3" s="743"/>
    </row>
    <row r="4" spans="1:11">
      <c r="A4" s="737" t="s">
        <v>1034</v>
      </c>
      <c r="B4" s="744"/>
      <c r="C4" s="744"/>
      <c r="D4" s="745"/>
      <c r="E4" s="746">
        <f>SUM(E5:E8)</f>
        <v>0</v>
      </c>
      <c r="F4" s="745"/>
      <c r="G4" s="746">
        <f>SUM(G5:G8)</f>
        <v>0</v>
      </c>
      <c r="H4" s="746">
        <f>SUM(H5:H8)</f>
        <v>0</v>
      </c>
      <c r="I4" s="746">
        <f>SUM(I5:I8)</f>
        <v>0</v>
      </c>
      <c r="J4" s="746">
        <f>SUM(J5:J8)</f>
        <v>0</v>
      </c>
      <c r="K4" s="746">
        <f>E4-J4</f>
        <v>0</v>
      </c>
    </row>
    <row r="5" spans="1:11">
      <c r="A5" s="730" t="s">
        <v>1043</v>
      </c>
      <c r="B5" s="744"/>
      <c r="C5" s="744"/>
      <c r="D5" s="745"/>
      <c r="E5" s="732">
        <f>+'LDF Trim'!AG12</f>
        <v>0</v>
      </c>
      <c r="F5" s="745"/>
      <c r="G5" s="732">
        <f>+'LDF Trim'!AI12</f>
        <v>0</v>
      </c>
      <c r="H5" s="732">
        <f>+'LDF Trim'!AJ12</f>
        <v>0</v>
      </c>
      <c r="I5" s="732">
        <f>+'LDF Trim'!AK12</f>
        <v>0</v>
      </c>
      <c r="J5" s="732">
        <f>+'LDF Trim'!AL12</f>
        <v>0</v>
      </c>
      <c r="K5" s="732">
        <f>+'LDF Trim'!AM12</f>
        <v>0</v>
      </c>
    </row>
    <row r="6" spans="1:11">
      <c r="A6" s="730" t="s">
        <v>1053</v>
      </c>
      <c r="B6" s="744"/>
      <c r="C6" s="744"/>
      <c r="D6" s="745"/>
      <c r="E6" s="732">
        <f>+'LDF Trim'!AG13</f>
        <v>0</v>
      </c>
      <c r="F6" s="745"/>
      <c r="G6" s="732">
        <f>+'LDF Trim'!AI13</f>
        <v>0</v>
      </c>
      <c r="H6" s="732">
        <f>+'LDF Trim'!AJ13</f>
        <v>0</v>
      </c>
      <c r="I6" s="732">
        <f>+'LDF Trim'!AK13</f>
        <v>0</v>
      </c>
      <c r="J6" s="732">
        <f>+'LDF Trim'!AL13</f>
        <v>0</v>
      </c>
      <c r="K6" s="732">
        <f>+'LDF Trim'!AM13</f>
        <v>0</v>
      </c>
    </row>
    <row r="7" spans="1:11">
      <c r="A7" s="730" t="s">
        <v>1062</v>
      </c>
      <c r="B7" s="744"/>
      <c r="C7" s="744"/>
      <c r="D7" s="745"/>
      <c r="E7" s="732">
        <f>+'LDF Trim'!AG14</f>
        <v>0</v>
      </c>
      <c r="F7" s="745"/>
      <c r="G7" s="732">
        <f>+'LDF Trim'!AI14</f>
        <v>0</v>
      </c>
      <c r="H7" s="732">
        <f>+'LDF Trim'!AJ14</f>
        <v>0</v>
      </c>
      <c r="I7" s="732">
        <f>+'LDF Trim'!AK14</f>
        <v>0</v>
      </c>
      <c r="J7" s="732">
        <f>+'LDF Trim'!AL14</f>
        <v>0</v>
      </c>
      <c r="K7" s="732">
        <f>+'LDF Trim'!AM14</f>
        <v>0</v>
      </c>
    </row>
    <row r="8" spans="1:11">
      <c r="A8" s="730" t="s">
        <v>1070</v>
      </c>
      <c r="B8" s="744"/>
      <c r="C8" s="744"/>
      <c r="D8" s="745"/>
      <c r="E8" s="732">
        <f>+'LDF Trim'!AG15</f>
        <v>0</v>
      </c>
      <c r="F8" s="745"/>
      <c r="G8" s="732">
        <f>+'LDF Trim'!AI15</f>
        <v>0</v>
      </c>
      <c r="H8" s="732">
        <f>+'LDF Trim'!AJ15</f>
        <v>0</v>
      </c>
      <c r="I8" s="732">
        <f>+'LDF Trim'!AK15</f>
        <v>0</v>
      </c>
      <c r="J8" s="732">
        <f>+'LDF Trim'!AL15</f>
        <v>0</v>
      </c>
      <c r="K8" s="732">
        <f>+'LDF Trim'!AM15</f>
        <v>0</v>
      </c>
    </row>
    <row r="9" spans="1:11" ht="5.0999999999999996" customHeight="1">
      <c r="A9" s="730"/>
      <c r="B9" s="744"/>
      <c r="C9" s="744"/>
      <c r="D9" s="745"/>
      <c r="E9" s="732"/>
      <c r="F9" s="745"/>
      <c r="G9" s="732"/>
      <c r="H9" s="732"/>
      <c r="I9" s="732"/>
      <c r="J9" s="732"/>
      <c r="K9" s="732"/>
    </row>
    <row r="10" spans="1:11">
      <c r="A10" s="737" t="s">
        <v>1088</v>
      </c>
      <c r="B10" s="744"/>
      <c r="C10" s="744"/>
      <c r="D10" s="745"/>
      <c r="E10" s="746">
        <f>SUM(E11:E14)</f>
        <v>0</v>
      </c>
      <c r="F10" s="745"/>
      <c r="G10" s="746">
        <f>SUM(G11:G14)</f>
        <v>0</v>
      </c>
      <c r="H10" s="746">
        <f>SUM(H11:H14)</f>
        <v>0</v>
      </c>
      <c r="I10" s="746">
        <f>SUM(I11:I14)</f>
        <v>0</v>
      </c>
      <c r="J10" s="746">
        <f>SUM(J11:J14)</f>
        <v>0</v>
      </c>
      <c r="K10" s="746">
        <f t="shared" ref="K10:K16" si="0">E10-J10</f>
        <v>0</v>
      </c>
    </row>
    <row r="11" spans="1:11">
      <c r="A11" s="730" t="s">
        <v>1098</v>
      </c>
      <c r="B11" s="744"/>
      <c r="C11" s="744"/>
      <c r="D11" s="745"/>
      <c r="E11" s="732">
        <f>+'LDF Trim'!AG18</f>
        <v>0</v>
      </c>
      <c r="F11" s="745"/>
      <c r="G11" s="732">
        <f>+'LDF Trim'!AI18</f>
        <v>0</v>
      </c>
      <c r="H11" s="732">
        <f>+'LDF Trim'!AJ18</f>
        <v>0</v>
      </c>
      <c r="I11" s="732">
        <f>+'LDF Trim'!AK18</f>
        <v>0</v>
      </c>
      <c r="J11" s="732">
        <f>+'LDF Trim'!AL18</f>
        <v>0</v>
      </c>
      <c r="K11" s="732">
        <f>+'LDF Trim'!AM18</f>
        <v>0</v>
      </c>
    </row>
    <row r="12" spans="1:11">
      <c r="A12" s="730" t="s">
        <v>1107</v>
      </c>
      <c r="B12" s="744"/>
      <c r="C12" s="744"/>
      <c r="D12" s="745"/>
      <c r="E12" s="732">
        <f>+'LDF Trim'!AG19</f>
        <v>0</v>
      </c>
      <c r="F12" s="745"/>
      <c r="G12" s="732">
        <f>+'LDF Trim'!AI19</f>
        <v>0</v>
      </c>
      <c r="H12" s="732">
        <f>+'LDF Trim'!AJ19</f>
        <v>0</v>
      </c>
      <c r="I12" s="732">
        <f>+'LDF Trim'!AK19</f>
        <v>0</v>
      </c>
      <c r="J12" s="732">
        <f>+'LDF Trim'!AL19</f>
        <v>0</v>
      </c>
      <c r="K12" s="732">
        <f>+'LDF Trim'!AM19</f>
        <v>0</v>
      </c>
    </row>
    <row r="13" spans="1:11">
      <c r="A13" s="730" t="s">
        <v>1116</v>
      </c>
      <c r="B13" s="744"/>
      <c r="C13" s="744"/>
      <c r="D13" s="745"/>
      <c r="E13" s="732">
        <f>+'LDF Trim'!AG20</f>
        <v>0</v>
      </c>
      <c r="F13" s="745"/>
      <c r="G13" s="732">
        <f>+'LDF Trim'!AI20</f>
        <v>0</v>
      </c>
      <c r="H13" s="732">
        <f>+'LDF Trim'!AJ20</f>
        <v>0</v>
      </c>
      <c r="I13" s="732">
        <f>+'LDF Trim'!AK20</f>
        <v>0</v>
      </c>
      <c r="J13" s="732">
        <f>+'LDF Trim'!AL20</f>
        <v>0</v>
      </c>
      <c r="K13" s="732">
        <f>+'LDF Trim'!AM20</f>
        <v>0</v>
      </c>
    </row>
    <row r="14" spans="1:11">
      <c r="A14" s="730" t="s">
        <v>1124</v>
      </c>
      <c r="B14" s="744"/>
      <c r="C14" s="744"/>
      <c r="D14" s="745"/>
      <c r="E14" s="732">
        <f>+'LDF Trim'!AG21</f>
        <v>0</v>
      </c>
      <c r="F14" s="745"/>
      <c r="G14" s="732">
        <f>+'LDF Trim'!AI21</f>
        <v>0</v>
      </c>
      <c r="H14" s="732">
        <f>+'LDF Trim'!AJ21</f>
        <v>0</v>
      </c>
      <c r="I14" s="732">
        <f>+'LDF Trim'!AK21</f>
        <v>0</v>
      </c>
      <c r="J14" s="732">
        <f>+'LDF Trim'!AL21</f>
        <v>0</v>
      </c>
      <c r="K14" s="732">
        <f>+'LDF Trim'!AM21</f>
        <v>0</v>
      </c>
    </row>
    <row r="15" spans="1:11" ht="5.0999999999999996" customHeight="1">
      <c r="A15" s="730"/>
      <c r="B15" s="744"/>
      <c r="C15" s="744"/>
      <c r="D15" s="745"/>
      <c r="E15" s="732"/>
      <c r="F15" s="745"/>
      <c r="G15" s="732"/>
      <c r="H15" s="732"/>
      <c r="I15" s="732"/>
      <c r="J15" s="732"/>
      <c r="K15" s="732"/>
    </row>
    <row r="16" spans="1:11" ht="22.5">
      <c r="A16" s="737" t="s">
        <v>1140</v>
      </c>
      <c r="B16" s="744"/>
      <c r="C16" s="744"/>
      <c r="D16" s="745"/>
      <c r="E16" s="746">
        <f>E4+E10</f>
        <v>0</v>
      </c>
      <c r="F16" s="745"/>
      <c r="G16" s="746">
        <f>G4+G10</f>
        <v>0</v>
      </c>
      <c r="H16" s="746">
        <f>H4+H10</f>
        <v>0</v>
      </c>
      <c r="I16" s="746">
        <f>I4+I10</f>
        <v>0</v>
      </c>
      <c r="J16" s="746">
        <f>J4+J10</f>
        <v>0</v>
      </c>
      <c r="K16" s="746">
        <f t="shared" si="0"/>
        <v>0</v>
      </c>
    </row>
    <row r="17" spans="1:11" ht="5.0999999999999996" customHeight="1">
      <c r="A17" s="734"/>
      <c r="B17" s="747"/>
      <c r="C17" s="747"/>
      <c r="D17" s="747"/>
      <c r="E17" s="747"/>
      <c r="F17" s="747"/>
      <c r="G17" s="747"/>
      <c r="H17" s="747"/>
      <c r="I17" s="747"/>
      <c r="J17" s="747"/>
      <c r="K17" s="747"/>
    </row>
  </sheetData>
  <mergeCells count="1">
    <mergeCell ref="A1:K1"/>
  </mergeCells>
  <pageMargins left="0.7" right="0.7" top="0.75" bottom="0.75" header="0.3" footer="0.3"/>
  <ignoredErrors>
    <ignoredError sqref="E4:K16" unlocked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0"/>
  <sheetViews>
    <sheetView topLeftCell="C1" workbookViewId="0">
      <selection activeCell="E70" sqref="C6:E70"/>
    </sheetView>
  </sheetViews>
  <sheetFormatPr baseColWidth="10" defaultColWidth="12" defaultRowHeight="11.25"/>
  <cols>
    <col min="1" max="1" width="1" style="709" customWidth="1"/>
    <col min="2" max="2" width="90.7109375" style="709" customWidth="1"/>
    <col min="3" max="5" width="16.7109375" style="709" customWidth="1"/>
    <col min="6" max="16384" width="12" style="709"/>
  </cols>
  <sheetData>
    <row r="1" spans="1:5" ht="12.75" customHeight="1">
      <c r="A1" s="1094" t="s">
        <v>1615</v>
      </c>
      <c r="B1" s="1095"/>
      <c r="C1" s="1095"/>
      <c r="D1" s="1095"/>
      <c r="E1" s="1096"/>
    </row>
    <row r="2" spans="1:5" ht="12.75" customHeight="1">
      <c r="A2" s="1110"/>
      <c r="B2" s="1111"/>
      <c r="C2" s="1111"/>
      <c r="D2" s="1111"/>
      <c r="E2" s="1112"/>
    </row>
    <row r="3" spans="1:5" ht="12.75" customHeight="1">
      <c r="A3" s="1110"/>
      <c r="B3" s="1111"/>
      <c r="C3" s="1111"/>
      <c r="D3" s="1111"/>
      <c r="E3" s="1112"/>
    </row>
    <row r="4" spans="1:5" ht="12.75" customHeight="1">
      <c r="A4" s="1113"/>
      <c r="B4" s="1114"/>
      <c r="C4" s="1114"/>
      <c r="D4" s="1114"/>
      <c r="E4" s="1115"/>
    </row>
    <row r="5" spans="1:5" ht="22.5">
      <c r="A5" s="1116" t="s">
        <v>1009</v>
      </c>
      <c r="B5" s="1117"/>
      <c r="C5" s="578" t="s">
        <v>1616</v>
      </c>
      <c r="D5" s="578" t="s">
        <v>359</v>
      </c>
      <c r="E5" s="578" t="s">
        <v>1617</v>
      </c>
    </row>
    <row r="6" spans="1:5" ht="5.0999999999999996" customHeight="1">
      <c r="A6" s="748"/>
      <c r="B6" s="749"/>
      <c r="C6" s="712"/>
      <c r="D6" s="712"/>
      <c r="E6" s="712"/>
    </row>
    <row r="7" spans="1:5">
      <c r="A7" s="750"/>
      <c r="B7" s="751" t="s">
        <v>1026</v>
      </c>
      <c r="C7" s="715">
        <f>SUM(C8:C10)</f>
        <v>80405840.510000005</v>
      </c>
      <c r="D7" s="715">
        <f t="shared" ref="D7:E7" si="0">SUM(D8:D10)</f>
        <v>88863739.419999987</v>
      </c>
      <c r="E7" s="715">
        <f t="shared" si="0"/>
        <v>88863739.419999987</v>
      </c>
    </row>
    <row r="8" spans="1:5">
      <c r="A8" s="750"/>
      <c r="B8" s="719" t="s">
        <v>1035</v>
      </c>
      <c r="C8" s="717">
        <f>+'LDF Trim'!AT12</f>
        <v>80405840.510000005</v>
      </c>
      <c r="D8" s="717">
        <f>+'LDF Trim'!AU12</f>
        <v>88863739.419999987</v>
      </c>
      <c r="E8" s="717">
        <f>+'LDF Trim'!AV12</f>
        <v>88863739.419999987</v>
      </c>
    </row>
    <row r="9" spans="1:5">
      <c r="A9" s="750"/>
      <c r="B9" s="719" t="s">
        <v>1044</v>
      </c>
      <c r="C9" s="717">
        <f>+'LDF Trim'!AT13</f>
        <v>0</v>
      </c>
      <c r="D9" s="717">
        <f>+'LDF Trim'!AU13</f>
        <v>0</v>
      </c>
      <c r="E9" s="717">
        <f>+'LDF Trim'!AV13</f>
        <v>0</v>
      </c>
    </row>
    <row r="10" spans="1:5">
      <c r="A10" s="750"/>
      <c r="B10" s="719" t="s">
        <v>1054</v>
      </c>
      <c r="C10" s="717">
        <f>+'LDF Trim'!AT14</f>
        <v>0</v>
      </c>
      <c r="D10" s="717">
        <f>+'LDF Trim'!AU14</f>
        <v>0</v>
      </c>
      <c r="E10" s="717">
        <f>+'LDF Trim'!AV14</f>
        <v>0</v>
      </c>
    </row>
    <row r="11" spans="1:5" ht="5.0999999999999996" customHeight="1">
      <c r="A11" s="750"/>
      <c r="B11" s="752"/>
      <c r="C11" s="717"/>
      <c r="D11" s="717"/>
      <c r="E11" s="717"/>
    </row>
    <row r="12" spans="1:5">
      <c r="A12" s="750"/>
      <c r="B12" s="751" t="s">
        <v>1618</v>
      </c>
      <c r="C12" s="715">
        <f>SUM(C13:C14)</f>
        <v>80405840.510000005</v>
      </c>
      <c r="D12" s="715">
        <f t="shared" ref="D12:E12" si="1">SUM(D13:D14)</f>
        <v>86193205.109999985</v>
      </c>
      <c r="E12" s="715">
        <f t="shared" si="1"/>
        <v>84872096.260000005</v>
      </c>
    </row>
    <row r="13" spans="1:5">
      <c r="A13" s="750"/>
      <c r="B13" s="719" t="s">
        <v>1079</v>
      </c>
      <c r="C13" s="717">
        <f>+'LDF Trim'!AT17</f>
        <v>80405840.510000005</v>
      </c>
      <c r="D13" s="717">
        <f>+'LDF Trim'!AU17</f>
        <v>86193205.109999985</v>
      </c>
      <c r="E13" s="717">
        <f>+'LDF Trim'!AV17</f>
        <v>84872096.260000005</v>
      </c>
    </row>
    <row r="14" spans="1:5">
      <c r="A14" s="750"/>
      <c r="B14" s="719" t="s">
        <v>1089</v>
      </c>
      <c r="C14" s="717">
        <f>+'LDF Trim'!AT18</f>
        <v>0</v>
      </c>
      <c r="D14" s="717">
        <f>+'LDF Trim'!AU18</f>
        <v>0</v>
      </c>
      <c r="E14" s="717">
        <f>+'LDF Trim'!AV18</f>
        <v>0</v>
      </c>
    </row>
    <row r="15" spans="1:5" ht="5.0999999999999996" customHeight="1">
      <c r="A15" s="750"/>
      <c r="B15" s="752"/>
      <c r="C15" s="717"/>
      <c r="D15" s="717"/>
      <c r="E15" s="717"/>
    </row>
    <row r="16" spans="1:5">
      <c r="A16" s="750"/>
      <c r="B16" s="751" t="s">
        <v>1108</v>
      </c>
      <c r="C16" s="753"/>
      <c r="D16" s="715">
        <f>SUM(D17:D18)</f>
        <v>0</v>
      </c>
      <c r="E16" s="715">
        <f>SUM(E17:E18)</f>
        <v>0</v>
      </c>
    </row>
    <row r="17" spans="1:5">
      <c r="A17" s="750"/>
      <c r="B17" s="719" t="s">
        <v>1117</v>
      </c>
      <c r="C17" s="753"/>
      <c r="D17" s="717">
        <f>+'LDF Trim'!AU21</f>
        <v>0</v>
      </c>
      <c r="E17" s="717">
        <f>+'LDF Trim'!AV21</f>
        <v>0</v>
      </c>
    </row>
    <row r="18" spans="1:5">
      <c r="A18" s="750"/>
      <c r="B18" s="719" t="s">
        <v>1125</v>
      </c>
      <c r="C18" s="753"/>
      <c r="D18" s="717">
        <f>+'LDF Trim'!AU22</f>
        <v>0</v>
      </c>
      <c r="E18" s="717">
        <f>+'LDF Trim'!AV22</f>
        <v>0</v>
      </c>
    </row>
    <row r="19" spans="1:5" ht="5.0999999999999996" customHeight="1">
      <c r="A19" s="750"/>
      <c r="B19" s="752"/>
      <c r="C19" s="717"/>
      <c r="D19" s="717"/>
      <c r="E19" s="717"/>
    </row>
    <row r="20" spans="1:5">
      <c r="A20" s="750"/>
      <c r="B20" s="751" t="s">
        <v>1141</v>
      </c>
      <c r="C20" s="715">
        <f>C7-C12</f>
        <v>0</v>
      </c>
      <c r="D20" s="715">
        <f>D7-D12+D16</f>
        <v>2670534.3100000024</v>
      </c>
      <c r="E20" s="715">
        <f>E7-E12+E16</f>
        <v>3991643.1599999815</v>
      </c>
    </row>
    <row r="21" spans="1:5">
      <c r="A21" s="750"/>
      <c r="B21" s="751" t="s">
        <v>1149</v>
      </c>
      <c r="C21" s="715">
        <f>C20-C41</f>
        <v>0</v>
      </c>
      <c r="D21" s="715">
        <f t="shared" ref="D21:E21" si="2">D20-D41</f>
        <v>2670534.3100000024</v>
      </c>
      <c r="E21" s="715">
        <f t="shared" si="2"/>
        <v>3991643.1599999815</v>
      </c>
    </row>
    <row r="22" spans="1:5">
      <c r="A22" s="750"/>
      <c r="B22" s="751" t="s">
        <v>1157</v>
      </c>
      <c r="C22" s="715">
        <f>C21</f>
        <v>0</v>
      </c>
      <c r="D22" s="715">
        <f>D21-D16</f>
        <v>2670534.3100000024</v>
      </c>
      <c r="E22" s="715">
        <f>E21-E16</f>
        <v>3991643.1599999815</v>
      </c>
    </row>
    <row r="23" spans="1:5" ht="5.0999999999999996" customHeight="1">
      <c r="A23" s="750"/>
      <c r="B23" s="752"/>
      <c r="C23" s="717"/>
      <c r="D23" s="717"/>
      <c r="E23" s="717"/>
    </row>
    <row r="24" spans="1:5">
      <c r="A24" s="1116" t="s">
        <v>384</v>
      </c>
      <c r="B24" s="1117"/>
      <c r="C24" s="754" t="s">
        <v>357</v>
      </c>
      <c r="D24" s="754" t="s">
        <v>359</v>
      </c>
      <c r="E24" s="754" t="s">
        <v>397</v>
      </c>
    </row>
    <row r="25" spans="1:5" ht="5.0999999999999996" customHeight="1">
      <c r="A25" s="750"/>
      <c r="B25" s="752"/>
      <c r="C25" s="717"/>
      <c r="D25" s="717"/>
      <c r="E25" s="717"/>
    </row>
    <row r="26" spans="1:5">
      <c r="A26" s="750"/>
      <c r="B26" s="751" t="s">
        <v>1187</v>
      </c>
      <c r="C26" s="715">
        <f>SUM(C27:C28)</f>
        <v>0</v>
      </c>
      <c r="D26" s="715">
        <f t="shared" ref="D26:E26" si="3">SUM(D27:D28)</f>
        <v>0</v>
      </c>
      <c r="E26" s="715">
        <f t="shared" si="3"/>
        <v>0</v>
      </c>
    </row>
    <row r="27" spans="1:5">
      <c r="A27" s="750"/>
      <c r="B27" s="719" t="s">
        <v>1195</v>
      </c>
      <c r="C27" s="717">
        <f>+'LDF Trim'!AT32</f>
        <v>0</v>
      </c>
      <c r="D27" s="717">
        <f>+'LDF Trim'!AU32</f>
        <v>0</v>
      </c>
      <c r="E27" s="717">
        <f>+'LDF Trim'!AV32</f>
        <v>0</v>
      </c>
    </row>
    <row r="28" spans="1:5">
      <c r="A28" s="750"/>
      <c r="B28" s="719" t="s">
        <v>1202</v>
      </c>
      <c r="C28" s="717">
        <f>+'LDF Trim'!AT33</f>
        <v>0</v>
      </c>
      <c r="D28" s="717">
        <f>+'LDF Trim'!AU33</f>
        <v>0</v>
      </c>
      <c r="E28" s="717">
        <f>+'LDF Trim'!AV33</f>
        <v>0</v>
      </c>
    </row>
    <row r="29" spans="1:5" ht="5.0999999999999996" customHeight="1">
      <c r="A29" s="750"/>
      <c r="B29" s="752"/>
      <c r="C29" s="717"/>
      <c r="D29" s="717"/>
      <c r="E29" s="717"/>
    </row>
    <row r="30" spans="1:5">
      <c r="A30" s="750"/>
      <c r="B30" s="751" t="s">
        <v>1213</v>
      </c>
      <c r="C30" s="715">
        <f>C22+C26</f>
        <v>0</v>
      </c>
      <c r="D30" s="715">
        <f t="shared" ref="D30:E30" si="4">D22+D26</f>
        <v>2670534.3100000024</v>
      </c>
      <c r="E30" s="715">
        <f t="shared" si="4"/>
        <v>3991643.1599999815</v>
      </c>
    </row>
    <row r="31" spans="1:5" ht="5.0999999999999996" customHeight="1">
      <c r="A31" s="750"/>
      <c r="B31" s="752"/>
      <c r="C31" s="717"/>
      <c r="D31" s="717"/>
      <c r="E31" s="717"/>
    </row>
    <row r="32" spans="1:5" ht="22.5">
      <c r="A32" s="1109" t="s">
        <v>384</v>
      </c>
      <c r="B32" s="1109"/>
      <c r="C32" s="577" t="s">
        <v>1010</v>
      </c>
      <c r="D32" s="754" t="s">
        <v>359</v>
      </c>
      <c r="E32" s="577" t="s">
        <v>1011</v>
      </c>
    </row>
    <row r="33" spans="1:5" ht="5.0999999999999996" customHeight="1">
      <c r="A33" s="750"/>
      <c r="B33" s="755"/>
      <c r="C33" s="717"/>
      <c r="D33" s="717"/>
      <c r="E33" s="717"/>
    </row>
    <row r="34" spans="1:5">
      <c r="A34" s="750"/>
      <c r="B34" s="756" t="s">
        <v>1257</v>
      </c>
      <c r="C34" s="715">
        <f>SUM(C35:C36)</f>
        <v>0</v>
      </c>
      <c r="D34" s="715">
        <f t="shared" ref="D34:E34" si="5">SUM(D35:D36)</f>
        <v>0</v>
      </c>
      <c r="E34" s="715">
        <f t="shared" si="5"/>
        <v>0</v>
      </c>
    </row>
    <row r="35" spans="1:5">
      <c r="A35" s="750"/>
      <c r="B35" s="719" t="s">
        <v>1263</v>
      </c>
      <c r="C35" s="717">
        <f>+'LDF Trim'!AT42</f>
        <v>0</v>
      </c>
      <c r="D35" s="717">
        <f>+'LDF Trim'!AU42</f>
        <v>0</v>
      </c>
      <c r="E35" s="717">
        <f>+'LDF Trim'!AV42</f>
        <v>0</v>
      </c>
    </row>
    <row r="36" spans="1:5">
      <c r="A36" s="750"/>
      <c r="B36" s="719" t="s">
        <v>1270</v>
      </c>
      <c r="C36" s="717">
        <f>+'LDF Trim'!AT43</f>
        <v>0</v>
      </c>
      <c r="D36" s="717">
        <f>+'LDF Trim'!AU43</f>
        <v>0</v>
      </c>
      <c r="E36" s="717">
        <f>+'LDF Trim'!AV43</f>
        <v>0</v>
      </c>
    </row>
    <row r="37" spans="1:5">
      <c r="A37" s="750"/>
      <c r="B37" s="756" t="s">
        <v>1276</v>
      </c>
      <c r="C37" s="715">
        <f>SUM(C38:C39)</f>
        <v>0</v>
      </c>
      <c r="D37" s="715">
        <f t="shared" ref="D37:E37" si="6">SUM(D38:D39)</f>
        <v>0</v>
      </c>
      <c r="E37" s="715">
        <f t="shared" si="6"/>
        <v>0</v>
      </c>
    </row>
    <row r="38" spans="1:5">
      <c r="A38" s="750"/>
      <c r="B38" s="719" t="s">
        <v>1282</v>
      </c>
      <c r="C38" s="717">
        <f>+'LDF Trim'!AT45</f>
        <v>0</v>
      </c>
      <c r="D38" s="717">
        <f>+'LDF Trim'!AU45</f>
        <v>0</v>
      </c>
      <c r="E38" s="717">
        <f>+'LDF Trim'!AV45</f>
        <v>0</v>
      </c>
    </row>
    <row r="39" spans="1:5">
      <c r="A39" s="750"/>
      <c r="B39" s="719" t="s">
        <v>1288</v>
      </c>
      <c r="C39" s="717">
        <f>+'LDF Trim'!AT46</f>
        <v>0</v>
      </c>
      <c r="D39" s="717">
        <f>+'LDF Trim'!AU46</f>
        <v>0</v>
      </c>
      <c r="E39" s="717">
        <f>+'LDF Trim'!AV46</f>
        <v>0</v>
      </c>
    </row>
    <row r="40" spans="1:5" ht="5.0999999999999996" customHeight="1">
      <c r="A40" s="750"/>
      <c r="B40" s="755"/>
      <c r="C40" s="717"/>
      <c r="D40" s="717"/>
      <c r="E40" s="717"/>
    </row>
    <row r="41" spans="1:5">
      <c r="A41" s="750"/>
      <c r="B41" s="756" t="s">
        <v>1297</v>
      </c>
      <c r="C41" s="715">
        <f>C34-C37</f>
        <v>0</v>
      </c>
      <c r="D41" s="715">
        <f t="shared" ref="D41:E41" si="7">D34-D37</f>
        <v>0</v>
      </c>
      <c r="E41" s="715">
        <f t="shared" si="7"/>
        <v>0</v>
      </c>
    </row>
    <row r="42" spans="1:5" ht="5.0999999999999996" customHeight="1">
      <c r="A42" s="750"/>
      <c r="B42" s="756"/>
      <c r="C42" s="715"/>
      <c r="D42" s="715"/>
      <c r="E42" s="715"/>
    </row>
    <row r="43" spans="1:5" ht="22.5">
      <c r="A43" s="1109" t="s">
        <v>384</v>
      </c>
      <c r="B43" s="1109"/>
      <c r="C43" s="577" t="s">
        <v>1010</v>
      </c>
      <c r="D43" s="754" t="s">
        <v>359</v>
      </c>
      <c r="E43" s="577" t="s">
        <v>1011</v>
      </c>
    </row>
    <row r="44" spans="1:5" ht="5.0999999999999996" customHeight="1">
      <c r="A44" s="750"/>
      <c r="B44" s="755"/>
      <c r="C44" s="717"/>
      <c r="D44" s="717"/>
      <c r="E44" s="717"/>
    </row>
    <row r="45" spans="1:5">
      <c r="A45" s="750"/>
      <c r="B45" s="755" t="s">
        <v>1319</v>
      </c>
      <c r="C45" s="717">
        <f>+'LDF Trim'!AT54</f>
        <v>80405840.510000005</v>
      </c>
      <c r="D45" s="717">
        <f>+'LDF Trim'!AU54</f>
        <v>88863739.419999987</v>
      </c>
      <c r="E45" s="717">
        <f>+'LDF Trim'!AV54</f>
        <v>88863739.419999987</v>
      </c>
    </row>
    <row r="46" spans="1:5">
      <c r="A46" s="750"/>
      <c r="B46" s="755" t="s">
        <v>1324</v>
      </c>
      <c r="C46" s="717">
        <f>C47-C48</f>
        <v>0</v>
      </c>
      <c r="D46" s="717">
        <f t="shared" ref="D46:E46" si="8">D47-D48</f>
        <v>0</v>
      </c>
      <c r="E46" s="717">
        <f t="shared" si="8"/>
        <v>0</v>
      </c>
    </row>
    <row r="47" spans="1:5">
      <c r="A47" s="750"/>
      <c r="B47" s="757" t="s">
        <v>1263</v>
      </c>
      <c r="C47" s="717">
        <f>+'LDF Trim'!AT56</f>
        <v>0</v>
      </c>
      <c r="D47" s="717">
        <f>+'LDF Trim'!AU56</f>
        <v>0</v>
      </c>
      <c r="E47" s="717">
        <f>+'LDF Trim'!AV56</f>
        <v>0</v>
      </c>
    </row>
    <row r="48" spans="1:5">
      <c r="A48" s="750"/>
      <c r="B48" s="757" t="s">
        <v>1282</v>
      </c>
      <c r="C48" s="717">
        <f>+'LDF Trim'!AT57</f>
        <v>0</v>
      </c>
      <c r="D48" s="717">
        <f>+'LDF Trim'!AU57</f>
        <v>0</v>
      </c>
      <c r="E48" s="717">
        <f>+'LDF Trim'!AV57</f>
        <v>0</v>
      </c>
    </row>
    <row r="49" spans="1:5" ht="5.0999999999999996" customHeight="1">
      <c r="A49" s="750"/>
      <c r="B49" s="755"/>
      <c r="C49" s="717"/>
      <c r="D49" s="717"/>
      <c r="E49" s="717"/>
    </row>
    <row r="50" spans="1:5">
      <c r="A50" s="750"/>
      <c r="B50" s="755" t="s">
        <v>1079</v>
      </c>
      <c r="C50" s="717">
        <f>+'LDF Trim'!AT59</f>
        <v>80405840.510000005</v>
      </c>
      <c r="D50" s="717">
        <f>+'LDF Trim'!AU59</f>
        <v>86193205.109999985</v>
      </c>
      <c r="E50" s="717">
        <f>+'LDF Trim'!AV59</f>
        <v>84872096.260000005</v>
      </c>
    </row>
    <row r="51" spans="1:5" ht="5.0999999999999996" customHeight="1">
      <c r="A51" s="750"/>
      <c r="B51" s="755"/>
      <c r="C51" s="717"/>
      <c r="D51" s="717"/>
      <c r="E51" s="717"/>
    </row>
    <row r="52" spans="1:5">
      <c r="A52" s="750"/>
      <c r="B52" s="755" t="s">
        <v>1117</v>
      </c>
      <c r="C52" s="753"/>
      <c r="D52" s="717">
        <f>+'LDF Trim'!AU61</f>
        <v>0</v>
      </c>
      <c r="E52" s="717">
        <f>+'LDF Trim'!AV61</f>
        <v>0</v>
      </c>
    </row>
    <row r="53" spans="1:5" ht="5.0999999999999996" customHeight="1">
      <c r="A53" s="750"/>
      <c r="B53" s="755"/>
      <c r="C53" s="717"/>
      <c r="D53" s="717"/>
      <c r="E53" s="717"/>
    </row>
    <row r="54" spans="1:5">
      <c r="A54" s="750"/>
      <c r="B54" s="756" t="s">
        <v>1354</v>
      </c>
      <c r="C54" s="715">
        <f>C45+C46-C50</f>
        <v>0</v>
      </c>
      <c r="D54" s="715">
        <f t="shared" ref="D54:E54" si="9">D45+D46-D50+D52</f>
        <v>2670534.3100000024</v>
      </c>
      <c r="E54" s="715">
        <f t="shared" si="9"/>
        <v>3991643.1599999815</v>
      </c>
    </row>
    <row r="55" spans="1:5">
      <c r="A55" s="750"/>
      <c r="B55" s="751" t="s">
        <v>1358</v>
      </c>
      <c r="C55" s="715">
        <f>C54-C46</f>
        <v>0</v>
      </c>
      <c r="D55" s="715">
        <f t="shared" ref="D55:E55" si="10">D54-D46</f>
        <v>2670534.3100000024</v>
      </c>
      <c r="E55" s="715">
        <f t="shared" si="10"/>
        <v>3991643.1599999815</v>
      </c>
    </row>
    <row r="56" spans="1:5" ht="5.0999999999999996" customHeight="1">
      <c r="A56" s="750"/>
      <c r="B56" s="755"/>
      <c r="C56" s="717"/>
      <c r="D56" s="717"/>
      <c r="E56" s="717"/>
    </row>
    <row r="57" spans="1:5" ht="22.5">
      <c r="A57" s="1109" t="s">
        <v>384</v>
      </c>
      <c r="B57" s="1109"/>
      <c r="C57" s="577" t="s">
        <v>1010</v>
      </c>
      <c r="D57" s="754" t="s">
        <v>359</v>
      </c>
      <c r="E57" s="577" t="s">
        <v>1011</v>
      </c>
    </row>
    <row r="58" spans="1:5" ht="5.0999999999999996" customHeight="1">
      <c r="A58" s="750"/>
      <c r="B58" s="755"/>
      <c r="C58" s="717"/>
      <c r="D58" s="717"/>
      <c r="E58" s="717"/>
    </row>
    <row r="59" spans="1:5">
      <c r="A59" s="750"/>
      <c r="B59" s="755" t="s">
        <v>1044</v>
      </c>
      <c r="C59" s="717">
        <f>+'LDF Trim'!AT70</f>
        <v>0</v>
      </c>
      <c r="D59" s="717">
        <f>+'LDF Trim'!AU70</f>
        <v>0</v>
      </c>
      <c r="E59" s="717">
        <f>+'LDF Trim'!AV70</f>
        <v>0</v>
      </c>
    </row>
    <row r="60" spans="1:5">
      <c r="A60" s="750"/>
      <c r="B60" s="755" t="s">
        <v>1377</v>
      </c>
      <c r="C60" s="717">
        <f>C61-C62</f>
        <v>0</v>
      </c>
      <c r="D60" s="717">
        <f t="shared" ref="D60:E60" si="11">D61-D62</f>
        <v>0</v>
      </c>
      <c r="E60" s="717">
        <f t="shared" si="11"/>
        <v>0</v>
      </c>
    </row>
    <row r="61" spans="1:5">
      <c r="A61" s="750"/>
      <c r="B61" s="757" t="s">
        <v>1270</v>
      </c>
      <c r="C61" s="717">
        <f>+'LDF Trim'!AT72</f>
        <v>0</v>
      </c>
      <c r="D61" s="717">
        <f>+'LDF Trim'!AU72</f>
        <v>0</v>
      </c>
      <c r="E61" s="717">
        <f>+'LDF Trim'!AV72</f>
        <v>0</v>
      </c>
    </row>
    <row r="62" spans="1:5">
      <c r="A62" s="750"/>
      <c r="B62" s="757" t="s">
        <v>1288</v>
      </c>
      <c r="C62" s="717">
        <f>+'LDF Trim'!AT73</f>
        <v>0</v>
      </c>
      <c r="D62" s="717">
        <f>+'LDF Trim'!AU73</f>
        <v>0</v>
      </c>
      <c r="E62" s="717">
        <f>+'LDF Trim'!AV73</f>
        <v>0</v>
      </c>
    </row>
    <row r="63" spans="1:5" ht="5.0999999999999996" customHeight="1">
      <c r="A63" s="750"/>
      <c r="B63" s="755"/>
      <c r="C63" s="717"/>
      <c r="D63" s="717"/>
      <c r="E63" s="717"/>
    </row>
    <row r="64" spans="1:5">
      <c r="A64" s="750"/>
      <c r="B64" s="755" t="s">
        <v>1389</v>
      </c>
      <c r="C64" s="717">
        <f>+'LDF Trim'!AT75</f>
        <v>0</v>
      </c>
      <c r="D64" s="717">
        <f>+'LDF Trim'!AU75</f>
        <v>0</v>
      </c>
      <c r="E64" s="717">
        <f>+'LDF Trim'!AV75</f>
        <v>0</v>
      </c>
    </row>
    <row r="65" spans="1:5" ht="5.0999999999999996" customHeight="1">
      <c r="A65" s="750"/>
      <c r="B65" s="755"/>
      <c r="C65" s="717"/>
      <c r="D65" s="717"/>
      <c r="E65" s="717"/>
    </row>
    <row r="66" spans="1:5">
      <c r="A66" s="750"/>
      <c r="B66" s="755" t="s">
        <v>1125</v>
      </c>
      <c r="C66" s="753"/>
      <c r="D66" s="717">
        <f>+'LDF Trim'!AU77</f>
        <v>0</v>
      </c>
      <c r="E66" s="717">
        <f>+'LDF Trim'!AV77</f>
        <v>0</v>
      </c>
    </row>
    <row r="67" spans="1:5" ht="5.0999999999999996" customHeight="1">
      <c r="A67" s="750"/>
      <c r="B67" s="755"/>
      <c r="C67" s="717"/>
      <c r="D67" s="717"/>
      <c r="E67" s="717"/>
    </row>
    <row r="68" spans="1:5">
      <c r="A68" s="750"/>
      <c r="B68" s="756" t="s">
        <v>1399</v>
      </c>
      <c r="C68" s="715">
        <f>C59+C60-C64</f>
        <v>0</v>
      </c>
      <c r="D68" s="715">
        <f>D59+D60-D64-D66</f>
        <v>0</v>
      </c>
      <c r="E68" s="715">
        <f>E59+E60-E64-E66</f>
        <v>0</v>
      </c>
    </row>
    <row r="69" spans="1:5">
      <c r="A69" s="750"/>
      <c r="B69" s="756" t="s">
        <v>1402</v>
      </c>
      <c r="C69" s="715">
        <f>C68-C60</f>
        <v>0</v>
      </c>
      <c r="D69" s="715">
        <f t="shared" ref="D69:E69" si="12">D68-D60</f>
        <v>0</v>
      </c>
      <c r="E69" s="715">
        <f t="shared" si="12"/>
        <v>0</v>
      </c>
    </row>
    <row r="70" spans="1:5" ht="5.0999999999999996" customHeight="1">
      <c r="A70" s="758"/>
      <c r="B70" s="759"/>
      <c r="C70" s="760"/>
      <c r="D70" s="760"/>
      <c r="E70" s="760"/>
    </row>
  </sheetData>
  <mergeCells count="6">
    <mergeCell ref="A57:B57"/>
    <mergeCell ref="A1:E4"/>
    <mergeCell ref="A5:B5"/>
    <mergeCell ref="A24:B24"/>
    <mergeCell ref="A32:B32"/>
    <mergeCell ref="A43:B4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92"/>
  <sheetViews>
    <sheetView showGridLines="0" topLeftCell="EZ1" zoomScale="70" zoomScaleNormal="70" workbookViewId="0">
      <pane ySplit="3" topLeftCell="A4" activePane="bottomLeft" state="frozen"/>
      <selection pane="bottomLeft" activeCell="A4" sqref="A4"/>
    </sheetView>
  </sheetViews>
  <sheetFormatPr baseColWidth="10" defaultColWidth="7.28515625" defaultRowHeight="11.25"/>
  <cols>
    <col min="1" max="1" width="7.28515625" style="131"/>
    <col min="2" max="2" width="5.7109375" style="131" customWidth="1"/>
    <col min="3" max="3" width="53.5703125" style="343" customWidth="1"/>
    <col min="4" max="5" width="11.7109375" style="344" customWidth="1"/>
    <col min="6" max="6" width="5.7109375" style="131" customWidth="1"/>
    <col min="7" max="7" width="7.28515625" style="131" customWidth="1"/>
    <col min="8" max="8" width="7.28515625" style="131"/>
    <col min="9" max="9" width="5.7109375" style="131" customWidth="1"/>
    <col min="10" max="10" width="52.7109375" style="131" customWidth="1"/>
    <col min="11" max="11" width="10.7109375" style="131" customWidth="1"/>
    <col min="12" max="12" width="12.42578125" style="131" customWidth="1"/>
    <col min="13" max="13" width="4.7109375" style="131" customWidth="1"/>
    <col min="14" max="14" width="7.28515625" style="131" customWidth="1"/>
    <col min="15" max="15" width="7.28515625" style="131"/>
    <col min="16" max="16" width="5.7109375" style="131" customWidth="1"/>
    <col min="17" max="17" width="52.7109375" style="131" customWidth="1"/>
    <col min="18" max="22" width="16.28515625" style="131" customWidth="1"/>
    <col min="23" max="23" width="7.28515625" style="131" customWidth="1"/>
    <col min="24" max="24" width="7.28515625" style="131"/>
    <col min="25" max="25" width="5.7109375" style="131" customWidth="1"/>
    <col min="26" max="26" width="52.7109375" style="131" customWidth="1"/>
    <col min="27" max="28" width="10.7109375" style="131" customWidth="1"/>
    <col min="29" max="29" width="7.28515625" style="131" customWidth="1"/>
    <col min="30" max="30" width="7.28515625" style="131"/>
    <col min="31" max="31" width="5.7109375" style="131" customWidth="1"/>
    <col min="32" max="32" width="52.7109375" style="131" customWidth="1"/>
    <col min="33" max="33" width="13.140625" style="131" customWidth="1"/>
    <col min="34" max="34" width="12.42578125" style="131" customWidth="1"/>
    <col min="35" max="35" width="5.7109375" style="131" customWidth="1"/>
    <col min="36" max="36" width="7.28515625" style="131" customWidth="1"/>
    <col min="37" max="37" width="7.28515625" style="131"/>
    <col min="38" max="38" width="5.7109375" style="131" customWidth="1"/>
    <col min="39" max="39" width="45.42578125" style="131" customWidth="1"/>
    <col min="40" max="44" width="11.7109375" style="131" customWidth="1"/>
    <col min="45" max="45" width="7.28515625" style="131" customWidth="1"/>
    <col min="46" max="46" width="7.28515625" style="131"/>
    <col min="47" max="47" width="5.7109375" style="131" customWidth="1"/>
    <col min="48" max="48" width="29" style="131" customWidth="1"/>
    <col min="49" max="49" width="12.28515625" style="131" customWidth="1"/>
    <col min="50" max="50" width="14.28515625" style="131" customWidth="1"/>
    <col min="51" max="51" width="12.85546875" style="131" customWidth="1"/>
    <col min="52" max="52" width="12.28515625" style="131" customWidth="1"/>
    <col min="53" max="53" width="7.28515625" style="131" customWidth="1"/>
    <col min="54" max="54" width="7.28515625" style="131"/>
    <col min="55" max="55" width="27.5703125" style="131" bestFit="1" customWidth="1"/>
    <col min="56" max="56" width="37.28515625" style="131" customWidth="1"/>
    <col min="57" max="57" width="7.28515625" style="131" customWidth="1"/>
    <col min="58" max="58" width="7.28515625" style="131"/>
    <col min="59" max="59" width="5.7109375" style="131" customWidth="1"/>
    <col min="60" max="60" width="39.5703125" style="131" customWidth="1"/>
    <col min="61" max="63" width="11.7109375" style="131" customWidth="1"/>
    <col min="64" max="64" width="12.28515625" style="131" bestFit="1" customWidth="1"/>
    <col min="65" max="65" width="12.42578125" style="131" bestFit="1" customWidth="1"/>
    <col min="66" max="67" width="11.7109375" style="131" customWidth="1"/>
    <col min="68" max="69" width="7.28515625" style="131"/>
    <col min="70" max="70" width="5.7109375" style="131" customWidth="1"/>
    <col min="71" max="71" width="39.5703125" style="131" customWidth="1"/>
    <col min="72" max="74" width="11.7109375" style="131" customWidth="1"/>
    <col min="75" max="75" width="12.28515625" style="131" bestFit="1" customWidth="1"/>
    <col min="76" max="76" width="12.42578125" style="131" bestFit="1" customWidth="1"/>
    <col min="77" max="78" width="11.7109375" style="131" customWidth="1"/>
    <col min="79" max="80" width="7.28515625" style="131"/>
    <col min="81" max="81" width="5.7109375" style="131" customWidth="1"/>
    <col min="82" max="82" width="39.5703125" style="131" customWidth="1"/>
    <col min="83" max="85" width="11.7109375" style="131" customWidth="1"/>
    <col min="86" max="86" width="12.28515625" style="131" bestFit="1" customWidth="1"/>
    <col min="87" max="87" width="12.42578125" style="131" bestFit="1" customWidth="1"/>
    <col min="88" max="89" width="11.7109375" style="131" customWidth="1"/>
    <col min="90" max="91" width="7.28515625" style="131"/>
    <col min="92" max="92" width="8.28515625" style="241" bestFit="1" customWidth="1"/>
    <col min="93" max="93" width="56.7109375" style="241" customWidth="1"/>
    <col min="94" max="99" width="14.28515625" style="242" customWidth="1"/>
    <col min="100" max="100" width="9.28515625" style="241"/>
    <col min="101" max="101" width="7.28515625" style="131"/>
    <col min="102" max="102" width="8.28515625" style="241" bestFit="1" customWidth="1"/>
    <col min="103" max="103" width="56.7109375" style="241" customWidth="1"/>
    <col min="104" max="109" width="14.28515625" style="242" customWidth="1"/>
    <col min="110" max="110" width="7.28515625" style="241"/>
    <col min="111" max="111" width="7.28515625" style="131"/>
    <col min="112" max="112" width="5.7109375" style="131" customWidth="1"/>
    <col min="113" max="113" width="51.85546875" style="131" customWidth="1"/>
    <col min="114" max="119" width="14.42578125" style="131" customWidth="1"/>
    <col min="120" max="121" width="7.28515625" style="131"/>
    <col min="122" max="122" width="8.28515625" style="241" bestFit="1" customWidth="1"/>
    <col min="123" max="123" width="56.7109375" style="241" customWidth="1"/>
    <col min="124" max="129" width="14.28515625" style="242" customWidth="1"/>
    <col min="130" max="130" width="7.28515625" style="241"/>
    <col min="131" max="131" width="7.28515625" style="131"/>
    <col min="132" max="132" width="1.7109375" style="131" customWidth="1"/>
    <col min="133" max="133" width="30.28515625" style="131" customWidth="1"/>
    <col min="134" max="136" width="23.28515625" style="131" customWidth="1"/>
    <col min="137" max="138" width="7.28515625" style="131"/>
    <col min="139" max="139" width="5.42578125" style="131" bestFit="1" customWidth="1"/>
    <col min="140" max="140" width="33.28515625" style="131" customWidth="1"/>
    <col min="141" max="142" width="13.140625" style="131" customWidth="1"/>
    <col min="143" max="144" width="7.28515625" style="131"/>
    <col min="145" max="145" width="46.42578125" style="131" customWidth="1"/>
    <col min="146" max="148" width="15.28515625" style="131" customWidth="1"/>
    <col min="149" max="150" width="7.28515625" style="131"/>
    <col min="151" max="151" width="3.28515625" style="131" customWidth="1"/>
    <col min="152" max="152" width="53.140625" style="131" customWidth="1"/>
    <col min="153" max="155" width="11.7109375" style="131" customWidth="1"/>
    <col min="156" max="157" width="12.28515625" style="131" bestFit="1" customWidth="1"/>
    <col min="158" max="158" width="11.7109375" style="131" customWidth="1"/>
    <col min="159" max="16384" width="7.28515625" style="131"/>
  </cols>
  <sheetData>
    <row r="1" spans="1:158">
      <c r="A1" s="131" t="s">
        <v>374</v>
      </c>
      <c r="H1" s="131" t="s">
        <v>375</v>
      </c>
      <c r="O1" s="131" t="s">
        <v>376</v>
      </c>
      <c r="X1" s="131" t="s">
        <v>377</v>
      </c>
      <c r="AD1" s="131" t="s">
        <v>378</v>
      </c>
      <c r="AK1" s="131" t="s">
        <v>379</v>
      </c>
      <c r="AT1" s="131" t="s">
        <v>380</v>
      </c>
      <c r="AU1" s="345"/>
      <c r="AV1" s="345"/>
      <c r="AW1" s="345"/>
      <c r="AX1" s="345"/>
      <c r="AY1" s="345"/>
      <c r="AZ1" s="345"/>
      <c r="BA1" s="345"/>
      <c r="BB1" s="131" t="s">
        <v>382</v>
      </c>
      <c r="BF1" s="131" t="s">
        <v>776</v>
      </c>
      <c r="BQ1" s="131" t="s">
        <v>777</v>
      </c>
      <c r="CB1" s="131" t="s">
        <v>778</v>
      </c>
      <c r="CM1" s="131" t="s">
        <v>779</v>
      </c>
      <c r="CW1" s="131" t="s">
        <v>780</v>
      </c>
      <c r="DG1" s="131" t="s">
        <v>752</v>
      </c>
      <c r="DQ1" s="131" t="s">
        <v>782</v>
      </c>
      <c r="EA1" s="131" t="s">
        <v>781</v>
      </c>
      <c r="EH1" s="131" t="s">
        <v>783</v>
      </c>
      <c r="EN1" s="131" t="s">
        <v>784</v>
      </c>
      <c r="ET1" s="131" t="s">
        <v>785</v>
      </c>
    </row>
    <row r="2" spans="1:158" ht="44.45" customHeight="1">
      <c r="B2" s="1001" t="str">
        <f>+Títulos!$B$2&amp;"
ESTADO DE SITUACIÓN FINANCIERA
AL "&amp;Títulos!$B$3</f>
        <v>TRIBUNAL DE JUSTICIA ADMINISTRATIVA
ESTADO DE SITUACIÓN FINANCIERA
AL 31 DE DICIEMBRE DE 2017</v>
      </c>
      <c r="C2" s="1002"/>
      <c r="D2" s="1002"/>
      <c r="E2" s="1002"/>
      <c r="F2" s="1003"/>
      <c r="I2" s="1001" t="str">
        <f>+Títulos!$B$2&amp;"
ESTADO DE ACTIVIDADES
DEL 01 DE ENERO AL "&amp;Títulos!$B$3</f>
        <v>TRIBUNAL DE JUSTICIA ADMINISTRATIVA
ESTADO DE ACTIVIDADES
DEL 01 DE ENERO AL 31 DE DICIEMBRE DE 2017</v>
      </c>
      <c r="J2" s="1002"/>
      <c r="K2" s="1002"/>
      <c r="L2" s="1002"/>
      <c r="M2" s="1003"/>
      <c r="P2" s="1001" t="str">
        <f>+Títulos!$B$2&amp;"
ESTADO DE VARIACIÓN EN LA HACIENDA PÚBLICA
DEL 01 DE ENERO AL "&amp;Títulos!$B$3</f>
        <v>TRIBUNAL DE JUSTICIA ADMINISTRATIVA
ESTADO DE VARIACIÓN EN LA HACIENDA PÚBLICA
DEL 01 DE ENERO AL 31 DE DICIEMBRE DE 2017</v>
      </c>
      <c r="Q2" s="1002"/>
      <c r="R2" s="1002"/>
      <c r="S2" s="1002"/>
      <c r="T2" s="1002"/>
      <c r="U2" s="1002"/>
      <c r="V2" s="1003"/>
      <c r="Y2" s="1001" t="str">
        <f>+Títulos!$B$2&amp;"
ESTADO DE CAMBIOS EN LA SITUACION FINANCIERA
DEL 01 DE ENERO AL "&amp;Títulos!$B$3</f>
        <v>TRIBUNAL DE JUSTICIA ADMINISTRATIVA
ESTADO DE CAMBIOS EN LA SITUACION FINANCIERA
DEL 01 DE ENERO AL 31 DE DICIEMBRE DE 2017</v>
      </c>
      <c r="Z2" s="1002"/>
      <c r="AA2" s="1002"/>
      <c r="AB2" s="1002"/>
      <c r="AE2" s="1001" t="str">
        <f>+Títulos!$B$2&amp;"
ESTADO DE FLUJOS DE EFECTIVO
DEL 01 DE ENERO AL "&amp;Títulos!$B$3</f>
        <v>TRIBUNAL DE JUSTICIA ADMINISTRATIVA
ESTADO DE FLUJOS DE EFECTIVO
DEL 01 DE ENERO AL 31 DE DICIEMBRE DE 2017</v>
      </c>
      <c r="AF2" s="1002"/>
      <c r="AG2" s="1002"/>
      <c r="AH2" s="1002"/>
      <c r="AI2" s="1003"/>
      <c r="AL2" s="1001" t="str">
        <f>+Títulos!$B$2&amp;"
ESTADO ANALITICO DEL ACTIVO
DEL 01 DE ENERO AL "&amp;Títulos!$B$3</f>
        <v>TRIBUNAL DE JUSTICIA ADMINISTRATIVA
ESTADO ANALITICO DEL ACTIVO
DEL 01 DE ENERO AL 31 DE DICIEMBRE DE 2017</v>
      </c>
      <c r="AM2" s="1002"/>
      <c r="AN2" s="1002"/>
      <c r="AO2" s="1002"/>
      <c r="AP2" s="1002"/>
      <c r="AQ2" s="1002"/>
      <c r="AR2" s="1003"/>
      <c r="AU2" s="1001" t="str">
        <f>+Títulos!$B$2&amp;"
ESTADO ANALITICO DE LA DEUDA Y OTROS PASIVOS
DEL 01 DE ENERO AL "&amp;Títulos!$B$3</f>
        <v>TRIBUNAL DE JUSTICIA ADMINISTRATIVA
ESTADO ANALITICO DE LA DEUDA Y OTROS PASIVOS
DEL 01 DE ENERO AL 31 DE DICIEMBRE DE 2017</v>
      </c>
      <c r="AV2" s="1002"/>
      <c r="AW2" s="1002"/>
      <c r="AX2" s="1002"/>
      <c r="AY2" s="1002"/>
      <c r="AZ2" s="1002"/>
      <c r="BC2" s="1004" t="str">
        <f>+Títulos!$B$2&amp;"
INFORME SOBRE PASIVOS CONTINGENTES
AL "&amp;Títulos!$B$3</f>
        <v>TRIBUNAL DE JUSTICIA ADMINISTRATIVA
INFORME SOBRE PASIVOS CONTINGENTES
AL 31 DE DICIEMBRE DE 2017</v>
      </c>
      <c r="BD2" s="1005"/>
      <c r="BG2" s="1016" t="str">
        <f>+Títulos!$B$2&amp;"
ESTADO ANALITICO DE INGRESOS POR RUBRO
DEL 01 DE ENERO AL "&amp;Títulos!$B$3</f>
        <v>TRIBUNAL DE JUSTICIA ADMINISTRATIVA
ESTADO ANALITICO DE INGRESOS POR RUBRO
DEL 01 DE ENERO AL 31 DE DICIEMBRE DE 2017</v>
      </c>
      <c r="BH2" s="1017"/>
      <c r="BI2" s="1017"/>
      <c r="BJ2" s="1017"/>
      <c r="BK2" s="1017"/>
      <c r="BL2" s="1017"/>
      <c r="BM2" s="1017"/>
      <c r="BN2" s="1017"/>
      <c r="BO2" s="1018"/>
      <c r="BR2" s="1016" t="str">
        <f>+Títulos!$B$2&amp;"
ESTADO ANALITICO DE INGRESOS POR FUENTE
DEL 01 DE ENERO AL "&amp;Títulos!$B$3</f>
        <v>TRIBUNAL DE JUSTICIA ADMINISTRATIVA
ESTADO ANALITICO DE INGRESOS POR FUENTE
DEL 01 DE ENERO AL 31 DE DICIEMBRE DE 2017</v>
      </c>
      <c r="BS2" s="1017"/>
      <c r="BT2" s="1017"/>
      <c r="BU2" s="1017"/>
      <c r="BV2" s="1017"/>
      <c r="BW2" s="1017"/>
      <c r="BX2" s="1017"/>
      <c r="BY2" s="1017"/>
      <c r="BZ2" s="1018"/>
      <c r="CC2" s="1016" t="str">
        <f>+Títulos!$B$2&amp;"
ESTADO ANALITICO DE INGRESOS POR CONCEPTO
DEL 01 DE ENERO AL "&amp;Títulos!$B$3</f>
        <v>TRIBUNAL DE JUSTICIA ADMINISTRATIVA
ESTADO ANALITICO DE INGRESOS POR CONCEPTO
DEL 01 DE ENERO AL 31 DE DICIEMBRE DE 2017</v>
      </c>
      <c r="CD2" s="1017"/>
      <c r="CE2" s="1017"/>
      <c r="CF2" s="1017"/>
      <c r="CG2" s="1017"/>
      <c r="CH2" s="1017"/>
      <c r="CI2" s="1017"/>
      <c r="CJ2" s="1017"/>
      <c r="CK2" s="1018"/>
      <c r="CN2" s="998" t="str">
        <f>+Títulos!$B$2&amp;"
ESTADO ANALÍTICO DEL EJERCICIO DEL PRESUPUESTO DE EGRESOS CLASIFICACIÓN ADMINISTRATIVA
DEL 01 DE ENERO AL "&amp;Títulos!$B$3</f>
        <v>TRIBUNAL DE JUSTICIA ADMINISTRATIVA
ESTADO ANALÍTICO DEL EJERCICIO DEL PRESUPUESTO DE EGRESOS CLASIFICACIÓN ADMINISTRATIVA
DEL 01 DE ENERO AL 31 DE DICIEMBRE DE 2017</v>
      </c>
      <c r="CO2" s="999"/>
      <c r="CP2" s="999"/>
      <c r="CQ2" s="999"/>
      <c r="CR2" s="999"/>
      <c r="CS2" s="999"/>
      <c r="CT2" s="999"/>
      <c r="CU2" s="1000"/>
      <c r="CX2" s="998" t="str">
        <f>+Títulos!$B$2&amp;"
ESTADO ANALÍTICO DEL EJERCICIO DEL PRESUPUESTO DE EGRESOS CLASIFICACIÓN ECONÓMICA (POR TIPO DE GASTO)
DEL 01 DE ENERO AL "&amp;Títulos!$B$3</f>
        <v>TRIBUNAL DE JUSTICIA ADMINISTRATIVA
ESTADO ANALÍTICO DEL EJERCICIO DEL PRESUPUESTO DE EGRESOS CLASIFICACIÓN ECONÓMICA (POR TIPO DE GASTO)
DEL 01 DE ENERO AL 31 DE DICIEMBRE DE 2017</v>
      </c>
      <c r="CY2" s="999"/>
      <c r="CZ2" s="999"/>
      <c r="DA2" s="999"/>
      <c r="DB2" s="999"/>
      <c r="DC2" s="999"/>
      <c r="DD2" s="999"/>
      <c r="DE2" s="1000"/>
      <c r="DH2" s="998" t="str">
        <f>+Títulos!$B$2&amp;"
ESTADO ANALÍTICO DEL EJERCICIO DEL PRESUPUESTO DE EGRESOS
CLASIFICACIÓN POR OBJETO DEL GASTO (CAPÍTULO Y CONCEPTO)
DEL 01 DE ENERO AL "&amp;Títulos!$B$3</f>
        <v>TRIBUNAL DE JUSTICIA ADMINISTRATIVA
ESTADO ANALÍTICO DEL EJERCICIO DEL PRESUPUESTO DE EGRESOS
CLASIFICACIÓN POR OBJETO DEL GASTO (CAPÍTULO Y CONCEPTO)
DEL 01 DE ENERO AL 31 DE DICIEMBRE DE 2017</v>
      </c>
      <c r="DI2" s="999"/>
      <c r="DJ2" s="999"/>
      <c r="DK2" s="999"/>
      <c r="DL2" s="999"/>
      <c r="DM2" s="999"/>
      <c r="DN2" s="999"/>
      <c r="DO2" s="1000"/>
      <c r="DR2" s="998" t="str">
        <f>+Títulos!$B$2&amp;"
ESTADO ANALÍTICO DEL EJERCICIO DEL PRESUPUESTO DE EGRESOS CLASIFICACIÓN FUNCIONAL (FINALIDAD Y FUNCIÓN)
DEL 01 DE ENERO AL "&amp;Títulos!$B$3</f>
        <v>TRIBUNAL DE JUSTICIA ADMINISTRATIVA
ESTADO ANALÍTICO DEL EJERCICIO DEL PRESUPUESTO DE EGRESOS CLASIFICACIÓN FUNCIONAL (FINALIDAD Y FUNCIÓN)
DEL 01 DE ENERO AL 31 DE DICIEMBRE DE 2017</v>
      </c>
      <c r="DS2" s="999"/>
      <c r="DT2" s="999"/>
      <c r="DU2" s="999"/>
      <c r="DV2" s="999"/>
      <c r="DW2" s="999"/>
      <c r="DX2" s="999"/>
      <c r="DY2" s="1000"/>
      <c r="EB2" s="1006" t="str">
        <f>+Títulos!$B$2&amp;"
ENDEUDAMIENTO NETO
DEL 01 DE ENERO AL "&amp;Títulos!$B$3</f>
        <v>TRIBUNAL DE JUSTICIA ADMINISTRATIVA
ENDEUDAMIENTO NETO
DEL 01 DE ENERO AL 31 DE DICIEMBRE DE 2017</v>
      </c>
      <c r="EC2" s="1006"/>
      <c r="ED2" s="1006"/>
      <c r="EE2" s="1006"/>
      <c r="EF2" s="1007"/>
      <c r="EI2" s="1008" t="str">
        <f>+Títulos!$B$2&amp;"
INTERESES DE LA DEUDA
DEL 01 DE ENERO AL "&amp;Títulos!$B$3</f>
        <v>TRIBUNAL DE JUSTICIA ADMINISTRATIVA
INTERESES DE LA DEUDA
DEL 01 DE ENERO AL 31 DE DICIEMBRE DE 2017</v>
      </c>
      <c r="EJ2" s="1008"/>
      <c r="EK2" s="1008"/>
      <c r="EL2" s="1009"/>
      <c r="EM2" s="4"/>
      <c r="EN2" s="4"/>
      <c r="EO2" s="1010" t="str">
        <f>+Títulos!$B$2&amp;"
FLUJO DE FONDOS (INDICADORES DE LA POSTURA FISCAL)
DEL 01 DE ENERO AL "&amp;Títulos!$B$3</f>
        <v>TRIBUNAL DE JUSTICIA ADMINISTRATIVA
FLUJO DE FONDOS (INDICADORES DE LA POSTURA FISCAL)
DEL 01 DE ENERO AL 31 DE DICIEMBRE DE 2017</v>
      </c>
      <c r="EP2" s="1011"/>
      <c r="EQ2" s="1011"/>
      <c r="ER2" s="1012"/>
      <c r="EU2" s="998" t="str">
        <f>+Títulos!$B$2&amp;"
GASTO POR CATEGORIA PROGRAMATICA
DEL 01 DE ENERO AL "&amp;Títulos!$B$3</f>
        <v>TRIBUNAL DE JUSTICIA ADMINISTRATIVA
GASTO POR CATEGORIA PROGRAMATICA
DEL 01 DE ENERO AL 31 DE DICIEMBRE DE 2017</v>
      </c>
      <c r="EV2" s="999"/>
      <c r="EW2" s="999"/>
      <c r="EX2" s="999"/>
      <c r="EY2" s="999"/>
      <c r="EZ2" s="999"/>
      <c r="FA2" s="999"/>
      <c r="FB2" s="1000"/>
    </row>
    <row r="3" spans="1:158" ht="20.45" customHeight="1">
      <c r="B3" s="360"/>
      <c r="C3" s="360" t="s">
        <v>1</v>
      </c>
      <c r="D3" s="586" t="s">
        <v>1531</v>
      </c>
      <c r="E3" s="586" t="s">
        <v>1532</v>
      </c>
      <c r="F3" s="360" t="s">
        <v>2</v>
      </c>
      <c r="I3" s="360" t="s">
        <v>0</v>
      </c>
      <c r="J3" s="360" t="s">
        <v>1</v>
      </c>
      <c r="K3" s="586" t="s">
        <v>1531</v>
      </c>
      <c r="L3" s="586" t="s">
        <v>1532</v>
      </c>
      <c r="M3" s="360" t="s">
        <v>2</v>
      </c>
      <c r="P3" s="1034" t="s">
        <v>0</v>
      </c>
      <c r="Q3" s="1035" t="s">
        <v>150</v>
      </c>
      <c r="R3" s="1036" t="s">
        <v>151</v>
      </c>
      <c r="S3" s="1036" t="s">
        <v>152</v>
      </c>
      <c r="T3" s="1036" t="s">
        <v>153</v>
      </c>
      <c r="U3" s="1036" t="s">
        <v>154</v>
      </c>
      <c r="V3" s="1036" t="s">
        <v>155</v>
      </c>
      <c r="Y3" s="360" t="s">
        <v>0</v>
      </c>
      <c r="Z3" s="1" t="s">
        <v>1</v>
      </c>
      <c r="AA3" s="361" t="s">
        <v>101</v>
      </c>
      <c r="AB3" s="361" t="s">
        <v>113</v>
      </c>
      <c r="AE3" s="360" t="s">
        <v>0</v>
      </c>
      <c r="AF3" s="361" t="s">
        <v>1</v>
      </c>
      <c r="AG3" s="586" t="s">
        <v>1531</v>
      </c>
      <c r="AH3" s="586" t="s">
        <v>1532</v>
      </c>
      <c r="AI3" s="360" t="s">
        <v>2</v>
      </c>
      <c r="AL3" s="1034" t="s">
        <v>0</v>
      </c>
      <c r="AM3" s="1035" t="s">
        <v>1</v>
      </c>
      <c r="AN3" s="1037" t="s">
        <v>94</v>
      </c>
      <c r="AO3" s="1037" t="s">
        <v>95</v>
      </c>
      <c r="AP3" s="1037" t="s">
        <v>96</v>
      </c>
      <c r="AQ3" s="1037" t="s">
        <v>97</v>
      </c>
      <c r="AR3" s="1037" t="s">
        <v>98</v>
      </c>
      <c r="AU3" s="1034" t="s">
        <v>0</v>
      </c>
      <c r="AV3" s="1035" t="s">
        <v>1</v>
      </c>
      <c r="AW3" s="1037" t="s">
        <v>76</v>
      </c>
      <c r="AX3" s="1037" t="s">
        <v>77</v>
      </c>
      <c r="AY3" s="1037" t="s">
        <v>78</v>
      </c>
      <c r="AZ3" s="1037" t="s">
        <v>79</v>
      </c>
      <c r="BC3" s="361" t="s">
        <v>1</v>
      </c>
      <c r="BD3" s="361" t="s">
        <v>71</v>
      </c>
      <c r="BG3" s="1049" t="s">
        <v>227</v>
      </c>
      <c r="BH3" s="1049" t="s">
        <v>71</v>
      </c>
      <c r="BI3" s="1050" t="s">
        <v>228</v>
      </c>
      <c r="BJ3" s="1050" t="s">
        <v>254</v>
      </c>
      <c r="BK3" s="1050" t="s">
        <v>230</v>
      </c>
      <c r="BL3" s="1050" t="s">
        <v>231</v>
      </c>
      <c r="BM3" s="1050" t="s">
        <v>232</v>
      </c>
      <c r="BN3" s="1050" t="s">
        <v>233</v>
      </c>
      <c r="BO3" s="1050" t="s">
        <v>234</v>
      </c>
      <c r="BR3" s="1049" t="s">
        <v>227</v>
      </c>
      <c r="BS3" s="1049" t="s">
        <v>71</v>
      </c>
      <c r="BT3" s="1050" t="s">
        <v>228</v>
      </c>
      <c r="BU3" s="1050" t="s">
        <v>254</v>
      </c>
      <c r="BV3" s="1050" t="s">
        <v>230</v>
      </c>
      <c r="BW3" s="1050" t="s">
        <v>231</v>
      </c>
      <c r="BX3" s="1050" t="s">
        <v>232</v>
      </c>
      <c r="BY3" s="1050" t="s">
        <v>233</v>
      </c>
      <c r="BZ3" s="1050" t="s">
        <v>234</v>
      </c>
      <c r="CC3" s="1049" t="s">
        <v>227</v>
      </c>
      <c r="CD3" s="1049" t="s">
        <v>71</v>
      </c>
      <c r="CE3" s="1050" t="s">
        <v>228</v>
      </c>
      <c r="CF3" s="1050" t="s">
        <v>254</v>
      </c>
      <c r="CG3" s="1050" t="s">
        <v>230</v>
      </c>
      <c r="CH3" s="1050" t="s">
        <v>231</v>
      </c>
      <c r="CI3" s="1050" t="s">
        <v>232</v>
      </c>
      <c r="CJ3" s="1050" t="s">
        <v>233</v>
      </c>
      <c r="CK3" s="1050" t="s">
        <v>234</v>
      </c>
      <c r="CN3" s="423" t="s">
        <v>655</v>
      </c>
      <c r="CO3" s="424" t="s">
        <v>71</v>
      </c>
      <c r="CP3" s="425" t="s">
        <v>253</v>
      </c>
      <c r="CQ3" s="425" t="s">
        <v>254</v>
      </c>
      <c r="CR3" s="425" t="s">
        <v>230</v>
      </c>
      <c r="CS3" s="425" t="s">
        <v>231</v>
      </c>
      <c r="CT3" s="425" t="s">
        <v>255</v>
      </c>
      <c r="CU3" s="425" t="s">
        <v>256</v>
      </c>
      <c r="CX3" s="430" t="s">
        <v>251</v>
      </c>
      <c r="CY3" s="430" t="s">
        <v>71</v>
      </c>
      <c r="CZ3" s="429" t="s">
        <v>253</v>
      </c>
      <c r="DA3" s="429" t="s">
        <v>254</v>
      </c>
      <c r="DB3" s="429" t="s">
        <v>230</v>
      </c>
      <c r="DC3" s="429" t="s">
        <v>231</v>
      </c>
      <c r="DD3" s="429" t="s">
        <v>255</v>
      </c>
      <c r="DE3" s="429" t="s">
        <v>256</v>
      </c>
      <c r="DH3" s="1040" t="s">
        <v>252</v>
      </c>
      <c r="DI3" s="1040" t="s">
        <v>71</v>
      </c>
      <c r="DJ3" s="1038" t="s">
        <v>253</v>
      </c>
      <c r="DK3" s="1038" t="s">
        <v>254</v>
      </c>
      <c r="DL3" s="1038" t="s">
        <v>230</v>
      </c>
      <c r="DM3" s="1038" t="s">
        <v>231</v>
      </c>
      <c r="DN3" s="1038" t="s">
        <v>255</v>
      </c>
      <c r="DO3" s="1038" t="s">
        <v>256</v>
      </c>
      <c r="DR3" s="430" t="s">
        <v>249</v>
      </c>
      <c r="DS3" s="430" t="s">
        <v>71</v>
      </c>
      <c r="DT3" s="429" t="s">
        <v>253</v>
      </c>
      <c r="DU3" s="429" t="s">
        <v>254</v>
      </c>
      <c r="DV3" s="429" t="s">
        <v>230</v>
      </c>
      <c r="DW3" s="429" t="s">
        <v>231</v>
      </c>
      <c r="DX3" s="429" t="s">
        <v>255</v>
      </c>
      <c r="DY3" s="429" t="s">
        <v>256</v>
      </c>
      <c r="EB3" s="8"/>
      <c r="EC3" s="9" t="s">
        <v>281</v>
      </c>
      <c r="ED3" s="8" t="s">
        <v>282</v>
      </c>
      <c r="EE3" s="8" t="s">
        <v>283</v>
      </c>
      <c r="EF3" s="10" t="s">
        <v>284</v>
      </c>
      <c r="EI3" s="8"/>
      <c r="EJ3" s="9" t="s">
        <v>281</v>
      </c>
      <c r="EK3" s="8" t="s">
        <v>231</v>
      </c>
      <c r="EL3" s="10" t="s">
        <v>255</v>
      </c>
      <c r="EM3" s="4"/>
      <c r="EN3" s="4"/>
      <c r="EO3" s="359" t="s">
        <v>71</v>
      </c>
      <c r="EP3" s="358" t="s">
        <v>291</v>
      </c>
      <c r="EQ3" s="358" t="s">
        <v>231</v>
      </c>
      <c r="ER3" s="358" t="s">
        <v>292</v>
      </c>
      <c r="EU3" s="1041" t="s">
        <v>250</v>
      </c>
      <c r="EV3" s="1040" t="s">
        <v>71</v>
      </c>
      <c r="EW3" s="1038" t="s">
        <v>253</v>
      </c>
      <c r="EX3" s="1038" t="s">
        <v>254</v>
      </c>
      <c r="EY3" s="1038" t="s">
        <v>230</v>
      </c>
      <c r="EZ3" s="1038" t="s">
        <v>231</v>
      </c>
      <c r="FA3" s="1038" t="s">
        <v>255</v>
      </c>
      <c r="FB3" s="1038" t="s">
        <v>256</v>
      </c>
    </row>
    <row r="4" spans="1:158">
      <c r="A4" s="346"/>
      <c r="B4" s="19">
        <v>1000</v>
      </c>
      <c r="C4" s="13" t="s">
        <v>3</v>
      </c>
      <c r="D4" s="110">
        <f ca="1">+D5+D13</f>
        <v>35898886.349999994</v>
      </c>
      <c r="E4" s="110">
        <f ca="1">+E5+E13</f>
        <v>31227829.200000003</v>
      </c>
      <c r="F4" s="20"/>
      <c r="G4" s="346"/>
      <c r="H4" s="346"/>
      <c r="I4" s="21">
        <v>4000</v>
      </c>
      <c r="J4" s="61" t="s">
        <v>170</v>
      </c>
      <c r="K4" s="114">
        <f ca="1">+K5+K14+K17</f>
        <v>86401234.179999992</v>
      </c>
      <c r="L4" s="114">
        <f ca="1">+L5+L14+L17</f>
        <v>73275719.019999996</v>
      </c>
      <c r="M4" s="63"/>
      <c r="N4" s="346"/>
      <c r="O4" s="346"/>
      <c r="P4" s="1034"/>
      <c r="Q4" s="1035"/>
      <c r="R4" s="1036"/>
      <c r="S4" s="1036"/>
      <c r="T4" s="1036"/>
      <c r="U4" s="1036"/>
      <c r="V4" s="1036"/>
      <c r="W4" s="346"/>
      <c r="X4" s="346"/>
      <c r="Y4" s="19">
        <v>1000</v>
      </c>
      <c r="Z4" s="13" t="s">
        <v>3</v>
      </c>
      <c r="AA4" s="119">
        <f t="shared" ref="AA4:AA22" ca="1" si="0">IF(E4&gt;D4,E4-D4,0)</f>
        <v>0</v>
      </c>
      <c r="AB4" s="119">
        <f t="shared" ref="AB4:AB22" ca="1" si="1">IF(D4&gt;E4,D4-E4,0)</f>
        <v>4671057.1499999911</v>
      </c>
      <c r="AC4" s="346"/>
      <c r="AD4" s="346"/>
      <c r="AE4" s="23"/>
      <c r="AF4" s="14" t="s">
        <v>99</v>
      </c>
      <c r="AG4" s="146">
        <f ca="1">+AG34</f>
        <v>2925534.3100000024</v>
      </c>
      <c r="AH4" s="146">
        <f ca="1">+AH34</f>
        <v>905941.17000000179</v>
      </c>
      <c r="AI4" s="24" t="s">
        <v>100</v>
      </c>
      <c r="AJ4" s="346"/>
      <c r="AK4" s="346"/>
      <c r="AL4" s="1034"/>
      <c r="AM4" s="1035"/>
      <c r="AN4" s="1037"/>
      <c r="AO4" s="1037"/>
      <c r="AP4" s="1037"/>
      <c r="AQ4" s="1037"/>
      <c r="AR4" s="1037"/>
      <c r="AS4" s="346"/>
      <c r="AT4" s="346"/>
      <c r="AU4" s="1034"/>
      <c r="AV4" s="1035"/>
      <c r="AW4" s="1037"/>
      <c r="AX4" s="1037"/>
      <c r="AY4" s="1037"/>
      <c r="AZ4" s="1037"/>
      <c r="BA4" s="346"/>
      <c r="BB4" s="346"/>
      <c r="BC4" s="65" t="s">
        <v>72</v>
      </c>
      <c r="BD4" s="382" t="s">
        <v>381</v>
      </c>
      <c r="BE4" s="346"/>
      <c r="BF4" s="346"/>
      <c r="BG4" s="1049"/>
      <c r="BH4" s="1049"/>
      <c r="BI4" s="1050"/>
      <c r="BJ4" s="1050"/>
      <c r="BK4" s="1050"/>
      <c r="BL4" s="1050"/>
      <c r="BM4" s="1050"/>
      <c r="BN4" s="1050"/>
      <c r="BO4" s="1050"/>
      <c r="BP4" s="346"/>
      <c r="BQ4" s="346"/>
      <c r="BR4" s="1049"/>
      <c r="BS4" s="1049"/>
      <c r="BT4" s="1050"/>
      <c r="BU4" s="1050"/>
      <c r="BV4" s="1050"/>
      <c r="BW4" s="1050"/>
      <c r="BX4" s="1050"/>
      <c r="BY4" s="1050"/>
      <c r="BZ4" s="1050"/>
      <c r="CA4" s="346"/>
      <c r="CB4" s="346"/>
      <c r="CC4" s="1049"/>
      <c r="CD4" s="1049"/>
      <c r="CE4" s="1050"/>
      <c r="CF4" s="1050"/>
      <c r="CG4" s="1050"/>
      <c r="CH4" s="1050"/>
      <c r="CI4" s="1050"/>
      <c r="CJ4" s="1050"/>
      <c r="CK4" s="1050"/>
      <c r="CL4" s="346"/>
      <c r="CM4" s="346"/>
      <c r="CN4" s="385">
        <v>900001</v>
      </c>
      <c r="CO4" s="392" t="s">
        <v>257</v>
      </c>
      <c r="CP4" s="393">
        <f>+CP5</f>
        <v>80405840.50999999</v>
      </c>
      <c r="CQ4" s="393">
        <f t="shared" ref="CQ4:CU8" si="2">+CQ5</f>
        <v>8457903.8100000024</v>
      </c>
      <c r="CR4" s="393">
        <f t="shared" si="2"/>
        <v>88863744.319999993</v>
      </c>
      <c r="CS4" s="393">
        <f t="shared" si="2"/>
        <v>86193205.109999999</v>
      </c>
      <c r="CT4" s="393">
        <f t="shared" si="2"/>
        <v>84872096.260000005</v>
      </c>
      <c r="CU4" s="393">
        <f t="shared" si="2"/>
        <v>2670539.2099999934</v>
      </c>
      <c r="CW4" s="346"/>
      <c r="CX4" s="385">
        <v>900001</v>
      </c>
      <c r="CY4" s="392" t="s">
        <v>257</v>
      </c>
      <c r="CZ4" s="399">
        <f t="shared" ref="CZ4:DE4" si="3">SUM(CZ5:CZ9)</f>
        <v>80405840.50999999</v>
      </c>
      <c r="DA4" s="399">
        <f t="shared" si="3"/>
        <v>8457903.8100000005</v>
      </c>
      <c r="DB4" s="399">
        <f t="shared" si="3"/>
        <v>88863744.319999978</v>
      </c>
      <c r="DC4" s="399">
        <f t="shared" si="3"/>
        <v>86193205.110000029</v>
      </c>
      <c r="DD4" s="399">
        <f t="shared" si="3"/>
        <v>84872096.26000002</v>
      </c>
      <c r="DE4" s="399">
        <f t="shared" si="3"/>
        <v>2670539.2099999487</v>
      </c>
      <c r="DG4" s="346"/>
      <c r="DH4" s="1040"/>
      <c r="DI4" s="1040"/>
      <c r="DJ4" s="1038"/>
      <c r="DK4" s="1038"/>
      <c r="DL4" s="1038"/>
      <c r="DM4" s="1038"/>
      <c r="DN4" s="1038"/>
      <c r="DO4" s="1038"/>
      <c r="DP4" s="346"/>
      <c r="DQ4" s="346"/>
      <c r="DR4" s="233">
        <v>900001</v>
      </c>
      <c r="DS4" s="234" t="s">
        <v>257</v>
      </c>
      <c r="DT4" s="393">
        <f t="shared" ref="DT4:DY4" si="4">+DT5+DT14+DT22+DT32</f>
        <v>80405840.509999976</v>
      </c>
      <c r="DU4" s="393">
        <f t="shared" si="4"/>
        <v>8457903.8100000042</v>
      </c>
      <c r="DV4" s="393">
        <f t="shared" si="4"/>
        <v>88863744.319999978</v>
      </c>
      <c r="DW4" s="393">
        <f t="shared" si="4"/>
        <v>86193205.110000029</v>
      </c>
      <c r="DX4" s="393">
        <f t="shared" si="4"/>
        <v>84872096.260000035</v>
      </c>
      <c r="DY4" s="393">
        <f t="shared" si="4"/>
        <v>2670539.2099999487</v>
      </c>
      <c r="EA4" s="346"/>
      <c r="EB4" s="678"/>
      <c r="EC4" s="245" t="s">
        <v>285</v>
      </c>
      <c r="ED4" s="245"/>
      <c r="EE4" s="245"/>
      <c r="EF4" s="670"/>
      <c r="EG4" s="346"/>
      <c r="EH4" s="346"/>
      <c r="EI4" s="251"/>
      <c r="EJ4" s="249" t="s">
        <v>285</v>
      </c>
      <c r="EK4" s="683"/>
      <c r="EL4" s="684"/>
      <c r="EM4" s="67"/>
      <c r="EN4" s="67"/>
      <c r="EO4" s="68" t="s">
        <v>293</v>
      </c>
      <c r="EP4" s="340">
        <f>EP5+EP6</f>
        <v>80405840.510000005</v>
      </c>
      <c r="EQ4" s="340">
        <f>EQ5+EQ6</f>
        <v>88863739.419999987</v>
      </c>
      <c r="ER4" s="340">
        <f>ER5+ER6</f>
        <v>88863739.419999987</v>
      </c>
      <c r="ES4" s="346"/>
      <c r="ET4" s="346"/>
      <c r="EU4" s="1041"/>
      <c r="EV4" s="1040"/>
      <c r="EW4" s="1038"/>
      <c r="EX4" s="1038"/>
      <c r="EY4" s="1038"/>
      <c r="EZ4" s="1038"/>
      <c r="FA4" s="1038"/>
      <c r="FB4" s="1038"/>
    </row>
    <row r="5" spans="1:158" ht="10.15" customHeight="1">
      <c r="A5" s="346"/>
      <c r="B5" s="21">
        <v>1100</v>
      </c>
      <c r="C5" s="14" t="s">
        <v>4</v>
      </c>
      <c r="D5" s="111">
        <f ca="1">SUM(D6:D12)</f>
        <v>15730730.699999999</v>
      </c>
      <c r="E5" s="111">
        <f ca="1">SUM(E6:E12)</f>
        <v>11361825.720000001</v>
      </c>
      <c r="F5" s="24"/>
      <c r="G5" s="346"/>
      <c r="H5" s="346"/>
      <c r="I5" s="21">
        <v>4100</v>
      </c>
      <c r="J5" s="61" t="s">
        <v>171</v>
      </c>
      <c r="K5" s="115">
        <f ca="1">SUM(K6:K13)</f>
        <v>2925534.31</v>
      </c>
      <c r="L5" s="115">
        <f ca="1">SUM(L6:L13)</f>
        <v>905941.16999999993</v>
      </c>
      <c r="M5" s="69" t="s">
        <v>172</v>
      </c>
      <c r="N5" s="346"/>
      <c r="O5" s="346"/>
      <c r="P5" s="1034"/>
      <c r="Q5" s="1035"/>
      <c r="R5" s="1036"/>
      <c r="S5" s="1036"/>
      <c r="T5" s="1036"/>
      <c r="U5" s="1036"/>
      <c r="V5" s="1036"/>
      <c r="W5" s="346"/>
      <c r="X5" s="346"/>
      <c r="Y5" s="21">
        <v>1100</v>
      </c>
      <c r="Z5" s="14" t="s">
        <v>4</v>
      </c>
      <c r="AA5" s="121">
        <f t="shared" ca="1" si="0"/>
        <v>0</v>
      </c>
      <c r="AB5" s="121">
        <f t="shared" ca="1" si="1"/>
        <v>4368904.9799999986</v>
      </c>
      <c r="AC5" s="346"/>
      <c r="AD5" s="346"/>
      <c r="AE5" s="32">
        <v>900001</v>
      </c>
      <c r="AF5" s="14" t="s">
        <v>101</v>
      </c>
      <c r="AG5" s="128">
        <f ca="1">SUM(AG6:AG16)</f>
        <v>86401234.179999992</v>
      </c>
      <c r="AH5" s="128">
        <f ca="1">SUM(AH6:AH16)</f>
        <v>73275719.019999996</v>
      </c>
      <c r="AI5" s="24"/>
      <c r="AJ5" s="346"/>
      <c r="AK5" s="346"/>
      <c r="AL5" s="1034"/>
      <c r="AM5" s="1035"/>
      <c r="AN5" s="1037"/>
      <c r="AO5" s="1037"/>
      <c r="AP5" s="1037"/>
      <c r="AQ5" s="1037"/>
      <c r="AR5" s="1037"/>
      <c r="AS5" s="346"/>
      <c r="AT5" s="346"/>
      <c r="AU5" s="1034"/>
      <c r="AV5" s="1035"/>
      <c r="AW5" s="1037"/>
      <c r="AX5" s="1037"/>
      <c r="AY5" s="1037"/>
      <c r="AZ5" s="1037"/>
      <c r="BA5" s="346"/>
      <c r="BB5" s="346"/>
      <c r="BC5" s="71"/>
      <c r="BD5" s="383"/>
      <c r="BE5" s="346"/>
      <c r="BF5" s="346"/>
      <c r="BG5" s="27">
        <v>90001</v>
      </c>
      <c r="BH5" s="12" t="s">
        <v>235</v>
      </c>
      <c r="BI5" s="332">
        <f>SUM(BI6:BI10)+BI13+SUM(BI16:BI19)</f>
        <v>80405840.510000005</v>
      </c>
      <c r="BJ5" s="332">
        <f t="shared" ref="BJ5:BN5" si="5">SUM(BJ6:BJ10)+BJ13+SUM(BJ16:BJ19)</f>
        <v>8457903.8100000005</v>
      </c>
      <c r="BK5" s="332">
        <f t="shared" si="5"/>
        <v>88863744.320000008</v>
      </c>
      <c r="BL5" s="332">
        <f t="shared" si="5"/>
        <v>88863739.419999987</v>
      </c>
      <c r="BM5" s="332">
        <f t="shared" si="5"/>
        <v>88863739.419999987</v>
      </c>
      <c r="BN5" s="332">
        <f t="shared" si="5"/>
        <v>8457898.9099999797</v>
      </c>
      <c r="BO5" s="332">
        <f t="shared" ref="BO5" si="6">IF(BN5&gt;0,BN5,0)</f>
        <v>8457898.9099999797</v>
      </c>
      <c r="BP5" s="346"/>
      <c r="BQ5" s="346"/>
      <c r="BR5" s="29"/>
      <c r="BS5" s="12" t="s">
        <v>235</v>
      </c>
      <c r="BT5" s="332">
        <f>+BT6+BT18+BT22</f>
        <v>80405840.510000005</v>
      </c>
      <c r="BU5" s="332">
        <f t="shared" ref="BU5:BY5" si="7">+BU6+BU18+BU22</f>
        <v>8457903.8100000005</v>
      </c>
      <c r="BV5" s="332">
        <f t="shared" si="7"/>
        <v>88863744.320000008</v>
      </c>
      <c r="BW5" s="332">
        <f t="shared" si="7"/>
        <v>88863739.419999987</v>
      </c>
      <c r="BX5" s="332">
        <f t="shared" si="7"/>
        <v>88863739.419999987</v>
      </c>
      <c r="BY5" s="332">
        <f t="shared" si="7"/>
        <v>8457898.9099999797</v>
      </c>
      <c r="BZ5" s="332">
        <f t="shared" ref="BZ5:BZ23" si="8">IF(BY5&gt;0,BY5,0)</f>
        <v>8457898.9099999797</v>
      </c>
      <c r="CA5" s="346"/>
      <c r="CB5" s="346"/>
      <c r="CC5" s="27">
        <v>90001</v>
      </c>
      <c r="CD5" s="12" t="s">
        <v>235</v>
      </c>
      <c r="CE5" s="332">
        <f>SUM(CE6:CE19)</f>
        <v>80405840.510000005</v>
      </c>
      <c r="CF5" s="332">
        <f t="shared" ref="CF5:CJ5" si="9">SUM(CF6:CF19)</f>
        <v>8457903.8100000005</v>
      </c>
      <c r="CG5" s="332">
        <f t="shared" si="9"/>
        <v>88863744.319999993</v>
      </c>
      <c r="CH5" s="332">
        <f t="shared" si="9"/>
        <v>88863739.419999987</v>
      </c>
      <c r="CI5" s="332">
        <f t="shared" si="9"/>
        <v>88863739.419999987</v>
      </c>
      <c r="CJ5" s="332">
        <f t="shared" si="9"/>
        <v>8457898.9099999983</v>
      </c>
      <c r="CK5" s="332">
        <f t="shared" ref="CK5:CK15" si="10">IF(CJ5&gt;0,CJ5,0)</f>
        <v>8457898.9099999983</v>
      </c>
      <c r="CL5" s="346"/>
      <c r="CM5" s="346"/>
      <c r="CN5" s="404" t="s">
        <v>754</v>
      </c>
      <c r="CO5" s="404" t="s">
        <v>759</v>
      </c>
      <c r="CP5" s="405">
        <f>+CP6</f>
        <v>80405840.50999999</v>
      </c>
      <c r="CQ5" s="405">
        <f t="shared" si="2"/>
        <v>8457903.8100000024</v>
      </c>
      <c r="CR5" s="405">
        <f t="shared" si="2"/>
        <v>88863744.319999993</v>
      </c>
      <c r="CS5" s="405">
        <f t="shared" si="2"/>
        <v>86193205.109999999</v>
      </c>
      <c r="CT5" s="405">
        <f t="shared" si="2"/>
        <v>84872096.260000005</v>
      </c>
      <c r="CU5" s="405">
        <f t="shared" si="2"/>
        <v>2670539.2099999934</v>
      </c>
      <c r="CW5" s="346"/>
      <c r="CX5" s="400">
        <v>1</v>
      </c>
      <c r="CY5" s="401" t="s">
        <v>658</v>
      </c>
      <c r="CZ5" s="338">
        <f>SUMIF(PE_CTG,MID(CX5,1,2)&amp;"*",PE_A)</f>
        <v>79363812.949999988</v>
      </c>
      <c r="DA5" s="338">
        <f>SUMIF(PE_CTG,MID(CX5,1,2)&amp;"*",PE_M)</f>
        <v>6782426.1299999999</v>
      </c>
      <c r="DB5" s="338">
        <f>+CZ5+DA5</f>
        <v>86146239.079999983</v>
      </c>
      <c r="DC5" s="338">
        <f>SUMIF(PE_CTG,MID(CX5,1,2)&amp;"*",PE_D)</f>
        <v>83475699.870000035</v>
      </c>
      <c r="DD5" s="338">
        <f>SUMIF(PE_CTG,MID(CX5,1,2)&amp;"*",PE_P)</f>
        <v>82154591.020000026</v>
      </c>
      <c r="DE5" s="338">
        <f>+DB5-DC5</f>
        <v>2670539.2099999487</v>
      </c>
      <c r="DG5" s="346"/>
      <c r="DH5" s="28">
        <v>900001</v>
      </c>
      <c r="DI5" s="66" t="s">
        <v>257</v>
      </c>
      <c r="DJ5" s="340">
        <f t="shared" ref="DJ5:DO5" si="11">+DJ6+DJ14+DJ24+DJ34+DJ44+DJ54+DJ58+DJ66+DJ70</f>
        <v>80405840.510000005</v>
      </c>
      <c r="DK5" s="340">
        <f t="shared" si="11"/>
        <v>8457903.8099999987</v>
      </c>
      <c r="DL5" s="340">
        <f t="shared" si="11"/>
        <v>88863744.319999993</v>
      </c>
      <c r="DM5" s="340">
        <f t="shared" si="11"/>
        <v>86193205.109999985</v>
      </c>
      <c r="DN5" s="340">
        <f t="shared" si="11"/>
        <v>84872096.260000005</v>
      </c>
      <c r="DO5" s="340">
        <f t="shared" si="11"/>
        <v>2670539.2100000004</v>
      </c>
      <c r="DP5" s="346"/>
      <c r="DQ5" s="346"/>
      <c r="DR5" s="235">
        <v>1</v>
      </c>
      <c r="DS5" s="236" t="s">
        <v>662</v>
      </c>
      <c r="DT5" s="337">
        <f t="shared" ref="DT5:DY5" si="12">SUM(DT6:DT13)</f>
        <v>80405840.509999976</v>
      </c>
      <c r="DU5" s="337">
        <f t="shared" si="12"/>
        <v>8457903.8100000042</v>
      </c>
      <c r="DV5" s="337">
        <f t="shared" si="12"/>
        <v>88863744.319999978</v>
      </c>
      <c r="DW5" s="337">
        <f t="shared" si="12"/>
        <v>86193205.110000029</v>
      </c>
      <c r="DX5" s="337">
        <f t="shared" si="12"/>
        <v>84872096.260000035</v>
      </c>
      <c r="DY5" s="337">
        <f t="shared" si="12"/>
        <v>2670539.2099999487</v>
      </c>
      <c r="EA5" s="346"/>
      <c r="EB5" s="679"/>
      <c r="EC5" s="74" t="s">
        <v>381</v>
      </c>
      <c r="ED5" s="681"/>
      <c r="EE5" s="681"/>
      <c r="EF5" s="682">
        <f t="shared" ref="EF5:EF12" si="13">IF(AND(ED5&gt;=0,EE5&gt;=0),(ED5-EE5),"-")</f>
        <v>0</v>
      </c>
      <c r="EG5" s="346"/>
      <c r="EH5" s="346"/>
      <c r="EI5" s="252"/>
      <c r="EJ5" s="74" t="s">
        <v>381</v>
      </c>
      <c r="EK5" s="686"/>
      <c r="EL5" s="687"/>
      <c r="EM5" s="67"/>
      <c r="EN5" s="67"/>
      <c r="EO5" s="348" t="s">
        <v>294</v>
      </c>
      <c r="EP5" s="351">
        <f>+BI5</f>
        <v>80405840.510000005</v>
      </c>
      <c r="EQ5" s="351">
        <f>+BL5</f>
        <v>88863739.419999987</v>
      </c>
      <c r="ER5" s="351">
        <f>+BM5</f>
        <v>88863739.419999987</v>
      </c>
      <c r="ES5" s="346"/>
      <c r="ET5" s="346"/>
      <c r="EU5" s="29">
        <v>900001</v>
      </c>
      <c r="EV5" s="66" t="s">
        <v>257</v>
      </c>
      <c r="EW5" s="340">
        <f t="shared" ref="EW5:FB5" si="14">SUM(EW6,EW33,EW34,EW35)</f>
        <v>80405840.509999976</v>
      </c>
      <c r="EX5" s="340">
        <f t="shared" si="14"/>
        <v>8457903.8100000042</v>
      </c>
      <c r="EY5" s="340">
        <f t="shared" si="14"/>
        <v>88863744.319999978</v>
      </c>
      <c r="EZ5" s="340">
        <f t="shared" si="14"/>
        <v>86193205.110000029</v>
      </c>
      <c r="FA5" s="340">
        <f t="shared" si="14"/>
        <v>84872096.260000035</v>
      </c>
      <c r="FB5" s="340">
        <f t="shared" si="14"/>
        <v>2670539.2099999487</v>
      </c>
    </row>
    <row r="6" spans="1:158">
      <c r="A6" s="346"/>
      <c r="B6" s="31">
        <v>1110</v>
      </c>
      <c r="C6" s="15" t="s">
        <v>5</v>
      </c>
      <c r="D6" s="112">
        <f ca="1">SUMIF(BC[],MID(B6,1,3)&amp;"*",bc_2017)</f>
        <v>15692848.699999999</v>
      </c>
      <c r="E6" s="112">
        <f ca="1">SUMIF(BC[],MID(B6,1,3)&amp;"*",bc_2016)</f>
        <v>11324165.710000001</v>
      </c>
      <c r="F6" s="24"/>
      <c r="G6" s="346"/>
      <c r="H6" s="346"/>
      <c r="I6" s="31">
        <v>4110</v>
      </c>
      <c r="J6" s="76" t="s">
        <v>102</v>
      </c>
      <c r="K6" s="112">
        <f ca="1">-SUMIF(BC[],MID(I6,1,3)&amp;"*",bc_2017)</f>
        <v>0</v>
      </c>
      <c r="L6" s="112">
        <f ca="1">-SUMIF(BC[],MID(I6,1,3)&amp;"*",bc_2016)</f>
        <v>0</v>
      </c>
      <c r="M6" s="77"/>
      <c r="N6" s="346"/>
      <c r="O6" s="346"/>
      <c r="P6" s="1034"/>
      <c r="Q6" s="1035"/>
      <c r="R6" s="1036"/>
      <c r="S6" s="1036"/>
      <c r="T6" s="1036"/>
      <c r="U6" s="1036"/>
      <c r="V6" s="1036"/>
      <c r="W6" s="346"/>
      <c r="X6" s="346"/>
      <c r="Y6" s="31">
        <v>1110</v>
      </c>
      <c r="Z6" s="15" t="s">
        <v>5</v>
      </c>
      <c r="AA6" s="120">
        <f t="shared" ca="1" si="0"/>
        <v>0</v>
      </c>
      <c r="AB6" s="120">
        <f t="shared" ca="1" si="1"/>
        <v>4368682.9899999984</v>
      </c>
      <c r="AC6" s="346"/>
      <c r="AD6" s="346"/>
      <c r="AE6" s="36">
        <v>4110</v>
      </c>
      <c r="AF6" s="15" t="s">
        <v>102</v>
      </c>
      <c r="AG6" s="112">
        <f ca="1">-SUMIF(BC[],MID(AE6,1,3)&amp;"*",bc_2017)</f>
        <v>0</v>
      </c>
      <c r="AH6" s="112">
        <f ca="1">-SUMIF(BC[],MID(AE6,1,3)&amp;"*",bc_2016)</f>
        <v>0</v>
      </c>
      <c r="AI6" s="24"/>
      <c r="AJ6" s="346"/>
      <c r="AK6" s="346"/>
      <c r="AL6" s="25">
        <v>1000</v>
      </c>
      <c r="AM6" s="13" t="s">
        <v>3</v>
      </c>
      <c r="AN6" s="114">
        <f ca="1">+AN7+AN15</f>
        <v>31227829.200000003</v>
      </c>
      <c r="AO6" s="114">
        <f ca="1">+AO7+AO15</f>
        <v>243269663.41</v>
      </c>
      <c r="AP6" s="114">
        <f ca="1">+AP7+AP15</f>
        <v>238598606.25999999</v>
      </c>
      <c r="AQ6" s="114">
        <f ca="1">+AQ7+AQ15</f>
        <v>35898886.349999994</v>
      </c>
      <c r="AR6" s="114">
        <f ca="1">+AR7+AR15</f>
        <v>4671057.1499999957</v>
      </c>
      <c r="AS6" s="346"/>
      <c r="AT6" s="346"/>
      <c r="AU6" s="26"/>
      <c r="AV6" s="64" t="s">
        <v>80</v>
      </c>
      <c r="AW6" s="135"/>
      <c r="AX6" s="135"/>
      <c r="AY6" s="114">
        <f ca="1">+AY17+AY28</f>
        <v>0</v>
      </c>
      <c r="AZ6" s="114">
        <f ca="1">+AZ17+AZ28</f>
        <v>0</v>
      </c>
      <c r="BA6" s="346"/>
      <c r="BB6" s="346"/>
      <c r="BC6" s="79"/>
      <c r="BD6" s="383"/>
      <c r="BE6" s="346"/>
      <c r="BF6" s="346"/>
      <c r="BG6" s="34">
        <v>10</v>
      </c>
      <c r="BH6" s="11" t="s">
        <v>102</v>
      </c>
      <c r="BI6" s="333">
        <f t="shared" ref="BI6:BI19" si="15">SUMIF(pi_cri,MID(BG6,1,1)&amp;"*",pi_e)</f>
        <v>0</v>
      </c>
      <c r="BJ6" s="333">
        <f t="shared" ref="BJ6:BJ19" si="16">SUMIF(pi_cri,MID(BG6,1,1)&amp;"*",pi_m)</f>
        <v>0</v>
      </c>
      <c r="BK6" s="333">
        <f>+BI6+BJ6</f>
        <v>0</v>
      </c>
      <c r="BL6" s="333">
        <f t="shared" ref="BL6:BL19" si="17">SUMIF(pi_cri,MID(BG6,1,1)&amp;"*",pi_d)</f>
        <v>0</v>
      </c>
      <c r="BM6" s="333">
        <f t="shared" ref="BM6:BM19" si="18">SUMIF(pi_cri,MID(BG6,1,1)&amp;"*",pi_r)</f>
        <v>0</v>
      </c>
      <c r="BN6" s="333">
        <f>+BM6-BI6</f>
        <v>0</v>
      </c>
      <c r="BO6" s="333">
        <f>IF(BN6&gt;0,BN6,0)</f>
        <v>0</v>
      </c>
      <c r="BP6" s="346"/>
      <c r="BQ6" s="346"/>
      <c r="BR6" s="46"/>
      <c r="BS6" s="12" t="s">
        <v>246</v>
      </c>
      <c r="BT6" s="335">
        <f>SUM(BT7:BT10)+BT13+SUM(BT16:BT17)</f>
        <v>0</v>
      </c>
      <c r="BU6" s="335">
        <f t="shared" ref="BU6:BY6" si="19">SUM(BU7:BU10)+BU13+SUM(BU16:BU17)</f>
        <v>0</v>
      </c>
      <c r="BV6" s="335">
        <f t="shared" si="19"/>
        <v>0</v>
      </c>
      <c r="BW6" s="335">
        <f t="shared" si="19"/>
        <v>0</v>
      </c>
      <c r="BX6" s="335">
        <f t="shared" si="19"/>
        <v>0</v>
      </c>
      <c r="BY6" s="335">
        <f t="shared" si="19"/>
        <v>0</v>
      </c>
      <c r="BZ6" s="335">
        <f t="shared" si="8"/>
        <v>0</v>
      </c>
      <c r="CA6" s="346"/>
      <c r="CB6" s="346"/>
      <c r="CC6" s="34" t="s">
        <v>741</v>
      </c>
      <c r="CD6" s="11" t="s">
        <v>390</v>
      </c>
      <c r="CE6" s="333">
        <f t="shared" ref="CE6:CE10" si="20">SUMIF(pi_cri,CC6,pi_e)</f>
        <v>59875476.899999999</v>
      </c>
      <c r="CF6" s="333">
        <f t="shared" ref="CF6:CF10" si="21">SUMIF(pi_cri,CC6,pi_m)</f>
        <v>6048652.1900000004</v>
      </c>
      <c r="CG6" s="333">
        <f>+CE6+CF6</f>
        <v>65924129.089999996</v>
      </c>
      <c r="CH6" s="333">
        <f t="shared" ref="CH6:CH10" si="22">SUMIF(pi_cri,CC6,pi_d)</f>
        <v>65924124.189999998</v>
      </c>
      <c r="CI6" s="333">
        <f t="shared" ref="CI6:CI10" si="23">SUMIF(pi_cri,CC6,pi_r)</f>
        <v>65924124.189999998</v>
      </c>
      <c r="CJ6" s="333">
        <f>+CI6-CE6</f>
        <v>6048647.2899999991</v>
      </c>
      <c r="CK6" s="333">
        <f t="shared" si="10"/>
        <v>6048647.2899999991</v>
      </c>
      <c r="CL6" s="346"/>
      <c r="CM6" s="346"/>
      <c r="CN6" s="404" t="s">
        <v>756</v>
      </c>
      <c r="CO6" s="404" t="s">
        <v>758</v>
      </c>
      <c r="CP6" s="405">
        <f>+CP7</f>
        <v>80405840.50999999</v>
      </c>
      <c r="CQ6" s="405">
        <f t="shared" si="2"/>
        <v>8457903.8100000024</v>
      </c>
      <c r="CR6" s="405">
        <f t="shared" si="2"/>
        <v>88863744.319999993</v>
      </c>
      <c r="CS6" s="405">
        <f t="shared" si="2"/>
        <v>86193205.109999999</v>
      </c>
      <c r="CT6" s="405">
        <f t="shared" si="2"/>
        <v>84872096.260000005</v>
      </c>
      <c r="CU6" s="405">
        <f t="shared" si="2"/>
        <v>2670539.2099999934</v>
      </c>
      <c r="CW6" s="346"/>
      <c r="CX6" s="400">
        <v>2</v>
      </c>
      <c r="CY6" s="401" t="s">
        <v>659</v>
      </c>
      <c r="CZ6" s="338">
        <f>SUMIF(PE_CTG,MID(CX6,1,2)&amp;"*",PE_A)</f>
        <v>1042027.5599999999</v>
      </c>
      <c r="DA6" s="338">
        <f>SUMIF(PE_CTG,MID(CX6,1,2)&amp;"*",PE_M)</f>
        <v>1675477.6800000002</v>
      </c>
      <c r="DB6" s="338">
        <f>+CZ6+DA6</f>
        <v>2717505.24</v>
      </c>
      <c r="DC6" s="338">
        <f>SUMIF(PE_CTG,MID(CX6,1,2)&amp;"*",PE_D)</f>
        <v>2717505.24</v>
      </c>
      <c r="DD6" s="338">
        <f>SUMIF(PE_CTG,MID(CX6,1,2)&amp;"*",PE_P)</f>
        <v>2717505.24</v>
      </c>
      <c r="DE6" s="338">
        <f>+DB6-DC6</f>
        <v>0</v>
      </c>
      <c r="DG6" s="346"/>
      <c r="DH6" s="341">
        <v>1000</v>
      </c>
      <c r="DI6" s="342" t="s">
        <v>258</v>
      </c>
      <c r="DJ6" s="337">
        <f t="shared" ref="DJ6:DO6" si="24">SUM(DJ7:DJ13)</f>
        <v>59875476.899999999</v>
      </c>
      <c r="DK6" s="337">
        <f t="shared" si="24"/>
        <v>6048652.1899999995</v>
      </c>
      <c r="DL6" s="337">
        <f t="shared" si="24"/>
        <v>65924129.090000004</v>
      </c>
      <c r="DM6" s="337">
        <f t="shared" si="24"/>
        <v>65924124.189999998</v>
      </c>
      <c r="DN6" s="337">
        <f t="shared" si="24"/>
        <v>64738024.340000004</v>
      </c>
      <c r="DO6" s="337">
        <f t="shared" si="24"/>
        <v>4.900000000372529</v>
      </c>
      <c r="DP6" s="346"/>
      <c r="DQ6" s="346"/>
      <c r="DR6" s="237">
        <v>11</v>
      </c>
      <c r="DS6" s="238" t="s">
        <v>663</v>
      </c>
      <c r="DT6" s="338">
        <f t="shared" ref="DT6:DT13" si="25">SUMIF(PE_CFG,MID(DR6,1,1)&amp;"."&amp;MID(DR6,2,1)&amp;".*",PE_A)</f>
        <v>0</v>
      </c>
      <c r="DU6" s="338">
        <f t="shared" ref="DU6:DU13" si="26">SUMIF(PE_CFG,MID(DR6,1,1)&amp;"."&amp;MID(DR6,2,1)&amp;".*",PE_M)</f>
        <v>0</v>
      </c>
      <c r="DV6" s="338">
        <f>+DT6+DU6</f>
        <v>0</v>
      </c>
      <c r="DW6" s="338">
        <f t="shared" ref="DW6:DW13" si="27">SUMIF(PE_CFG,MID(DR6,1,1)&amp;"."&amp;MID(DR6,2,1)&amp;".*",PE_D)</f>
        <v>0</v>
      </c>
      <c r="DX6" s="338">
        <f t="shared" ref="DX6:DX13" si="28">SUMIF(PE_CFG,MID(DR6,1,1)&amp;"."&amp;MID(DR6,2,1)&amp;".*",PE_P)</f>
        <v>0</v>
      </c>
      <c r="DY6" s="338">
        <f>+DV6-DW6</f>
        <v>0</v>
      </c>
      <c r="EA6" s="346"/>
      <c r="EB6" s="679"/>
      <c r="EC6" s="680"/>
      <c r="ED6" s="681"/>
      <c r="EE6" s="681"/>
      <c r="EF6" s="682">
        <f t="shared" si="13"/>
        <v>0</v>
      </c>
      <c r="EG6" s="346"/>
      <c r="EH6" s="346"/>
      <c r="EI6" s="252"/>
      <c r="EJ6" s="685"/>
      <c r="EK6" s="686"/>
      <c r="EL6" s="687"/>
      <c r="EM6" s="67"/>
      <c r="EN6" s="67"/>
      <c r="EO6" s="348" t="s">
        <v>295</v>
      </c>
      <c r="EP6" s="351">
        <v>0</v>
      </c>
      <c r="EQ6" s="351">
        <v>0</v>
      </c>
      <c r="ER6" s="351">
        <v>0</v>
      </c>
      <c r="ES6" s="346"/>
      <c r="ET6" s="346"/>
      <c r="EU6" s="32">
        <v>900002</v>
      </c>
      <c r="EV6" s="75" t="s">
        <v>305</v>
      </c>
      <c r="EW6" s="352">
        <f t="shared" ref="EW6:FB6" si="29">SUM(EW7,EW10,EW19,EW23,EW26,EW31)</f>
        <v>80405840.509999976</v>
      </c>
      <c r="EX6" s="352">
        <f t="shared" si="29"/>
        <v>8457903.8100000042</v>
      </c>
      <c r="EY6" s="352">
        <f t="shared" si="29"/>
        <v>88863744.319999978</v>
      </c>
      <c r="EZ6" s="352">
        <f t="shared" si="29"/>
        <v>86193205.110000029</v>
      </c>
      <c r="FA6" s="352">
        <f t="shared" si="29"/>
        <v>84872096.260000035</v>
      </c>
      <c r="FB6" s="352">
        <f t="shared" si="29"/>
        <v>2670539.2099999487</v>
      </c>
    </row>
    <row r="7" spans="1:158">
      <c r="A7" s="346"/>
      <c r="B7" s="31">
        <v>1120</v>
      </c>
      <c r="C7" s="15" t="s">
        <v>6</v>
      </c>
      <c r="D7" s="112">
        <f ca="1">SUMIF(BC[],MID(B7,1,3)&amp;"*",bc_2017)</f>
        <v>18249.57</v>
      </c>
      <c r="E7" s="112">
        <f ca="1">SUMIF(BC[],MID(B7,1,3)&amp;"*",bc_2016)</f>
        <v>18150.45</v>
      </c>
      <c r="F7" s="24"/>
      <c r="G7" s="346"/>
      <c r="H7" s="346"/>
      <c r="I7" s="31">
        <v>4120</v>
      </c>
      <c r="J7" s="76" t="s">
        <v>173</v>
      </c>
      <c r="K7" s="112">
        <f ca="1">-SUMIF(BC[],MID(I7,1,3)&amp;"*",bc_2017)</f>
        <v>0</v>
      </c>
      <c r="L7" s="112">
        <f ca="1">-SUMIF(BC[],MID(I7,1,3)&amp;"*",bc_2016)</f>
        <v>0</v>
      </c>
      <c r="M7" s="77"/>
      <c r="N7" s="346"/>
      <c r="O7" s="346"/>
      <c r="P7" s="22">
        <v>3250</v>
      </c>
      <c r="Q7" s="61" t="s">
        <v>156</v>
      </c>
      <c r="R7" s="114"/>
      <c r="S7" s="355">
        <f ca="1">-SUMIF(BC[],MID(P7,1,3)&amp;"*",bc_2016)</f>
        <v>0</v>
      </c>
      <c r="T7" s="355">
        <f ca="1">-SUMIF(BC[],MID(P7,1,3)&amp;"*",bc_2016)</f>
        <v>0</v>
      </c>
      <c r="U7" s="114">
        <v>0</v>
      </c>
      <c r="V7" s="114"/>
      <c r="W7" s="346"/>
      <c r="X7" s="346"/>
      <c r="Y7" s="31">
        <v>1120</v>
      </c>
      <c r="Z7" s="15" t="s">
        <v>6</v>
      </c>
      <c r="AA7" s="120">
        <f t="shared" ca="1" si="0"/>
        <v>0</v>
      </c>
      <c r="AB7" s="120">
        <f t="shared" ca="1" si="1"/>
        <v>99.119999999998981</v>
      </c>
      <c r="AC7" s="346"/>
      <c r="AD7" s="346"/>
      <c r="AE7" s="38">
        <v>4120</v>
      </c>
      <c r="AF7" s="76" t="s">
        <v>103</v>
      </c>
      <c r="AG7" s="112">
        <f ca="1">-SUMIF(BC[],MID(AE7,1,3)&amp;"*",bc_2017)</f>
        <v>0</v>
      </c>
      <c r="AH7" s="112">
        <f ca="1">-SUMIF(BC[],MID(AE7,1,3)&amp;"*",bc_2016)</f>
        <v>0</v>
      </c>
      <c r="AI7" s="24"/>
      <c r="AJ7" s="346"/>
      <c r="AK7" s="346"/>
      <c r="AL7" s="23">
        <v>1100</v>
      </c>
      <c r="AM7" s="14" t="s">
        <v>4</v>
      </c>
      <c r="AN7" s="115">
        <f ca="1">SUM(AN8:AN14)</f>
        <v>11361825.720000001</v>
      </c>
      <c r="AO7" s="115">
        <f ca="1">SUM(AO8:AO14)</f>
        <v>239611389.44</v>
      </c>
      <c r="AP7" s="115">
        <f ca="1">SUM(AP8:AP14)</f>
        <v>235242484.45999998</v>
      </c>
      <c r="AQ7" s="115">
        <f ca="1">SUM(AQ8:AQ14)</f>
        <v>15730730.699999999</v>
      </c>
      <c r="AR7" s="115">
        <f ca="1">SUM(AR8:AR14)</f>
        <v>4368904.9799999986</v>
      </c>
      <c r="AS7" s="346"/>
      <c r="AT7" s="346"/>
      <c r="AU7" s="33"/>
      <c r="AV7" s="70" t="s">
        <v>81</v>
      </c>
      <c r="AW7" s="136"/>
      <c r="AX7" s="136"/>
      <c r="AY7" s="133"/>
      <c r="AZ7" s="133"/>
      <c r="BA7" s="346"/>
      <c r="BB7" s="346"/>
      <c r="BC7" s="79"/>
      <c r="BD7" s="383"/>
      <c r="BE7" s="346"/>
      <c r="BF7" s="346"/>
      <c r="BG7" s="34">
        <v>20</v>
      </c>
      <c r="BH7" s="11" t="s">
        <v>103</v>
      </c>
      <c r="BI7" s="333">
        <f t="shared" si="15"/>
        <v>0</v>
      </c>
      <c r="BJ7" s="333">
        <f t="shared" si="16"/>
        <v>0</v>
      </c>
      <c r="BK7" s="333">
        <f t="shared" ref="BK7:BK19" si="30">+BI7+BJ7</f>
        <v>0</v>
      </c>
      <c r="BL7" s="333">
        <f t="shared" si="17"/>
        <v>0</v>
      </c>
      <c r="BM7" s="333">
        <f t="shared" si="18"/>
        <v>0</v>
      </c>
      <c r="BN7" s="333">
        <f t="shared" ref="BN7:BN19" si="31">+BM7-BI7</f>
        <v>0</v>
      </c>
      <c r="BO7" s="333">
        <f t="shared" ref="BO7:BO19" si="32">IF(BN7&gt;0,BN7,0)</f>
        <v>0</v>
      </c>
      <c r="BP7" s="346"/>
      <c r="BQ7" s="346"/>
      <c r="BR7" s="34">
        <v>10</v>
      </c>
      <c r="BS7" s="11" t="s">
        <v>102</v>
      </c>
      <c r="BT7" s="333">
        <f t="shared" ref="BT7:BT16" si="33">SUMIF(pi_cri,MID(BR7,1,1)&amp;"*",pi_e)</f>
        <v>0</v>
      </c>
      <c r="BU7" s="333">
        <f t="shared" ref="BU7:BU16" si="34">SUMIF(pi_cri,MID(BR7,1,1)&amp;"*",pi_m)</f>
        <v>0</v>
      </c>
      <c r="BV7" s="333">
        <f>+BT7+BU7</f>
        <v>0</v>
      </c>
      <c r="BW7" s="333">
        <f t="shared" ref="BW7:BW16" si="35">SUMIF(pi_cri,MID(BR7,1,1)&amp;"*",pi_d)</f>
        <v>0</v>
      </c>
      <c r="BX7" s="333">
        <f t="shared" ref="BX7:BX16" si="36">SUMIF(pi_cri,MID(BR7,1,1)&amp;"*",pi_r)</f>
        <v>0</v>
      </c>
      <c r="BY7" s="333">
        <f>+BX7-BT7</f>
        <v>0</v>
      </c>
      <c r="BZ7" s="333">
        <f t="shared" si="8"/>
        <v>0</v>
      </c>
      <c r="CA7" s="346"/>
      <c r="CB7" s="346"/>
      <c r="CC7" s="34" t="s">
        <v>743</v>
      </c>
      <c r="CD7" s="11" t="s">
        <v>391</v>
      </c>
      <c r="CE7" s="333">
        <f t="shared" si="20"/>
        <v>2249254.52</v>
      </c>
      <c r="CF7" s="333">
        <f t="shared" si="21"/>
        <v>-349815.95</v>
      </c>
      <c r="CG7" s="333">
        <f t="shared" ref="CG7:CG10" si="37">+CE7+CF7</f>
        <v>1899438.57</v>
      </c>
      <c r="CH7" s="333">
        <f t="shared" si="22"/>
        <v>1899438.57</v>
      </c>
      <c r="CI7" s="333">
        <f t="shared" si="23"/>
        <v>1899438.57</v>
      </c>
      <c r="CJ7" s="333">
        <f t="shared" ref="CJ7:CJ10" si="38">+CI7-CE7</f>
        <v>-349815.94999999995</v>
      </c>
      <c r="CK7" s="333">
        <f t="shared" si="10"/>
        <v>0</v>
      </c>
      <c r="CL7" s="346"/>
      <c r="CM7" s="346"/>
      <c r="CN7" s="404" t="s">
        <v>757</v>
      </c>
      <c r="CO7" s="404" t="s">
        <v>760</v>
      </c>
      <c r="CP7" s="405">
        <f>+CP8</f>
        <v>80405840.50999999</v>
      </c>
      <c r="CQ7" s="405">
        <f t="shared" si="2"/>
        <v>8457903.8100000024</v>
      </c>
      <c r="CR7" s="405">
        <f t="shared" si="2"/>
        <v>88863744.319999993</v>
      </c>
      <c r="CS7" s="405">
        <f t="shared" si="2"/>
        <v>86193205.109999999</v>
      </c>
      <c r="CT7" s="405">
        <f t="shared" si="2"/>
        <v>84872096.260000005</v>
      </c>
      <c r="CU7" s="405">
        <f t="shared" si="2"/>
        <v>2670539.2099999934</v>
      </c>
      <c r="CW7" s="346"/>
      <c r="CX7" s="400">
        <v>3</v>
      </c>
      <c r="CY7" s="401" t="s">
        <v>660</v>
      </c>
      <c r="CZ7" s="338">
        <f>SUMIF(PE_CTG,MID(CX7,1,2)&amp;"*",PE_A)</f>
        <v>0</v>
      </c>
      <c r="DA7" s="338">
        <f>SUMIF(PE_CTG,MID(CX7,1,2)&amp;"*",PE_M)</f>
        <v>0</v>
      </c>
      <c r="DB7" s="338">
        <f>+CZ7+DA7</f>
        <v>0</v>
      </c>
      <c r="DC7" s="338">
        <f>SUMIF(PE_CTG,MID(CX7,1,2)&amp;"*",PE_D)</f>
        <v>0</v>
      </c>
      <c r="DD7" s="338">
        <f>SUMIF(PE_CTG,MID(CX7,1,2)&amp;"*",PE_P)</f>
        <v>0</v>
      </c>
      <c r="DE7" s="338">
        <f>+DB7-DC7</f>
        <v>0</v>
      </c>
      <c r="DG7" s="346"/>
      <c r="DH7" s="72">
        <v>1100</v>
      </c>
      <c r="DI7" s="73" t="s">
        <v>185</v>
      </c>
      <c r="DJ7" s="338">
        <f t="shared" ref="DJ7:DJ13" si="39">SUMIF(PE_COG,MID(DH7,1,2)&amp;"*",PE_A)</f>
        <v>14113315.210000001</v>
      </c>
      <c r="DK7" s="338">
        <f t="shared" ref="DK7:DK13" si="40">SUMIF(PE_COG,MID(DH7,1,2)&amp;"*",PE_M)</f>
        <v>1307352.6900000002</v>
      </c>
      <c r="DL7" s="338">
        <f t="shared" ref="DL7:DL69" si="41">+DJ7+DK7</f>
        <v>15420667.9</v>
      </c>
      <c r="DM7" s="338">
        <f t="shared" ref="DM7:DM13" si="42">SUMIF(PE_COG,MID(DH7,1,2)&amp;"*",PE_D)</f>
        <v>15420663</v>
      </c>
      <c r="DN7" s="338">
        <f t="shared" ref="DN7:DN13" si="43">SUMIF(PE_COG,MID(DH7,1,2)&amp;"*",PE_P)</f>
        <v>15420663</v>
      </c>
      <c r="DO7" s="338">
        <f t="shared" ref="DO7:DO69" si="44">+DL7-DM7</f>
        <v>4.900000000372529</v>
      </c>
      <c r="DP7" s="346"/>
      <c r="DQ7" s="346"/>
      <c r="DR7" s="237">
        <v>12</v>
      </c>
      <c r="DS7" s="238" t="s">
        <v>664</v>
      </c>
      <c r="DT7" s="338">
        <f t="shared" si="25"/>
        <v>80405840.509999976</v>
      </c>
      <c r="DU7" s="338">
        <f t="shared" si="26"/>
        <v>8457903.8100000042</v>
      </c>
      <c r="DV7" s="338">
        <f>+DT7+DU7</f>
        <v>88863744.319999978</v>
      </c>
      <c r="DW7" s="338">
        <f t="shared" si="27"/>
        <v>86193205.110000029</v>
      </c>
      <c r="DX7" s="338">
        <f t="shared" si="28"/>
        <v>84872096.260000035</v>
      </c>
      <c r="DY7" s="338">
        <f>+DV7-DW7</f>
        <v>2670539.2099999487</v>
      </c>
      <c r="EA7" s="346"/>
      <c r="EB7" s="679"/>
      <c r="EC7" s="680"/>
      <c r="ED7" s="681"/>
      <c r="EE7" s="681"/>
      <c r="EF7" s="682">
        <f t="shared" si="13"/>
        <v>0</v>
      </c>
      <c r="EG7" s="346"/>
      <c r="EH7" s="346"/>
      <c r="EI7" s="252"/>
      <c r="EJ7" s="247" t="s">
        <v>286</v>
      </c>
      <c r="EK7" s="688"/>
      <c r="EL7" s="689"/>
      <c r="EM7" s="67"/>
      <c r="EN7" s="67"/>
      <c r="EO7" s="81" t="s">
        <v>296</v>
      </c>
      <c r="EP7" s="352">
        <f>EP8+EP9</f>
        <v>80405840.510000005</v>
      </c>
      <c r="EQ7" s="352">
        <f>EQ8+EQ9</f>
        <v>86193205.109999985</v>
      </c>
      <c r="ER7" s="352">
        <f>ER8+ER9</f>
        <v>84872096.260000005</v>
      </c>
      <c r="ES7" s="346"/>
      <c r="ET7" s="346"/>
      <c r="EU7" s="32">
        <v>900003</v>
      </c>
      <c r="EV7" s="80" t="s">
        <v>306</v>
      </c>
      <c r="EW7" s="337">
        <f t="shared" ref="EW7:FB7" si="45">SUM(EW8:EW9)</f>
        <v>0</v>
      </c>
      <c r="EX7" s="337">
        <f t="shared" si="45"/>
        <v>0</v>
      </c>
      <c r="EY7" s="337">
        <f t="shared" si="45"/>
        <v>0</v>
      </c>
      <c r="EZ7" s="337">
        <f t="shared" si="45"/>
        <v>0</v>
      </c>
      <c r="FA7" s="337">
        <f t="shared" si="45"/>
        <v>0</v>
      </c>
      <c r="FB7" s="337">
        <f t="shared" si="45"/>
        <v>0</v>
      </c>
    </row>
    <row r="8" spans="1:158">
      <c r="A8" s="346"/>
      <c r="B8" s="31">
        <v>1130</v>
      </c>
      <c r="C8" s="15" t="s">
        <v>8</v>
      </c>
      <c r="D8" s="112">
        <f ca="1">SUMIF(BC[],MID(B8,1,3)&amp;"*",bc_2017)</f>
        <v>19632.43</v>
      </c>
      <c r="E8" s="112">
        <f ca="1">SUMIF(BC[],MID(B8,1,3)&amp;"*",bc_2016)</f>
        <v>19509.560000000001</v>
      </c>
      <c r="F8" s="24" t="s">
        <v>7</v>
      </c>
      <c r="G8" s="346"/>
      <c r="H8" s="346"/>
      <c r="I8" s="31">
        <v>4130</v>
      </c>
      <c r="J8" s="76" t="s">
        <v>104</v>
      </c>
      <c r="K8" s="112">
        <f ca="1">-SUMIF(BC[],MID(I8,1,3)&amp;"*",bc_2017)</f>
        <v>0</v>
      </c>
      <c r="L8" s="112">
        <f ca="1">-SUMIF(BC[],MID(I8,1,3)&amp;"*",bc_2016)</f>
        <v>0</v>
      </c>
      <c r="M8" s="77"/>
      <c r="N8" s="346"/>
      <c r="O8" s="346"/>
      <c r="P8" s="30">
        <v>900001</v>
      </c>
      <c r="Q8" s="61" t="s">
        <v>157</v>
      </c>
      <c r="R8" s="115">
        <f ca="1">SUM(R9:R11)</f>
        <v>26724265.559999999</v>
      </c>
      <c r="S8" s="133"/>
      <c r="T8" s="133"/>
      <c r="U8" s="115">
        <f>SUM(U9:U11)</f>
        <v>0</v>
      </c>
      <c r="V8" s="115">
        <f t="shared" ref="V8:V16" ca="1" si="46">SUM(R8:U8)</f>
        <v>26724265.559999999</v>
      </c>
      <c r="W8" s="346"/>
      <c r="X8" s="346"/>
      <c r="Y8" s="31">
        <v>1130</v>
      </c>
      <c r="Z8" s="15" t="s">
        <v>8</v>
      </c>
      <c r="AA8" s="120">
        <f t="shared" ca="1" si="0"/>
        <v>0</v>
      </c>
      <c r="AB8" s="120">
        <f t="shared" ca="1" si="1"/>
        <v>122.86999999999898</v>
      </c>
      <c r="AC8" s="346"/>
      <c r="AD8" s="346"/>
      <c r="AE8" s="36">
        <v>4130</v>
      </c>
      <c r="AF8" s="15" t="s">
        <v>104</v>
      </c>
      <c r="AG8" s="112">
        <f ca="1">-SUMIF(BC[],MID(AE8,1,3)&amp;"*",bc_2017)</f>
        <v>0</v>
      </c>
      <c r="AH8" s="112">
        <f ca="1">-SUMIF(BC[],MID(AE8,1,3)&amp;"*",bc_2016)</f>
        <v>0</v>
      </c>
      <c r="AI8" s="24"/>
      <c r="AJ8" s="346"/>
      <c r="AK8" s="346"/>
      <c r="AL8" s="36">
        <v>1110</v>
      </c>
      <c r="AM8" s="15" t="s">
        <v>5</v>
      </c>
      <c r="AN8" s="133">
        <f ca="1">SUMIF(BC[],MID(AL8,1,3)&amp;"*",bc_2016)</f>
        <v>11324165.710000001</v>
      </c>
      <c r="AO8" s="133">
        <f ca="1">SUMIF(BC[],MID(AL8,1,3)&amp;"*",bc_2017c)</f>
        <v>145882408.34</v>
      </c>
      <c r="AP8" s="133">
        <f ca="1">-SUMIF(BC[],MID(AL8,1,3)&amp;"*",bc_2017a)</f>
        <v>141513725.34999999</v>
      </c>
      <c r="AQ8" s="133">
        <f ca="1">SUMIF(BC[],MID(AL8,1,3)&amp;"*",bc_2017)</f>
        <v>15692848.699999999</v>
      </c>
      <c r="AR8" s="133">
        <f ca="1">+AQ8-AN8</f>
        <v>4368682.9899999984</v>
      </c>
      <c r="AS8" s="346"/>
      <c r="AT8" s="346"/>
      <c r="AU8" s="37">
        <v>900001</v>
      </c>
      <c r="AV8" s="78" t="s">
        <v>82</v>
      </c>
      <c r="AW8" s="137"/>
      <c r="AX8" s="137"/>
      <c r="AY8" s="115">
        <f ca="1">SUM(AY9:AY11)</f>
        <v>0</v>
      </c>
      <c r="AZ8" s="115">
        <f ca="1">SUM(AZ9:AZ11)</f>
        <v>0</v>
      </c>
      <c r="BA8" s="346"/>
      <c r="BB8" s="346"/>
      <c r="BC8" s="79"/>
      <c r="BD8" s="383"/>
      <c r="BE8" s="346"/>
      <c r="BF8" s="346"/>
      <c r="BG8" s="34">
        <v>30</v>
      </c>
      <c r="BH8" s="11" t="s">
        <v>236</v>
      </c>
      <c r="BI8" s="333">
        <f t="shared" si="15"/>
        <v>0</v>
      </c>
      <c r="BJ8" s="333">
        <f t="shared" si="16"/>
        <v>0</v>
      </c>
      <c r="BK8" s="333">
        <f t="shared" si="30"/>
        <v>0</v>
      </c>
      <c r="BL8" s="333">
        <f t="shared" si="17"/>
        <v>0</v>
      </c>
      <c r="BM8" s="333">
        <f t="shared" si="18"/>
        <v>0</v>
      </c>
      <c r="BN8" s="333">
        <f t="shared" si="31"/>
        <v>0</v>
      </c>
      <c r="BO8" s="333">
        <f t="shared" si="32"/>
        <v>0</v>
      </c>
      <c r="BP8" s="346"/>
      <c r="BQ8" s="346"/>
      <c r="BR8" s="34">
        <v>30</v>
      </c>
      <c r="BS8" s="11" t="s">
        <v>236</v>
      </c>
      <c r="BT8" s="333">
        <f t="shared" si="33"/>
        <v>0</v>
      </c>
      <c r="BU8" s="333">
        <f t="shared" si="34"/>
        <v>0</v>
      </c>
      <c r="BV8" s="333">
        <f t="shared" ref="BV8:BV17" si="47">+BT8+BU8</f>
        <v>0</v>
      </c>
      <c r="BW8" s="333">
        <f t="shared" si="35"/>
        <v>0</v>
      </c>
      <c r="BX8" s="333">
        <f t="shared" si="36"/>
        <v>0</v>
      </c>
      <c r="BY8" s="333">
        <f t="shared" ref="BY8:BY17" si="48">+BX8-BT8</f>
        <v>0</v>
      </c>
      <c r="BZ8" s="333">
        <f t="shared" si="8"/>
        <v>0</v>
      </c>
      <c r="CA8" s="346"/>
      <c r="CB8" s="346"/>
      <c r="CC8" s="34" t="s">
        <v>745</v>
      </c>
      <c r="CD8" s="11" t="s">
        <v>392</v>
      </c>
      <c r="CE8" s="333">
        <f t="shared" si="20"/>
        <v>15301571</v>
      </c>
      <c r="CF8" s="333">
        <f t="shared" si="21"/>
        <v>350566.11</v>
      </c>
      <c r="CG8" s="333">
        <f t="shared" si="37"/>
        <v>15652137.109999999</v>
      </c>
      <c r="CH8" s="333">
        <f t="shared" si="22"/>
        <v>15652137.109999999</v>
      </c>
      <c r="CI8" s="333">
        <f t="shared" si="23"/>
        <v>15652137.109999999</v>
      </c>
      <c r="CJ8" s="333">
        <f t="shared" si="38"/>
        <v>350566.1099999994</v>
      </c>
      <c r="CK8" s="333">
        <f t="shared" si="10"/>
        <v>350566.1099999994</v>
      </c>
      <c r="CL8" s="346"/>
      <c r="CM8" s="346"/>
      <c r="CN8" s="404" t="s">
        <v>753</v>
      </c>
      <c r="CO8" s="404" t="s">
        <v>761</v>
      </c>
      <c r="CP8" s="405">
        <f>+CP9</f>
        <v>80405840.50999999</v>
      </c>
      <c r="CQ8" s="405">
        <f t="shared" si="2"/>
        <v>8457903.8100000024</v>
      </c>
      <c r="CR8" s="405">
        <f t="shared" si="2"/>
        <v>88863744.319999993</v>
      </c>
      <c r="CS8" s="405">
        <f t="shared" si="2"/>
        <v>86193205.109999999</v>
      </c>
      <c r="CT8" s="405">
        <f t="shared" si="2"/>
        <v>84872096.260000005</v>
      </c>
      <c r="CU8" s="405">
        <f t="shared" si="2"/>
        <v>2670539.2099999934</v>
      </c>
      <c r="CW8" s="346"/>
      <c r="CX8" s="400">
        <v>4</v>
      </c>
      <c r="CY8" s="401" t="s">
        <v>661</v>
      </c>
      <c r="CZ8" s="338">
        <f>SUMIF(PE_CTG,MID(CX8,1,2)&amp;"*",PE_A)</f>
        <v>0</v>
      </c>
      <c r="DA8" s="338">
        <f>SUMIF(PE_CTG,MID(CX8,1,2)&amp;"*",PE_M)</f>
        <v>0</v>
      </c>
      <c r="DB8" s="338">
        <f>+CZ8+DA8</f>
        <v>0</v>
      </c>
      <c r="DC8" s="338">
        <f>SUMIF(PE_CTG,MID(CX8,1,2)&amp;"*",PE_D)</f>
        <v>0</v>
      </c>
      <c r="DD8" s="338">
        <f>SUMIF(PE_CTG,MID(CX8,1,2)&amp;"*",PE_P)</f>
        <v>0</v>
      </c>
      <c r="DE8" s="338">
        <f>+DB8-DC8</f>
        <v>0</v>
      </c>
      <c r="DG8" s="346"/>
      <c r="DH8" s="72">
        <v>1200</v>
      </c>
      <c r="DI8" s="73" t="s">
        <v>186</v>
      </c>
      <c r="DJ8" s="338">
        <f t="shared" si="39"/>
        <v>2515531.8199999998</v>
      </c>
      <c r="DK8" s="338">
        <f t="shared" si="40"/>
        <v>4005.6199999999953</v>
      </c>
      <c r="DL8" s="338">
        <f t="shared" si="41"/>
        <v>2519537.44</v>
      </c>
      <c r="DM8" s="338">
        <f t="shared" si="42"/>
        <v>2519537.44</v>
      </c>
      <c r="DN8" s="338">
        <f t="shared" si="43"/>
        <v>2519537.44</v>
      </c>
      <c r="DO8" s="338">
        <f t="shared" si="44"/>
        <v>0</v>
      </c>
      <c r="DP8" s="346"/>
      <c r="DQ8" s="346"/>
      <c r="DR8" s="237">
        <v>13</v>
      </c>
      <c r="DS8" s="238" t="s">
        <v>665</v>
      </c>
      <c r="DT8" s="338">
        <f t="shared" si="25"/>
        <v>0</v>
      </c>
      <c r="DU8" s="338">
        <f t="shared" si="26"/>
        <v>0</v>
      </c>
      <c r="DV8" s="338">
        <f t="shared" ref="DV8:DV36" si="49">+DT8+DU8</f>
        <v>0</v>
      </c>
      <c r="DW8" s="338">
        <f t="shared" si="27"/>
        <v>0</v>
      </c>
      <c r="DX8" s="338">
        <f t="shared" si="28"/>
        <v>0</v>
      </c>
      <c r="DY8" s="338">
        <f t="shared" ref="DY8:DY36" si="50">+DV8-DW8</f>
        <v>0</v>
      </c>
      <c r="EA8" s="346"/>
      <c r="EB8" s="679"/>
      <c r="EC8" s="680"/>
      <c r="ED8" s="681"/>
      <c r="EE8" s="681"/>
      <c r="EF8" s="682">
        <f t="shared" si="13"/>
        <v>0</v>
      </c>
      <c r="EG8" s="346"/>
      <c r="EH8" s="346"/>
      <c r="EI8" s="252"/>
      <c r="EJ8" s="247"/>
      <c r="EK8" s="688"/>
      <c r="EL8" s="689"/>
      <c r="EM8" s="67"/>
      <c r="EN8" s="67"/>
      <c r="EO8" s="348" t="s">
        <v>297</v>
      </c>
      <c r="EP8" s="351">
        <f>+DJ5</f>
        <v>80405840.510000005</v>
      </c>
      <c r="EQ8" s="351">
        <f>+DM5</f>
        <v>86193205.109999985</v>
      </c>
      <c r="ER8" s="351">
        <f>+DN5</f>
        <v>84872096.260000005</v>
      </c>
      <c r="ES8" s="346"/>
      <c r="ET8" s="346"/>
      <c r="EU8" s="82" t="s">
        <v>307</v>
      </c>
      <c r="EV8" s="83" t="s">
        <v>308</v>
      </c>
      <c r="EW8" s="338">
        <f>SUMIF(PE_CP,MID(EU8,1,1)&amp;"*",PE_A)</f>
        <v>0</v>
      </c>
      <c r="EX8" s="338">
        <f>SUMIF(PE_CP,MID(EU8,1,1)&amp;"*",PE_M)</f>
        <v>0</v>
      </c>
      <c r="EY8" s="338">
        <f>+EW8+EX8</f>
        <v>0</v>
      </c>
      <c r="EZ8" s="338">
        <f>SUMIF(PE_CP,MID(EU8,1,1)&amp;"*",PE_D)</f>
        <v>0</v>
      </c>
      <c r="FA8" s="338">
        <f>SUMIF(PE_CP,MID(EU8,1,1)&amp;"*",PE_P)</f>
        <v>0</v>
      </c>
      <c r="FB8" s="338">
        <f>+EY8-EZ8</f>
        <v>0</v>
      </c>
    </row>
    <row r="9" spans="1:158">
      <c r="A9" s="346"/>
      <c r="B9" s="31">
        <v>1140</v>
      </c>
      <c r="C9" s="15" t="s">
        <v>9</v>
      </c>
      <c r="D9" s="112">
        <f ca="1">SUMIF(BC[],MID(B9,1,3)&amp;"*",bc_2017)</f>
        <v>0</v>
      </c>
      <c r="E9" s="112">
        <f ca="1">SUMIF(BC[],MID(B9,1,3)&amp;"*",bc_2016)</f>
        <v>0</v>
      </c>
      <c r="F9" s="24" t="s">
        <v>10</v>
      </c>
      <c r="G9" s="346"/>
      <c r="H9" s="346"/>
      <c r="I9" s="31">
        <v>4140</v>
      </c>
      <c r="J9" s="76" t="s">
        <v>105</v>
      </c>
      <c r="K9" s="112">
        <f ca="1">-SUMIF(BC[],MID(I9,1,3)&amp;"*",bc_2017)</f>
        <v>0</v>
      </c>
      <c r="L9" s="112">
        <f ca="1">-SUMIF(BC[],MID(I9,1,3)&amp;"*",bc_2016)</f>
        <v>0</v>
      </c>
      <c r="M9" s="77"/>
      <c r="N9" s="346"/>
      <c r="O9" s="346"/>
      <c r="P9" s="31">
        <v>3110</v>
      </c>
      <c r="Q9" s="15" t="s">
        <v>59</v>
      </c>
      <c r="R9" s="112">
        <f ca="1">-SUMIF(BC[],MID(P9,1,3)&amp;"*",bc_2016)</f>
        <v>26724265.559999999</v>
      </c>
      <c r="S9" s="133"/>
      <c r="T9" s="133"/>
      <c r="U9" s="133">
        <v>0</v>
      </c>
      <c r="V9" s="133">
        <f t="shared" ca="1" si="46"/>
        <v>26724265.559999999</v>
      </c>
      <c r="W9" s="346"/>
      <c r="X9" s="346"/>
      <c r="Y9" s="31">
        <v>1140</v>
      </c>
      <c r="Z9" s="15" t="s">
        <v>9</v>
      </c>
      <c r="AA9" s="120">
        <f t="shared" ca="1" si="0"/>
        <v>0</v>
      </c>
      <c r="AB9" s="120">
        <f t="shared" ca="1" si="1"/>
        <v>0</v>
      </c>
      <c r="AC9" s="346"/>
      <c r="AD9" s="346"/>
      <c r="AE9" s="36">
        <v>4140</v>
      </c>
      <c r="AF9" s="15" t="s">
        <v>105</v>
      </c>
      <c r="AG9" s="112">
        <f ca="1">-SUMIF(BC[],MID(AE9,1,3)&amp;"*",bc_2017)</f>
        <v>0</v>
      </c>
      <c r="AH9" s="112">
        <f ca="1">-SUMIF(BC[],MID(AE9,1,3)&amp;"*",bc_2016)</f>
        <v>0</v>
      </c>
      <c r="AI9" s="24"/>
      <c r="AJ9" s="346"/>
      <c r="AK9" s="346"/>
      <c r="AL9" s="36">
        <v>1120</v>
      </c>
      <c r="AM9" s="15" t="s">
        <v>6</v>
      </c>
      <c r="AN9" s="133">
        <f ca="1">SUMIF(BC[],MID(AL9,1,3)&amp;"*",bc_2016)</f>
        <v>18150.45</v>
      </c>
      <c r="AO9" s="133">
        <f ca="1">SUMIF(BC[],MID(AL9,1,3)&amp;"*",bc_2017c)</f>
        <v>88170690.549999982</v>
      </c>
      <c r="AP9" s="133">
        <f ca="1">-SUMIF(BC[],MID(AL9,1,3)&amp;"*",bc_2017a)</f>
        <v>88170591.429999992</v>
      </c>
      <c r="AQ9" s="133">
        <f ca="1">SUMIF(BC[],MID(AL9,1,3)&amp;"*",bc_2017)</f>
        <v>18249.57</v>
      </c>
      <c r="AR9" s="133">
        <f t="shared" ref="AR9:AR14" ca="1" si="51">+AQ9-AN9</f>
        <v>99.119999999998981</v>
      </c>
      <c r="AS9" s="346"/>
      <c r="AT9" s="346"/>
      <c r="AU9" s="33">
        <v>2131</v>
      </c>
      <c r="AV9" s="47" t="s">
        <v>83</v>
      </c>
      <c r="AW9" s="136"/>
      <c r="AX9" s="136"/>
      <c r="AY9" s="112">
        <f ca="1">-SUMIF(BC[],MID(AU9,1,4)&amp;"*",bc_2016)</f>
        <v>0</v>
      </c>
      <c r="AZ9" s="112">
        <f ca="1">-SUMIF(BC[],MID(AU9,1,4)&amp;"*",bc_2017)</f>
        <v>0</v>
      </c>
      <c r="BA9" s="346"/>
      <c r="BB9" s="346"/>
      <c r="BC9" s="79"/>
      <c r="BD9" s="383"/>
      <c r="BE9" s="346"/>
      <c r="BF9" s="346"/>
      <c r="BG9" s="34">
        <v>40</v>
      </c>
      <c r="BH9" s="11" t="s">
        <v>105</v>
      </c>
      <c r="BI9" s="333">
        <f t="shared" si="15"/>
        <v>0</v>
      </c>
      <c r="BJ9" s="333">
        <f t="shared" si="16"/>
        <v>0</v>
      </c>
      <c r="BK9" s="333">
        <f t="shared" si="30"/>
        <v>0</v>
      </c>
      <c r="BL9" s="333">
        <f t="shared" si="17"/>
        <v>0</v>
      </c>
      <c r="BM9" s="333">
        <f t="shared" si="18"/>
        <v>0</v>
      </c>
      <c r="BN9" s="333">
        <f t="shared" si="31"/>
        <v>0</v>
      </c>
      <c r="BO9" s="333">
        <f t="shared" si="32"/>
        <v>0</v>
      </c>
      <c r="BP9" s="346"/>
      <c r="BQ9" s="346"/>
      <c r="BR9" s="34">
        <v>40</v>
      </c>
      <c r="BS9" s="11" t="s">
        <v>105</v>
      </c>
      <c r="BT9" s="333">
        <f t="shared" si="33"/>
        <v>0</v>
      </c>
      <c r="BU9" s="333">
        <f t="shared" si="34"/>
        <v>0</v>
      </c>
      <c r="BV9" s="333">
        <f t="shared" si="47"/>
        <v>0</v>
      </c>
      <c r="BW9" s="333">
        <f t="shared" si="35"/>
        <v>0</v>
      </c>
      <c r="BX9" s="333">
        <f t="shared" si="36"/>
        <v>0</v>
      </c>
      <c r="BY9" s="333">
        <f t="shared" si="48"/>
        <v>0</v>
      </c>
      <c r="BZ9" s="333">
        <f t="shared" si="8"/>
        <v>0</v>
      </c>
      <c r="CA9" s="346"/>
      <c r="CB9" s="346"/>
      <c r="CC9" s="34" t="s">
        <v>747</v>
      </c>
      <c r="CD9" s="11" t="s">
        <v>393</v>
      </c>
      <c r="CE9" s="333">
        <f t="shared" si="20"/>
        <v>0</v>
      </c>
      <c r="CF9" s="333">
        <f t="shared" si="21"/>
        <v>0</v>
      </c>
      <c r="CG9" s="333">
        <f t="shared" si="37"/>
        <v>0</v>
      </c>
      <c r="CH9" s="333">
        <f t="shared" si="22"/>
        <v>0</v>
      </c>
      <c r="CI9" s="333">
        <f t="shared" si="23"/>
        <v>0</v>
      </c>
      <c r="CJ9" s="333">
        <f t="shared" si="38"/>
        <v>0</v>
      </c>
      <c r="CK9" s="333">
        <f t="shared" si="10"/>
        <v>0</v>
      </c>
      <c r="CL9" s="346"/>
      <c r="CM9" s="346"/>
      <c r="CN9" s="462">
        <v>21115</v>
      </c>
      <c r="CO9" s="404" t="s">
        <v>2287</v>
      </c>
      <c r="CP9" s="405">
        <f>SUM(CP10:CP15)</f>
        <v>80405840.50999999</v>
      </c>
      <c r="CQ9" s="405">
        <f t="shared" ref="CQ9:CU9" si="52">SUM(CQ10:CQ15)</f>
        <v>8457903.8100000024</v>
      </c>
      <c r="CR9" s="405">
        <f t="shared" si="52"/>
        <v>88863744.319999993</v>
      </c>
      <c r="CS9" s="405">
        <f t="shared" si="52"/>
        <v>86193205.109999999</v>
      </c>
      <c r="CT9" s="405">
        <f t="shared" si="52"/>
        <v>84872096.260000005</v>
      </c>
      <c r="CU9" s="405">
        <f t="shared" si="52"/>
        <v>2670539.2099999934</v>
      </c>
      <c r="CW9" s="346"/>
      <c r="CX9" s="402">
        <v>5</v>
      </c>
      <c r="CY9" s="403" t="s">
        <v>126</v>
      </c>
      <c r="CZ9" s="339">
        <f>SUMIF(PE_CTG,MID(CX9,1,2)&amp;"*",PE_A)</f>
        <v>0</v>
      </c>
      <c r="DA9" s="339">
        <f>SUMIF(PE_CTG,MID(CX9,1,2)&amp;"*",PE_M)</f>
        <v>0</v>
      </c>
      <c r="DB9" s="339">
        <f>+CZ9+DA9</f>
        <v>0</v>
      </c>
      <c r="DC9" s="339">
        <f>SUMIF(PE_CTG,MID(CX9,1,2)&amp;"*",PE_D)</f>
        <v>0</v>
      </c>
      <c r="DD9" s="339">
        <f>SUMIF(PE_CTG,MID(CX9,1,2)&amp;"*",PE_P)</f>
        <v>0</v>
      </c>
      <c r="DE9" s="339">
        <f>+DB9-DC9</f>
        <v>0</v>
      </c>
      <c r="DG9" s="346"/>
      <c r="DH9" s="72">
        <v>1300</v>
      </c>
      <c r="DI9" s="73" t="s">
        <v>187</v>
      </c>
      <c r="DJ9" s="338">
        <f t="shared" si="39"/>
        <v>6724763.9299999988</v>
      </c>
      <c r="DK9" s="338">
        <f t="shared" si="40"/>
        <v>1004115.9099999999</v>
      </c>
      <c r="DL9" s="338">
        <f t="shared" si="41"/>
        <v>7728879.8399999989</v>
      </c>
      <c r="DM9" s="338">
        <f t="shared" si="42"/>
        <v>7728879.8399999999</v>
      </c>
      <c r="DN9" s="338">
        <f t="shared" si="43"/>
        <v>7728879.8399999999</v>
      </c>
      <c r="DO9" s="338">
        <f t="shared" si="44"/>
        <v>0</v>
      </c>
      <c r="DP9" s="346"/>
      <c r="DQ9" s="346"/>
      <c r="DR9" s="237">
        <v>14</v>
      </c>
      <c r="DS9" s="238" t="s">
        <v>666</v>
      </c>
      <c r="DT9" s="338">
        <f t="shared" si="25"/>
        <v>0</v>
      </c>
      <c r="DU9" s="338">
        <f t="shared" si="26"/>
        <v>0</v>
      </c>
      <c r="DV9" s="338">
        <f t="shared" si="49"/>
        <v>0</v>
      </c>
      <c r="DW9" s="338">
        <f t="shared" si="27"/>
        <v>0</v>
      </c>
      <c r="DX9" s="338">
        <f t="shared" si="28"/>
        <v>0</v>
      </c>
      <c r="DY9" s="338">
        <f t="shared" si="50"/>
        <v>0</v>
      </c>
      <c r="EA9" s="346"/>
      <c r="EB9" s="679"/>
      <c r="EC9" s="680"/>
      <c r="ED9" s="681"/>
      <c r="EE9" s="681"/>
      <c r="EF9" s="682">
        <f t="shared" si="13"/>
        <v>0</v>
      </c>
      <c r="EG9" s="346"/>
      <c r="EH9" s="346"/>
      <c r="EI9" s="252"/>
      <c r="EJ9" s="247"/>
      <c r="EK9" s="688"/>
      <c r="EL9" s="689"/>
      <c r="EM9" s="67"/>
      <c r="EN9" s="67"/>
      <c r="EO9" s="348" t="s">
        <v>298</v>
      </c>
      <c r="EP9" s="351">
        <v>0</v>
      </c>
      <c r="EQ9" s="351">
        <v>0</v>
      </c>
      <c r="ER9" s="351">
        <v>0</v>
      </c>
      <c r="ES9" s="346"/>
      <c r="ET9" s="346"/>
      <c r="EU9" s="82" t="s">
        <v>309</v>
      </c>
      <c r="EV9" s="83" t="s">
        <v>310</v>
      </c>
      <c r="EW9" s="338">
        <f>SUMIF(PE_CP,MID(EU9,1,1)&amp;"*",PE_A)</f>
        <v>0</v>
      </c>
      <c r="EX9" s="338">
        <f>SUMIF(PE_CP,MID(EU9,1,1)&amp;"*",PE_M)</f>
        <v>0</v>
      </c>
      <c r="EY9" s="338">
        <f>+EW9+EX9</f>
        <v>0</v>
      </c>
      <c r="EZ9" s="338">
        <f>SUMIF(PE_CP,MID(EU9,1,1)&amp;"*",PE_D)</f>
        <v>0</v>
      </c>
      <c r="FA9" s="338">
        <f>SUMIF(PE_CP,MID(EU9,1,1)&amp;"*",PE_P)</f>
        <v>0</v>
      </c>
      <c r="FB9" s="338">
        <f>+EY9-EZ9</f>
        <v>0</v>
      </c>
    </row>
    <row r="10" spans="1:158">
      <c r="A10" s="346"/>
      <c r="B10" s="31">
        <v>1150</v>
      </c>
      <c r="C10" s="15" t="s">
        <v>11</v>
      </c>
      <c r="D10" s="112">
        <f ca="1">SUMIF(BC[],MID(B10,1,3)&amp;"*",bc_2017)</f>
        <v>0</v>
      </c>
      <c r="E10" s="112">
        <f ca="1">SUMIF(BC[],MID(B10,1,3)&amp;"*",bc_2016)</f>
        <v>0</v>
      </c>
      <c r="F10" s="24" t="s">
        <v>10</v>
      </c>
      <c r="G10" s="346"/>
      <c r="H10" s="346"/>
      <c r="I10" s="31">
        <v>4150</v>
      </c>
      <c r="J10" s="76" t="s">
        <v>106</v>
      </c>
      <c r="K10" s="112">
        <f ca="1">-SUMIF(BC[],MID(I10,1,3)&amp;"*",bc_2017)</f>
        <v>0</v>
      </c>
      <c r="L10" s="112">
        <f ca="1">-SUMIF(BC[],MID(I10,1,3)&amp;"*",bc_2016)</f>
        <v>0</v>
      </c>
      <c r="M10" s="77"/>
      <c r="N10" s="346"/>
      <c r="O10" s="346"/>
      <c r="P10" s="31">
        <v>3120</v>
      </c>
      <c r="Q10" s="15" t="s">
        <v>60</v>
      </c>
      <c r="R10" s="112">
        <f ca="1">-SUMIF(BC[],MID(P10,1,3)&amp;"*",bc_2016)</f>
        <v>0</v>
      </c>
      <c r="S10" s="133"/>
      <c r="T10" s="133"/>
      <c r="U10" s="133">
        <v>0</v>
      </c>
      <c r="V10" s="133">
        <f t="shared" ca="1" si="46"/>
        <v>0</v>
      </c>
      <c r="W10" s="346"/>
      <c r="X10" s="346"/>
      <c r="Y10" s="31">
        <v>1150</v>
      </c>
      <c r="Z10" s="15" t="s">
        <v>11</v>
      </c>
      <c r="AA10" s="120">
        <f t="shared" ca="1" si="0"/>
        <v>0</v>
      </c>
      <c r="AB10" s="120">
        <f t="shared" ca="1" si="1"/>
        <v>0</v>
      </c>
      <c r="AC10" s="346"/>
      <c r="AD10" s="346"/>
      <c r="AE10" s="36">
        <v>4150</v>
      </c>
      <c r="AF10" s="15" t="s">
        <v>106</v>
      </c>
      <c r="AG10" s="112">
        <f ca="1">-SUMIF(BC[],MID(AE10,1,3)&amp;"*",bc_2017)</f>
        <v>0</v>
      </c>
      <c r="AH10" s="112">
        <f ca="1">-SUMIF(BC[],MID(AE10,1,3)&amp;"*",bc_2016)</f>
        <v>0</v>
      </c>
      <c r="AI10" s="24"/>
      <c r="AJ10" s="346"/>
      <c r="AK10" s="346"/>
      <c r="AL10" s="36">
        <v>1130</v>
      </c>
      <c r="AM10" s="15" t="s">
        <v>8</v>
      </c>
      <c r="AN10" s="133">
        <f ca="1">SUMIF(BC[],MID(AL10,1,3)&amp;"*",bc_2016)</f>
        <v>19509.560000000001</v>
      </c>
      <c r="AO10" s="133">
        <f ca="1">SUMIF(BC[],MID(AL10,1,3)&amp;"*",bc_2017c)</f>
        <v>5558290.5499999998</v>
      </c>
      <c r="AP10" s="133">
        <f ca="1">-SUMIF(BC[],MID(AL10,1,3)&amp;"*",bc_2017a)</f>
        <v>5558167.6799999997</v>
      </c>
      <c r="AQ10" s="133">
        <f ca="1">SUMIF(BC[],MID(AL10,1,3)&amp;"*",bc_2017)</f>
        <v>19632.43</v>
      </c>
      <c r="AR10" s="133">
        <f t="shared" ca="1" si="51"/>
        <v>122.86999999999898</v>
      </c>
      <c r="AS10" s="346"/>
      <c r="AT10" s="346"/>
      <c r="AU10" s="33">
        <v>2141</v>
      </c>
      <c r="AV10" s="47" t="s">
        <v>84</v>
      </c>
      <c r="AW10" s="136"/>
      <c r="AX10" s="136"/>
      <c r="AY10" s="112">
        <f ca="1">-SUMIF(BC[],MID(AU10,1,4)&amp;"*",bc_2016)</f>
        <v>0</v>
      </c>
      <c r="AZ10" s="112">
        <f ca="1">-SUMIF(BC[],MID(AU10,1,4)&amp;"*",bc_2017)</f>
        <v>0</v>
      </c>
      <c r="BA10" s="346"/>
      <c r="BB10" s="346"/>
      <c r="BC10" s="65" t="s">
        <v>73</v>
      </c>
      <c r="BD10" s="383" t="s">
        <v>381</v>
      </c>
      <c r="BE10" s="346"/>
      <c r="BF10" s="346"/>
      <c r="BG10" s="34">
        <v>50</v>
      </c>
      <c r="BH10" s="11" t="s">
        <v>237</v>
      </c>
      <c r="BI10" s="333">
        <f t="shared" si="15"/>
        <v>0</v>
      </c>
      <c r="BJ10" s="333">
        <f t="shared" si="16"/>
        <v>0</v>
      </c>
      <c r="BK10" s="333">
        <f t="shared" si="30"/>
        <v>0</v>
      </c>
      <c r="BL10" s="333">
        <f t="shared" si="17"/>
        <v>0</v>
      </c>
      <c r="BM10" s="333">
        <f t="shared" si="18"/>
        <v>0</v>
      </c>
      <c r="BN10" s="333">
        <f t="shared" si="31"/>
        <v>0</v>
      </c>
      <c r="BO10" s="333">
        <f t="shared" si="32"/>
        <v>0</v>
      </c>
      <c r="BP10" s="346"/>
      <c r="BQ10" s="346"/>
      <c r="BR10" s="34">
        <v>50</v>
      </c>
      <c r="BS10" s="11" t="s">
        <v>237</v>
      </c>
      <c r="BT10" s="333">
        <f t="shared" si="33"/>
        <v>0</v>
      </c>
      <c r="BU10" s="333">
        <f t="shared" si="34"/>
        <v>0</v>
      </c>
      <c r="BV10" s="333">
        <f t="shared" si="47"/>
        <v>0</v>
      </c>
      <c r="BW10" s="333">
        <f t="shared" si="35"/>
        <v>0</v>
      </c>
      <c r="BX10" s="333">
        <f t="shared" si="36"/>
        <v>0</v>
      </c>
      <c r="BY10" s="333">
        <f t="shared" si="48"/>
        <v>0</v>
      </c>
      <c r="BZ10" s="333">
        <f t="shared" si="8"/>
        <v>0</v>
      </c>
      <c r="CA10" s="346"/>
      <c r="CB10" s="346"/>
      <c r="CC10" s="34" t="s">
        <v>749</v>
      </c>
      <c r="CD10" s="11" t="s">
        <v>394</v>
      </c>
      <c r="CE10" s="333">
        <f t="shared" si="20"/>
        <v>1042027.56</v>
      </c>
      <c r="CF10" s="333">
        <f t="shared" si="21"/>
        <v>1420477.68</v>
      </c>
      <c r="CG10" s="333">
        <f t="shared" si="37"/>
        <v>2462505.2400000002</v>
      </c>
      <c r="CH10" s="333">
        <f t="shared" si="22"/>
        <v>2462505.2400000002</v>
      </c>
      <c r="CI10" s="333">
        <f t="shared" si="23"/>
        <v>2462505.2400000002</v>
      </c>
      <c r="CJ10" s="333">
        <f t="shared" si="38"/>
        <v>1420477.6800000002</v>
      </c>
      <c r="CK10" s="333">
        <f t="shared" si="10"/>
        <v>1420477.6800000002</v>
      </c>
      <c r="CL10" s="346"/>
      <c r="CM10" s="346"/>
      <c r="CN10" s="404" t="s">
        <v>2270</v>
      </c>
      <c r="CO10" s="404" t="s">
        <v>2288</v>
      </c>
      <c r="CP10" s="338">
        <f>SUMIF(PE_CA,MID(CN10,1,10)&amp;"*",PE_A)</f>
        <v>49888057.919999994</v>
      </c>
      <c r="CQ10" s="338">
        <f>SUMIF(PE_CA,MID(CN10,1,10)&amp;"*",PE_M)</f>
        <v>5782459.6500000013</v>
      </c>
      <c r="CR10" s="338">
        <f>+CP10+CQ10</f>
        <v>55670517.569999993</v>
      </c>
      <c r="CS10" s="338">
        <f>SUMIF(PE_CA,MID(CN10,1,10)&amp;"*",PE_D)</f>
        <v>55670517.57</v>
      </c>
      <c r="CT10" s="338">
        <f>SUMIF(PE_CA,MID(CN10,1,10)&amp;"*",PE_P)</f>
        <v>55669467.57</v>
      </c>
      <c r="CU10" s="338">
        <f>+CR10-CS10</f>
        <v>0</v>
      </c>
      <c r="CW10" s="346"/>
      <c r="DG10" s="346"/>
      <c r="DH10" s="72">
        <v>1400</v>
      </c>
      <c r="DI10" s="73" t="s">
        <v>259</v>
      </c>
      <c r="DJ10" s="338">
        <f t="shared" si="39"/>
        <v>4747500.33</v>
      </c>
      <c r="DK10" s="338">
        <f t="shared" si="40"/>
        <v>-144275.09000000017</v>
      </c>
      <c r="DL10" s="338">
        <f t="shared" si="41"/>
        <v>4603225.24</v>
      </c>
      <c r="DM10" s="338">
        <f t="shared" si="42"/>
        <v>4603225.24</v>
      </c>
      <c r="DN10" s="338">
        <f t="shared" si="43"/>
        <v>4603225.24</v>
      </c>
      <c r="DO10" s="338">
        <f t="shared" si="44"/>
        <v>0</v>
      </c>
      <c r="DP10" s="346"/>
      <c r="DQ10" s="346"/>
      <c r="DR10" s="237">
        <v>15</v>
      </c>
      <c r="DS10" s="238" t="s">
        <v>667</v>
      </c>
      <c r="DT10" s="338">
        <f t="shared" si="25"/>
        <v>0</v>
      </c>
      <c r="DU10" s="338">
        <f t="shared" si="26"/>
        <v>0</v>
      </c>
      <c r="DV10" s="338">
        <f t="shared" si="49"/>
        <v>0</v>
      </c>
      <c r="DW10" s="338">
        <f t="shared" si="27"/>
        <v>0</v>
      </c>
      <c r="DX10" s="338">
        <f t="shared" si="28"/>
        <v>0</v>
      </c>
      <c r="DY10" s="338">
        <f t="shared" si="50"/>
        <v>0</v>
      </c>
      <c r="EA10" s="346"/>
      <c r="EB10" s="679"/>
      <c r="EC10" s="680"/>
      <c r="ED10" s="681"/>
      <c r="EE10" s="681"/>
      <c r="EF10" s="682">
        <f t="shared" si="13"/>
        <v>0</v>
      </c>
      <c r="EG10" s="346"/>
      <c r="EH10" s="346"/>
      <c r="EI10" s="252"/>
      <c r="EJ10" s="247"/>
      <c r="EK10" s="688"/>
      <c r="EL10" s="689"/>
      <c r="EM10" s="67"/>
      <c r="EN10" s="67"/>
      <c r="EO10" s="81" t="s">
        <v>299</v>
      </c>
      <c r="EP10" s="352">
        <f>EP4-EP7</f>
        <v>0</v>
      </c>
      <c r="EQ10" s="352">
        <f>EQ4-EQ7</f>
        <v>2670534.3100000024</v>
      </c>
      <c r="ER10" s="352">
        <f>ER4-ER7</f>
        <v>3991643.1599999815</v>
      </c>
      <c r="ES10" s="346"/>
      <c r="ET10" s="346"/>
      <c r="EU10" s="32">
        <v>900004</v>
      </c>
      <c r="EV10" s="80" t="s">
        <v>311</v>
      </c>
      <c r="EW10" s="337">
        <f t="shared" ref="EW10:FB10" si="53">SUM(EW11:EW18)</f>
        <v>80405840.509999976</v>
      </c>
      <c r="EX10" s="337">
        <f t="shared" si="53"/>
        <v>8457903.8100000042</v>
      </c>
      <c r="EY10" s="337">
        <f t="shared" si="53"/>
        <v>88863744.319999978</v>
      </c>
      <c r="EZ10" s="337">
        <f t="shared" si="53"/>
        <v>86193205.110000029</v>
      </c>
      <c r="FA10" s="337">
        <f t="shared" si="53"/>
        <v>84872096.260000035</v>
      </c>
      <c r="FB10" s="337">
        <f t="shared" si="53"/>
        <v>2670539.2099999487</v>
      </c>
    </row>
    <row r="11" spans="1:158">
      <c r="A11" s="346"/>
      <c r="B11" s="31">
        <v>1160</v>
      </c>
      <c r="C11" s="15" t="s">
        <v>12</v>
      </c>
      <c r="D11" s="112">
        <f ca="1">SUMIF(BC[],MID(B11,1,3)&amp;"*",bc_2017)</f>
        <v>0</v>
      </c>
      <c r="E11" s="112">
        <f ca="1">SUMIF(BC[],MID(B11,1,3)&amp;"*",bc_2016)</f>
        <v>0</v>
      </c>
      <c r="F11" s="24"/>
      <c r="G11" s="346"/>
      <c r="H11" s="346"/>
      <c r="I11" s="31">
        <v>4160</v>
      </c>
      <c r="J11" s="76" t="s">
        <v>107</v>
      </c>
      <c r="K11" s="112">
        <f ca="1">-SUMIF(BC[],MID(I11,1,3)&amp;"*",bc_2017)</f>
        <v>0</v>
      </c>
      <c r="L11" s="112">
        <f ca="1">-SUMIF(BC[],MID(I11,1,3)&amp;"*",bc_2016)</f>
        <v>0</v>
      </c>
      <c r="M11" s="77"/>
      <c r="N11" s="346"/>
      <c r="O11" s="346"/>
      <c r="P11" s="31">
        <v>3130</v>
      </c>
      <c r="Q11" s="15" t="s">
        <v>61</v>
      </c>
      <c r="R11" s="112">
        <f ca="1">-SUMIF(BC[],MID(P11,1,3)&amp;"*",bc_2016)</f>
        <v>0</v>
      </c>
      <c r="S11" s="133"/>
      <c r="T11" s="133"/>
      <c r="U11" s="133">
        <v>0</v>
      </c>
      <c r="V11" s="133">
        <f t="shared" ca="1" si="46"/>
        <v>0</v>
      </c>
      <c r="W11" s="346"/>
      <c r="X11" s="346"/>
      <c r="Y11" s="31">
        <v>1160</v>
      </c>
      <c r="Z11" s="15" t="s">
        <v>12</v>
      </c>
      <c r="AA11" s="120">
        <f t="shared" ca="1" si="0"/>
        <v>0</v>
      </c>
      <c r="AB11" s="120">
        <f t="shared" ca="1" si="1"/>
        <v>0</v>
      </c>
      <c r="AC11" s="346"/>
      <c r="AD11" s="346"/>
      <c r="AE11" s="36">
        <v>4160</v>
      </c>
      <c r="AF11" s="15" t="s">
        <v>107</v>
      </c>
      <c r="AG11" s="112">
        <f ca="1">-SUMIF(BC[],MID(AE11,1,3)&amp;"*",bc_2017)</f>
        <v>0</v>
      </c>
      <c r="AH11" s="112">
        <f ca="1">-SUMIF(BC[],MID(AE11,1,3)&amp;"*",bc_2016)</f>
        <v>0</v>
      </c>
      <c r="AI11" s="24"/>
      <c r="AJ11" s="346"/>
      <c r="AK11" s="346"/>
      <c r="AL11" s="36">
        <v>1140</v>
      </c>
      <c r="AM11" s="15" t="s">
        <v>9</v>
      </c>
      <c r="AN11" s="133">
        <f ca="1">SUMIF(BC[],MID(AL11,1,3)&amp;"*",bc_2016)</f>
        <v>0</v>
      </c>
      <c r="AO11" s="133">
        <f ca="1">SUMIF(BC[],MID(AL11,1,3)&amp;"*",bc_2017c)</f>
        <v>0</v>
      </c>
      <c r="AP11" s="133">
        <f ca="1">-SUMIF(BC[],MID(AL11,1,3)&amp;"*",bc_2017a)</f>
        <v>0</v>
      </c>
      <c r="AQ11" s="133">
        <f ca="1">SUMIF(BC[],MID(AL11,1,3)&amp;"*",bc_2017)</f>
        <v>0</v>
      </c>
      <c r="AR11" s="133">
        <f t="shared" ca="1" si="51"/>
        <v>0</v>
      </c>
      <c r="AS11" s="346"/>
      <c r="AT11" s="346"/>
      <c r="AU11" s="33">
        <v>2133</v>
      </c>
      <c r="AV11" s="47" t="s">
        <v>85</v>
      </c>
      <c r="AW11" s="136"/>
      <c r="AX11" s="136"/>
      <c r="AY11" s="112">
        <f ca="1">-SUMIF(BC[],MID(AU11,1,4)&amp;"*",bc_2016)</f>
        <v>0</v>
      </c>
      <c r="AZ11" s="112">
        <f ca="1">-SUMIF(BC[],MID(AU11,1,4)&amp;"*",bc_2017)</f>
        <v>0</v>
      </c>
      <c r="BA11" s="346"/>
      <c r="BB11" s="346"/>
      <c r="BC11" s="79"/>
      <c r="BD11" s="383"/>
      <c r="BE11" s="346"/>
      <c r="BF11" s="346"/>
      <c r="BG11" s="34">
        <v>51</v>
      </c>
      <c r="BH11" s="3" t="s">
        <v>238</v>
      </c>
      <c r="BI11" s="333">
        <f t="shared" si="15"/>
        <v>0</v>
      </c>
      <c r="BJ11" s="333">
        <f t="shared" si="16"/>
        <v>0</v>
      </c>
      <c r="BK11" s="333">
        <f t="shared" si="30"/>
        <v>0</v>
      </c>
      <c r="BL11" s="333">
        <f t="shared" si="17"/>
        <v>0</v>
      </c>
      <c r="BM11" s="333">
        <f t="shared" si="18"/>
        <v>0</v>
      </c>
      <c r="BN11" s="333">
        <f t="shared" si="31"/>
        <v>0</v>
      </c>
      <c r="BO11" s="333">
        <f t="shared" si="32"/>
        <v>0</v>
      </c>
      <c r="BP11" s="346"/>
      <c r="BQ11" s="346"/>
      <c r="BR11" s="34">
        <v>51</v>
      </c>
      <c r="BS11" s="3" t="s">
        <v>238</v>
      </c>
      <c r="BT11" s="333">
        <f t="shared" si="33"/>
        <v>0</v>
      </c>
      <c r="BU11" s="333">
        <f t="shared" si="34"/>
        <v>0</v>
      </c>
      <c r="BV11" s="333">
        <f t="shared" si="47"/>
        <v>0</v>
      </c>
      <c r="BW11" s="333">
        <f t="shared" si="35"/>
        <v>0</v>
      </c>
      <c r="BX11" s="333">
        <f t="shared" si="36"/>
        <v>0</v>
      </c>
      <c r="BY11" s="333">
        <f t="shared" si="48"/>
        <v>0</v>
      </c>
      <c r="BZ11" s="333">
        <f t="shared" si="8"/>
        <v>0</v>
      </c>
      <c r="CA11" s="346"/>
      <c r="CB11" s="346"/>
      <c r="CC11" s="34">
        <v>914146</v>
      </c>
      <c r="CD11" s="11" t="s">
        <v>1529</v>
      </c>
      <c r="CE11" s="333">
        <f t="shared" ref="CE11" si="54">SUMIF(pi_cri,CC11,pi_e)</f>
        <v>0</v>
      </c>
      <c r="CF11" s="333">
        <f t="shared" ref="CF11" si="55">SUMIF(pi_cri,CC11,pi_m)</f>
        <v>0</v>
      </c>
      <c r="CG11" s="333">
        <f t="shared" ref="CG11" si="56">+CE11+CF11</f>
        <v>0</v>
      </c>
      <c r="CH11" s="333">
        <f t="shared" ref="CH11" si="57">SUMIF(pi_cri,CC11,pi_d)</f>
        <v>0</v>
      </c>
      <c r="CI11" s="333">
        <f t="shared" ref="CI11" si="58">SUMIF(pi_cri,CC11,pi_r)</f>
        <v>0</v>
      </c>
      <c r="CJ11" s="333">
        <f t="shared" ref="CJ11" si="59">+CI11-CE11</f>
        <v>0</v>
      </c>
      <c r="CK11" s="333">
        <f t="shared" si="10"/>
        <v>0</v>
      </c>
      <c r="CL11" s="346"/>
      <c r="CM11" s="346"/>
      <c r="CN11" s="404" t="s">
        <v>2189</v>
      </c>
      <c r="CO11" s="404" t="s">
        <v>2289</v>
      </c>
      <c r="CP11" s="338">
        <f>SUMIF(PE_CA,MID(CN11,1,10)&amp;"*",PE_A)</f>
        <v>17395331.420000002</v>
      </c>
      <c r="CQ11" s="338">
        <f>SUMIF(PE_CA,MID(CN11,1,10)&amp;"*",PE_M)</f>
        <v>2784672.7800000003</v>
      </c>
      <c r="CR11" s="338">
        <f t="shared" ref="CR11:CR14" si="60">+CP11+CQ11</f>
        <v>20180004.200000003</v>
      </c>
      <c r="CS11" s="338">
        <f>SUMIF(PE_CA,MID(CN11,1,10)&amp;"*",PE_D)</f>
        <v>17509464.99000001</v>
      </c>
      <c r="CT11" s="338">
        <f>SUMIF(PE_CA,MID(CN11,1,10)&amp;"*",PE_P)</f>
        <v>16189406.140000002</v>
      </c>
      <c r="CU11" s="338">
        <f t="shared" ref="CU11:CU14" si="61">+CR11-CS11</f>
        <v>2670539.2099999934</v>
      </c>
      <c r="CW11" s="346"/>
      <c r="DG11" s="346"/>
      <c r="DH11" s="72">
        <v>1500</v>
      </c>
      <c r="DI11" s="73" t="s">
        <v>188</v>
      </c>
      <c r="DJ11" s="338">
        <f t="shared" si="39"/>
        <v>29057822.379999999</v>
      </c>
      <c r="DK11" s="338">
        <f t="shared" si="40"/>
        <v>5248468.51</v>
      </c>
      <c r="DL11" s="338">
        <f t="shared" si="41"/>
        <v>34306290.890000001</v>
      </c>
      <c r="DM11" s="338">
        <f t="shared" si="42"/>
        <v>34306290.889999993</v>
      </c>
      <c r="DN11" s="338">
        <f t="shared" si="43"/>
        <v>33120191.039999999</v>
      </c>
      <c r="DO11" s="338">
        <f t="shared" si="44"/>
        <v>0</v>
      </c>
      <c r="DP11" s="346"/>
      <c r="DQ11" s="346"/>
      <c r="DR11" s="237">
        <v>16</v>
      </c>
      <c r="DS11" s="238" t="s">
        <v>668</v>
      </c>
      <c r="DT11" s="338">
        <f t="shared" si="25"/>
        <v>0</v>
      </c>
      <c r="DU11" s="338">
        <f t="shared" si="26"/>
        <v>0</v>
      </c>
      <c r="DV11" s="338">
        <f t="shared" si="49"/>
        <v>0</v>
      </c>
      <c r="DW11" s="338">
        <f t="shared" si="27"/>
        <v>0</v>
      </c>
      <c r="DX11" s="338">
        <f t="shared" si="28"/>
        <v>0</v>
      </c>
      <c r="DY11" s="338">
        <f t="shared" si="50"/>
        <v>0</v>
      </c>
      <c r="EA11" s="346"/>
      <c r="EB11" s="679"/>
      <c r="EC11" s="680"/>
      <c r="ED11" s="681"/>
      <c r="EE11" s="681"/>
      <c r="EF11" s="682">
        <f t="shared" si="13"/>
        <v>0</v>
      </c>
      <c r="EG11" s="346"/>
      <c r="EH11" s="346"/>
      <c r="EI11" s="252"/>
      <c r="EJ11" s="247"/>
      <c r="EK11" s="688"/>
      <c r="EL11" s="689"/>
      <c r="EM11" s="67"/>
      <c r="EN11" s="67"/>
      <c r="EO11" s="81" t="s">
        <v>300</v>
      </c>
      <c r="EP11" s="351">
        <v>0</v>
      </c>
      <c r="EQ11" s="351">
        <v>0</v>
      </c>
      <c r="ER11" s="351">
        <v>0</v>
      </c>
      <c r="ES11" s="346"/>
      <c r="ET11" s="346"/>
      <c r="EU11" s="82" t="s">
        <v>312</v>
      </c>
      <c r="EV11" s="83" t="s">
        <v>313</v>
      </c>
      <c r="EW11" s="338">
        <f t="shared" ref="EW11:EW18" si="62">SUMIF(PE_CP,MID(EU11,1,1)&amp;"*",PE_A)</f>
        <v>80405840.509999976</v>
      </c>
      <c r="EX11" s="338">
        <f t="shared" ref="EX11:EX18" si="63">SUMIF(PE_CP,MID(EU11,1,1)&amp;"*",PE_M)</f>
        <v>8457903.8100000042</v>
      </c>
      <c r="EY11" s="338">
        <f t="shared" ref="EY11:EY18" si="64">+EW11+EX11</f>
        <v>88863744.319999978</v>
      </c>
      <c r="EZ11" s="338">
        <f t="shared" ref="EZ11:EZ18" si="65">SUMIF(PE_CP,MID(EU11,1,1)&amp;"*",PE_D)</f>
        <v>86193205.110000029</v>
      </c>
      <c r="FA11" s="338">
        <f t="shared" ref="FA11:FA18" si="66">SUMIF(PE_CP,MID(EU11,1,1)&amp;"*",PE_P)</f>
        <v>84872096.260000035</v>
      </c>
      <c r="FB11" s="338">
        <f t="shared" ref="FB11:FB18" si="67">+EY11-EZ11</f>
        <v>2670539.2099999487</v>
      </c>
    </row>
    <row r="12" spans="1:158">
      <c r="A12" s="346"/>
      <c r="B12" s="31">
        <v>1190</v>
      </c>
      <c r="C12" s="15" t="s">
        <v>13</v>
      </c>
      <c r="D12" s="112">
        <f ca="1">SUMIF(BC[],MID(B12,1,3)&amp;"*",bc_2017)</f>
        <v>0</v>
      </c>
      <c r="E12" s="112">
        <f ca="1">SUMIF(BC[],MID(B12,1,3)&amp;"*",bc_2016)</f>
        <v>0</v>
      </c>
      <c r="F12" s="24" t="s">
        <v>14</v>
      </c>
      <c r="G12" s="346"/>
      <c r="H12" s="346"/>
      <c r="I12" s="31">
        <v>4170</v>
      </c>
      <c r="J12" s="76" t="s">
        <v>108</v>
      </c>
      <c r="K12" s="112">
        <f ca="1">-SUMIF(BC[],MID(I12,1,3)&amp;"*",bc_2017)</f>
        <v>2925534.31</v>
      </c>
      <c r="L12" s="112">
        <f ca="1">-SUMIF(BC[],MID(I12,1,3)&amp;"*",bc_2016)</f>
        <v>905941.16999999993</v>
      </c>
      <c r="M12" s="77"/>
      <c r="N12" s="346"/>
      <c r="O12" s="346"/>
      <c r="P12" s="30">
        <v>900002</v>
      </c>
      <c r="Q12" s="61" t="s">
        <v>158</v>
      </c>
      <c r="R12" s="133"/>
      <c r="S12" s="115">
        <f ca="1">SUM(S13:S16)</f>
        <v>-953582.3699999922</v>
      </c>
      <c r="T12" s="133"/>
      <c r="U12" s="115">
        <f>SUM(U13:U16)</f>
        <v>0</v>
      </c>
      <c r="V12" s="115">
        <f t="shared" ca="1" si="46"/>
        <v>-953582.3699999922</v>
      </c>
      <c r="W12" s="346"/>
      <c r="X12" s="346"/>
      <c r="Y12" s="31">
        <v>1190</v>
      </c>
      <c r="Z12" s="15" t="s">
        <v>13</v>
      </c>
      <c r="AA12" s="120">
        <f t="shared" ca="1" si="0"/>
        <v>0</v>
      </c>
      <c r="AB12" s="120">
        <f t="shared" ca="1" si="1"/>
        <v>0</v>
      </c>
      <c r="AC12" s="346"/>
      <c r="AD12" s="346"/>
      <c r="AE12" s="36">
        <v>4170</v>
      </c>
      <c r="AF12" s="15" t="s">
        <v>108</v>
      </c>
      <c r="AG12" s="112">
        <f ca="1">-SUMIF(BC[],MID(AE12,1,3)&amp;"*",bc_2017)</f>
        <v>2925534.31</v>
      </c>
      <c r="AH12" s="112">
        <f ca="1">-SUMIF(BC[],MID(AE12,1,3)&amp;"*",bc_2016)</f>
        <v>905941.16999999993</v>
      </c>
      <c r="AI12" s="24"/>
      <c r="AJ12" s="346"/>
      <c r="AK12" s="346"/>
      <c r="AL12" s="36">
        <v>1150</v>
      </c>
      <c r="AM12" s="15" t="s">
        <v>11</v>
      </c>
      <c r="AN12" s="133">
        <f ca="1">SUMIF(BC[],MID(AL12,1,3)&amp;"*",bc_2016)</f>
        <v>0</v>
      </c>
      <c r="AO12" s="133">
        <f ca="1">SUMIF(BC[],MID(AL12,1,3)&amp;"*",bc_2017c)</f>
        <v>0</v>
      </c>
      <c r="AP12" s="133">
        <f ca="1">-SUMIF(BC[],MID(AL12,1,3)&amp;"*",bc_2017a)</f>
        <v>0</v>
      </c>
      <c r="AQ12" s="133">
        <f ca="1">SUMIF(BC[],MID(AL12,1,3)&amp;"*",bc_2017)</f>
        <v>0</v>
      </c>
      <c r="AR12" s="133">
        <f t="shared" ca="1" si="51"/>
        <v>0</v>
      </c>
      <c r="AS12" s="346"/>
      <c r="AT12" s="346"/>
      <c r="AU12" s="37">
        <v>900002</v>
      </c>
      <c r="AV12" s="78" t="s">
        <v>86</v>
      </c>
      <c r="AW12" s="137"/>
      <c r="AX12" s="137"/>
      <c r="AY12" s="115">
        <f>SUM(AY13:AY16)</f>
        <v>0</v>
      </c>
      <c r="AZ12" s="115">
        <f>SUM(AZ13:AZ16)</f>
        <v>0</v>
      </c>
      <c r="BA12" s="346"/>
      <c r="BB12" s="346"/>
      <c r="BC12" s="79"/>
      <c r="BD12" s="383"/>
      <c r="BE12" s="346"/>
      <c r="BF12" s="346"/>
      <c r="BG12" s="34">
        <v>52</v>
      </c>
      <c r="BH12" s="3" t="s">
        <v>239</v>
      </c>
      <c r="BI12" s="333">
        <f t="shared" si="15"/>
        <v>0</v>
      </c>
      <c r="BJ12" s="333">
        <f t="shared" si="16"/>
        <v>0</v>
      </c>
      <c r="BK12" s="333">
        <f t="shared" si="30"/>
        <v>0</v>
      </c>
      <c r="BL12" s="333">
        <f t="shared" si="17"/>
        <v>0</v>
      </c>
      <c r="BM12" s="333">
        <f t="shared" si="18"/>
        <v>0</v>
      </c>
      <c r="BN12" s="333">
        <f t="shared" si="31"/>
        <v>0</v>
      </c>
      <c r="BO12" s="333">
        <f t="shared" si="32"/>
        <v>0</v>
      </c>
      <c r="BP12" s="346"/>
      <c r="BQ12" s="346"/>
      <c r="BR12" s="34">
        <v>52</v>
      </c>
      <c r="BS12" s="3" t="s">
        <v>239</v>
      </c>
      <c r="BT12" s="333">
        <f t="shared" si="33"/>
        <v>0</v>
      </c>
      <c r="BU12" s="333">
        <f t="shared" si="34"/>
        <v>0</v>
      </c>
      <c r="BV12" s="333">
        <f t="shared" si="47"/>
        <v>0</v>
      </c>
      <c r="BW12" s="333">
        <f t="shared" si="35"/>
        <v>0</v>
      </c>
      <c r="BX12" s="333">
        <f t="shared" si="36"/>
        <v>0</v>
      </c>
      <c r="BY12" s="333">
        <f t="shared" si="48"/>
        <v>0</v>
      </c>
      <c r="BZ12" s="333">
        <f t="shared" si="8"/>
        <v>0</v>
      </c>
      <c r="CA12" s="346"/>
      <c r="CB12" s="346"/>
      <c r="CC12" s="34">
        <v>914147</v>
      </c>
      <c r="CD12" s="11" t="s">
        <v>826</v>
      </c>
      <c r="CE12" s="333">
        <f t="shared" ref="CE12" si="68">SUMIF(pi_cri,CC12,pi_e)</f>
        <v>625510.53</v>
      </c>
      <c r="CF12" s="333">
        <f t="shared" ref="CF12" si="69">SUMIF(pi_cri,CC12,pi_m)</f>
        <v>-625510.53</v>
      </c>
      <c r="CG12" s="333">
        <f t="shared" ref="CG12" si="70">+CE12+CF12</f>
        <v>0</v>
      </c>
      <c r="CH12" s="333">
        <f t="shared" ref="CH12" si="71">SUMIF(pi_cri,CC12,pi_d)</f>
        <v>0</v>
      </c>
      <c r="CI12" s="333">
        <f t="shared" ref="CI12" si="72">SUMIF(pi_cri,CC12,pi_r)</f>
        <v>0</v>
      </c>
      <c r="CJ12" s="333">
        <f t="shared" ref="CJ12" si="73">+CI12-CE12</f>
        <v>-625510.53</v>
      </c>
      <c r="CK12" s="333">
        <f t="shared" si="10"/>
        <v>0</v>
      </c>
      <c r="CL12" s="346"/>
      <c r="CM12" s="346"/>
      <c r="CN12" s="404" t="s">
        <v>2276</v>
      </c>
      <c r="CO12" s="404" t="s">
        <v>2290</v>
      </c>
      <c r="CP12" s="338">
        <f>SUMIF(PE_CA,MID(CN12,1,10)&amp;"*",PE_A)</f>
        <v>8213662.959999999</v>
      </c>
      <c r="CQ12" s="338">
        <f>SUMIF(PE_CA,MID(CN12,1,10)&amp;"*",PE_M)</f>
        <v>-310264.88</v>
      </c>
      <c r="CR12" s="338">
        <f t="shared" si="60"/>
        <v>7903398.0799999991</v>
      </c>
      <c r="CS12" s="338">
        <f>SUMIF(PE_CA,MID(CN12,1,10)&amp;"*",PE_D)</f>
        <v>7903398.080000001</v>
      </c>
      <c r="CT12" s="338">
        <f>SUMIF(PE_CA,MID(CN12,1,10)&amp;"*",PE_P)</f>
        <v>7903398.080000001</v>
      </c>
      <c r="CU12" s="338">
        <f t="shared" si="61"/>
        <v>0</v>
      </c>
      <c r="CW12" s="346"/>
      <c r="CX12" s="1042" t="s">
        <v>361</v>
      </c>
      <c r="CY12" s="1042"/>
      <c r="CZ12" s="1042"/>
      <c r="DA12" s="1042"/>
      <c r="DB12" s="1042"/>
      <c r="DC12" s="1042"/>
      <c r="DD12" s="1042"/>
      <c r="DE12" s="1042"/>
      <c r="DG12" s="346"/>
      <c r="DH12" s="72">
        <v>1600</v>
      </c>
      <c r="DI12" s="73" t="s">
        <v>260</v>
      </c>
      <c r="DJ12" s="338">
        <f t="shared" si="39"/>
        <v>1617161.0099999998</v>
      </c>
      <c r="DK12" s="338">
        <f t="shared" si="40"/>
        <v>-1617161.0099999998</v>
      </c>
      <c r="DL12" s="338">
        <f t="shared" si="41"/>
        <v>0</v>
      </c>
      <c r="DM12" s="338">
        <f t="shared" si="42"/>
        <v>0</v>
      </c>
      <c r="DN12" s="338">
        <f t="shared" si="43"/>
        <v>0</v>
      </c>
      <c r="DO12" s="338">
        <f t="shared" si="44"/>
        <v>0</v>
      </c>
      <c r="DP12" s="346"/>
      <c r="DQ12" s="346"/>
      <c r="DR12" s="237">
        <v>17</v>
      </c>
      <c r="DS12" s="238" t="s">
        <v>669</v>
      </c>
      <c r="DT12" s="338">
        <f t="shared" si="25"/>
        <v>0</v>
      </c>
      <c r="DU12" s="338">
        <f t="shared" si="26"/>
        <v>0</v>
      </c>
      <c r="DV12" s="338">
        <f t="shared" si="49"/>
        <v>0</v>
      </c>
      <c r="DW12" s="338">
        <f t="shared" si="27"/>
        <v>0</v>
      </c>
      <c r="DX12" s="338">
        <f t="shared" si="28"/>
        <v>0</v>
      </c>
      <c r="DY12" s="338">
        <f t="shared" si="50"/>
        <v>0</v>
      </c>
      <c r="EA12" s="346"/>
      <c r="EB12" s="679"/>
      <c r="EC12" s="680"/>
      <c r="ED12" s="681"/>
      <c r="EE12" s="681"/>
      <c r="EF12" s="682">
        <f t="shared" si="13"/>
        <v>0</v>
      </c>
      <c r="EG12" s="346"/>
      <c r="EH12" s="346"/>
      <c r="EI12" s="252"/>
      <c r="EJ12" s="247"/>
      <c r="EK12" s="688"/>
      <c r="EL12" s="689"/>
      <c r="EM12" s="67"/>
      <c r="EN12" s="67"/>
      <c r="EO12" s="81" t="s">
        <v>301</v>
      </c>
      <c r="EP12" s="352">
        <f>EP10-EP11</f>
        <v>0</v>
      </c>
      <c r="EQ12" s="352">
        <f>EQ10-EQ11</f>
        <v>2670534.3100000024</v>
      </c>
      <c r="ER12" s="352">
        <f>ER10-ER11</f>
        <v>3991643.1599999815</v>
      </c>
      <c r="ES12" s="346"/>
      <c r="ET12" s="346"/>
      <c r="EU12" s="82" t="s">
        <v>314</v>
      </c>
      <c r="EV12" s="83" t="s">
        <v>315</v>
      </c>
      <c r="EW12" s="338">
        <f t="shared" si="62"/>
        <v>0</v>
      </c>
      <c r="EX12" s="338">
        <f t="shared" si="63"/>
        <v>0</v>
      </c>
      <c r="EY12" s="338">
        <f t="shared" si="64"/>
        <v>0</v>
      </c>
      <c r="EZ12" s="338">
        <f t="shared" si="65"/>
        <v>0</v>
      </c>
      <c r="FA12" s="338">
        <f t="shared" si="66"/>
        <v>0</v>
      </c>
      <c r="FB12" s="338">
        <f t="shared" si="67"/>
        <v>0</v>
      </c>
    </row>
    <row r="13" spans="1:158">
      <c r="A13" s="346"/>
      <c r="B13" s="21">
        <v>1200</v>
      </c>
      <c r="C13" s="14" t="s">
        <v>15</v>
      </c>
      <c r="D13" s="111">
        <f ca="1">SUM(D14:D22)</f>
        <v>20168155.649999999</v>
      </c>
      <c r="E13" s="111">
        <f ca="1">SUM(E14:E22)</f>
        <v>19866003.48</v>
      </c>
      <c r="F13" s="24"/>
      <c r="G13" s="346"/>
      <c r="H13" s="346"/>
      <c r="I13" s="31">
        <v>4190</v>
      </c>
      <c r="J13" s="76" t="s">
        <v>365</v>
      </c>
      <c r="K13" s="112">
        <f ca="1">-SUMIF(BC[],MID(I13,1,3)&amp;"*",bc_2017)</f>
        <v>0</v>
      </c>
      <c r="L13" s="112">
        <f ca="1">-SUMIF(BC[],MID(I13,1,3)&amp;"*",bc_2016)</f>
        <v>0</v>
      </c>
      <c r="M13" s="77"/>
      <c r="N13" s="346"/>
      <c r="O13" s="346"/>
      <c r="P13" s="31">
        <v>3210</v>
      </c>
      <c r="Q13" s="15" t="s">
        <v>64</v>
      </c>
      <c r="R13" s="133"/>
      <c r="S13" s="112">
        <f ca="1">-SUMIF(BC[],MID(P13,1,3)&amp;"*",bc_2016)+L57</f>
        <v>-1484625.6799999923</v>
      </c>
      <c r="T13" s="133"/>
      <c r="U13" s="133">
        <v>0</v>
      </c>
      <c r="V13" s="133">
        <f t="shared" ca="1" si="46"/>
        <v>-1484625.6799999923</v>
      </c>
      <c r="W13" s="346"/>
      <c r="X13" s="346"/>
      <c r="Y13" s="21">
        <v>1200</v>
      </c>
      <c r="Z13" s="14" t="s">
        <v>15</v>
      </c>
      <c r="AA13" s="121">
        <f t="shared" ca="1" si="0"/>
        <v>0</v>
      </c>
      <c r="AB13" s="121">
        <f t="shared" ca="1" si="1"/>
        <v>302152.16999999806</v>
      </c>
      <c r="AC13" s="346"/>
      <c r="AD13" s="346"/>
      <c r="AE13" s="36">
        <v>4190</v>
      </c>
      <c r="AF13" s="15" t="s">
        <v>109</v>
      </c>
      <c r="AG13" s="112">
        <f ca="1">-SUMIF(BC[],MID(AE13,1,3)&amp;"*",bc_2017)</f>
        <v>0</v>
      </c>
      <c r="AH13" s="112">
        <f ca="1">-SUMIF(BC[],MID(AE13,1,3)&amp;"*",bc_2016)</f>
        <v>0</v>
      </c>
      <c r="AI13" s="24"/>
      <c r="AJ13" s="346"/>
      <c r="AK13" s="346"/>
      <c r="AL13" s="36">
        <v>1160</v>
      </c>
      <c r="AM13" s="15" t="s">
        <v>12</v>
      </c>
      <c r="AN13" s="133">
        <f ca="1">SUMIF(BC[],MID(AL13,1,3)&amp;"*",bc_2016)</f>
        <v>0</v>
      </c>
      <c r="AO13" s="133">
        <f ca="1">SUMIF(BC[],MID(AL13,1,3)&amp;"*",bc_2017c)</f>
        <v>0</v>
      </c>
      <c r="AP13" s="133">
        <f ca="1">-SUMIF(BC[],MID(AL13,1,3)&amp;"*",bc_2017a)</f>
        <v>0</v>
      </c>
      <c r="AQ13" s="133">
        <f ca="1">SUMIF(BC[],MID(AL13,1,3)&amp;"*",bc_2017)</f>
        <v>0</v>
      </c>
      <c r="AR13" s="133">
        <f t="shared" ca="1" si="51"/>
        <v>0</v>
      </c>
      <c r="AS13" s="346"/>
      <c r="AT13" s="346"/>
      <c r="AU13" s="33"/>
      <c r="AV13" s="47" t="s">
        <v>87</v>
      </c>
      <c r="AW13" s="136"/>
      <c r="AX13" s="136"/>
      <c r="AY13" s="133">
        <v>0</v>
      </c>
      <c r="AZ13" s="133">
        <v>0</v>
      </c>
      <c r="BA13" s="346"/>
      <c r="BB13" s="346"/>
      <c r="BC13" s="79"/>
      <c r="BD13" s="383"/>
      <c r="BE13" s="346"/>
      <c r="BF13" s="346"/>
      <c r="BG13" s="34">
        <v>60</v>
      </c>
      <c r="BH13" s="11" t="s">
        <v>240</v>
      </c>
      <c r="BI13" s="333">
        <f t="shared" si="15"/>
        <v>0</v>
      </c>
      <c r="BJ13" s="333">
        <f t="shared" si="16"/>
        <v>0</v>
      </c>
      <c r="BK13" s="333">
        <f t="shared" si="30"/>
        <v>0</v>
      </c>
      <c r="BL13" s="333">
        <f t="shared" si="17"/>
        <v>0</v>
      </c>
      <c r="BM13" s="333">
        <f t="shared" si="18"/>
        <v>0</v>
      </c>
      <c r="BN13" s="333">
        <f t="shared" si="31"/>
        <v>0</v>
      </c>
      <c r="BO13" s="333">
        <f t="shared" si="32"/>
        <v>0</v>
      </c>
      <c r="BP13" s="346"/>
      <c r="BQ13" s="346"/>
      <c r="BR13" s="34">
        <v>60</v>
      </c>
      <c r="BS13" s="11" t="s">
        <v>240</v>
      </c>
      <c r="BT13" s="333">
        <f t="shared" si="33"/>
        <v>0</v>
      </c>
      <c r="BU13" s="333">
        <f t="shared" si="34"/>
        <v>0</v>
      </c>
      <c r="BV13" s="333">
        <f t="shared" si="47"/>
        <v>0</v>
      </c>
      <c r="BW13" s="333">
        <f t="shared" si="35"/>
        <v>0</v>
      </c>
      <c r="BX13" s="333">
        <f t="shared" si="36"/>
        <v>0</v>
      </c>
      <c r="BY13" s="333">
        <f t="shared" si="48"/>
        <v>0</v>
      </c>
      <c r="BZ13" s="333">
        <f t="shared" si="8"/>
        <v>0</v>
      </c>
      <c r="CA13" s="346"/>
      <c r="CB13" s="346"/>
      <c r="CC13" s="34">
        <v>710001</v>
      </c>
      <c r="CD13" s="11" t="s">
        <v>2071</v>
      </c>
      <c r="CE13" s="333">
        <f t="shared" ref="CE13:CE14" si="74">SUMIF(pi_cri,CC13,pi_e)</f>
        <v>800000</v>
      </c>
      <c r="CF13" s="333">
        <f t="shared" ref="CF13:CF14" si="75">SUMIF(pi_cri,CC13,pi_m)</f>
        <v>1096500</v>
      </c>
      <c r="CG13" s="333">
        <f t="shared" ref="CG13:CG14" si="76">+CE13+CF13</f>
        <v>1896500</v>
      </c>
      <c r="CH13" s="333">
        <f t="shared" ref="CH13:CH14" si="77">SUMIF(pi_cri,CC13,pi_d)</f>
        <v>1896500</v>
      </c>
      <c r="CI13" s="333">
        <f t="shared" ref="CI13:CI14" si="78">SUMIF(pi_cri,CC13,pi_r)</f>
        <v>1896500</v>
      </c>
      <c r="CJ13" s="333">
        <f t="shared" ref="CJ13:CJ14" si="79">+CI13-CE13</f>
        <v>1096500</v>
      </c>
      <c r="CK13" s="333">
        <f t="shared" si="10"/>
        <v>1096500</v>
      </c>
      <c r="CL13" s="346"/>
      <c r="CM13" s="346"/>
      <c r="CN13" s="404" t="s">
        <v>2266</v>
      </c>
      <c r="CO13" s="404" t="s">
        <v>2291</v>
      </c>
      <c r="CP13" s="338">
        <f>SUMIF(PE_CA,MID(CN13,1,10)&amp;"*",PE_A)</f>
        <v>3308984.8499999996</v>
      </c>
      <c r="CQ13" s="338">
        <f>SUMIF(PE_CA,MID(CN13,1,10)&amp;"*",PE_M)</f>
        <v>400554.9200000001</v>
      </c>
      <c r="CR13" s="338">
        <f t="shared" si="60"/>
        <v>3709539.7699999996</v>
      </c>
      <c r="CS13" s="338">
        <f>SUMIF(PE_CA,MID(CN13,1,10)&amp;"*",PE_D)</f>
        <v>3709539.77</v>
      </c>
      <c r="CT13" s="338">
        <f>SUMIF(PE_CA,MID(CN13,1,10)&amp;"*",PE_P)</f>
        <v>3709539.77</v>
      </c>
      <c r="CU13" s="338">
        <f t="shared" si="61"/>
        <v>0</v>
      </c>
      <c r="CW13" s="346"/>
      <c r="DG13" s="346"/>
      <c r="DH13" s="72">
        <v>1700</v>
      </c>
      <c r="DI13" s="73" t="s">
        <v>189</v>
      </c>
      <c r="DJ13" s="338">
        <f t="shared" si="39"/>
        <v>1099382.22</v>
      </c>
      <c r="DK13" s="338">
        <f t="shared" si="40"/>
        <v>246145.56000000041</v>
      </c>
      <c r="DL13" s="338">
        <f t="shared" si="41"/>
        <v>1345527.7800000003</v>
      </c>
      <c r="DM13" s="338">
        <f t="shared" si="42"/>
        <v>1345527.7799999998</v>
      </c>
      <c r="DN13" s="338">
        <f t="shared" si="43"/>
        <v>1345527.7799999998</v>
      </c>
      <c r="DO13" s="338">
        <f t="shared" si="44"/>
        <v>0</v>
      </c>
      <c r="DP13" s="346"/>
      <c r="DQ13" s="346"/>
      <c r="DR13" s="237">
        <v>18</v>
      </c>
      <c r="DS13" s="238" t="s">
        <v>670</v>
      </c>
      <c r="DT13" s="338">
        <f t="shared" si="25"/>
        <v>0</v>
      </c>
      <c r="DU13" s="338">
        <f t="shared" si="26"/>
        <v>0</v>
      </c>
      <c r="DV13" s="338">
        <f t="shared" si="49"/>
        <v>0</v>
      </c>
      <c r="DW13" s="338">
        <f t="shared" si="27"/>
        <v>0</v>
      </c>
      <c r="DX13" s="338">
        <f t="shared" si="28"/>
        <v>0</v>
      </c>
      <c r="DY13" s="338">
        <f t="shared" si="50"/>
        <v>0</v>
      </c>
      <c r="EA13" s="346"/>
      <c r="EB13" s="181">
        <v>900001</v>
      </c>
      <c r="EC13" s="671" t="s">
        <v>287</v>
      </c>
      <c r="ED13" s="672">
        <f>SUM(ED5:ED12)</f>
        <v>0</v>
      </c>
      <c r="EE13" s="672">
        <f>SUM(EE5:EE12)</f>
        <v>0</v>
      </c>
      <c r="EF13" s="673">
        <f>SUM(EF5:EF12)</f>
        <v>0</v>
      </c>
      <c r="EG13" s="346"/>
      <c r="EH13" s="346"/>
      <c r="EI13" s="252"/>
      <c r="EJ13" s="247"/>
      <c r="EK13" s="688"/>
      <c r="EL13" s="689"/>
      <c r="EM13" s="67"/>
      <c r="EN13" s="67"/>
      <c r="EO13" s="81" t="s">
        <v>302</v>
      </c>
      <c r="EP13" s="351">
        <v>0</v>
      </c>
      <c r="EQ13" s="351">
        <v>0</v>
      </c>
      <c r="ER13" s="351">
        <v>0</v>
      </c>
      <c r="ES13" s="346"/>
      <c r="ET13" s="346"/>
      <c r="EU13" s="82" t="s">
        <v>316</v>
      </c>
      <c r="EV13" s="83" t="s">
        <v>317</v>
      </c>
      <c r="EW13" s="338">
        <f t="shared" si="62"/>
        <v>0</v>
      </c>
      <c r="EX13" s="338">
        <f t="shared" si="63"/>
        <v>0</v>
      </c>
      <c r="EY13" s="338">
        <f t="shared" si="64"/>
        <v>0</v>
      </c>
      <c r="EZ13" s="338">
        <f t="shared" si="65"/>
        <v>0</v>
      </c>
      <c r="FA13" s="338">
        <f t="shared" si="66"/>
        <v>0</v>
      </c>
      <c r="FB13" s="338">
        <f t="shared" si="67"/>
        <v>0</v>
      </c>
    </row>
    <row r="14" spans="1:158">
      <c r="A14" s="346"/>
      <c r="B14" s="31">
        <v>1210</v>
      </c>
      <c r="C14" s="15" t="s">
        <v>16</v>
      </c>
      <c r="D14" s="112">
        <f ca="1">SUMIF(BC[],MID(B14,1,3)&amp;"*",bc_2017)</f>
        <v>0</v>
      </c>
      <c r="E14" s="112">
        <f ca="1">SUMIF(BC[],MID(B14,1,3)&amp;"*",bc_2016)</f>
        <v>0</v>
      </c>
      <c r="F14" s="24"/>
      <c r="G14" s="346"/>
      <c r="H14" s="346"/>
      <c r="I14" s="21">
        <v>4200</v>
      </c>
      <c r="J14" s="61" t="s">
        <v>174</v>
      </c>
      <c r="K14" s="111">
        <f ca="1">SUM(K15:K16)</f>
        <v>83475699.86999999</v>
      </c>
      <c r="L14" s="111">
        <f ca="1">SUM(L15:L16)</f>
        <v>72369777.849999994</v>
      </c>
      <c r="M14" s="69" t="s">
        <v>172</v>
      </c>
      <c r="N14" s="346"/>
      <c r="O14" s="346"/>
      <c r="P14" s="31">
        <v>3220</v>
      </c>
      <c r="Q14" s="15" t="s">
        <v>65</v>
      </c>
      <c r="R14" s="133"/>
      <c r="S14" s="112">
        <f ca="1">-SUMIF(BC[],MID(P14,1,3)&amp;"*",bc_2016)</f>
        <v>531043.31000000006</v>
      </c>
      <c r="T14" s="133"/>
      <c r="U14" s="133">
        <v>0</v>
      </c>
      <c r="V14" s="133">
        <f t="shared" ca="1" si="46"/>
        <v>531043.31000000006</v>
      </c>
      <c r="W14" s="346"/>
      <c r="X14" s="346"/>
      <c r="Y14" s="31">
        <v>1210</v>
      </c>
      <c r="Z14" s="15" t="s">
        <v>16</v>
      </c>
      <c r="AA14" s="120">
        <f t="shared" ca="1" si="0"/>
        <v>0</v>
      </c>
      <c r="AB14" s="120">
        <f t="shared" ca="1" si="1"/>
        <v>0</v>
      </c>
      <c r="AC14" s="346"/>
      <c r="AD14" s="346"/>
      <c r="AE14" s="36">
        <v>4210</v>
      </c>
      <c r="AF14" s="15" t="s">
        <v>110</v>
      </c>
      <c r="AG14" s="112">
        <f ca="1">-SUMIF(BC[],MID(AE14,1,3)&amp;"*",bc_2017)</f>
        <v>0</v>
      </c>
      <c r="AH14" s="112">
        <f ca="1">-SUMIF(BC[],MID(AE14,1,3)&amp;"*",bc_2016)</f>
        <v>0</v>
      </c>
      <c r="AI14" s="24"/>
      <c r="AJ14" s="346"/>
      <c r="AK14" s="346"/>
      <c r="AL14" s="36">
        <v>1190</v>
      </c>
      <c r="AM14" s="15" t="s">
        <v>13</v>
      </c>
      <c r="AN14" s="133">
        <f ca="1">SUMIF(BC[],MID(AL14,1,3)&amp;"*",bc_2016)</f>
        <v>0</v>
      </c>
      <c r="AO14" s="133">
        <f ca="1">SUMIF(BC[],MID(AL14,1,3)&amp;"*",bc_2017c)</f>
        <v>0</v>
      </c>
      <c r="AP14" s="133">
        <f ca="1">-SUMIF(BC[],MID(AL14,1,3)&amp;"*",bc_2017a)</f>
        <v>0</v>
      </c>
      <c r="AQ14" s="133">
        <f ca="1">SUMIF(BC[],MID(AL14,1,3)&amp;"*",bc_2017)</f>
        <v>0</v>
      </c>
      <c r="AR14" s="133">
        <f t="shared" ca="1" si="51"/>
        <v>0</v>
      </c>
      <c r="AS14" s="346"/>
      <c r="AT14" s="346"/>
      <c r="AU14" s="33"/>
      <c r="AV14" s="47" t="s">
        <v>88</v>
      </c>
      <c r="AW14" s="136"/>
      <c r="AX14" s="136"/>
      <c r="AY14" s="133">
        <v>0</v>
      </c>
      <c r="AZ14" s="133">
        <v>0</v>
      </c>
      <c r="BA14" s="346"/>
      <c r="BB14" s="346"/>
      <c r="BC14" s="79"/>
      <c r="BD14" s="383"/>
      <c r="BE14" s="346"/>
      <c r="BF14" s="346"/>
      <c r="BG14" s="34">
        <v>61</v>
      </c>
      <c r="BH14" s="3" t="s">
        <v>238</v>
      </c>
      <c r="BI14" s="333">
        <f t="shared" si="15"/>
        <v>0</v>
      </c>
      <c r="BJ14" s="333">
        <f t="shared" si="16"/>
        <v>0</v>
      </c>
      <c r="BK14" s="333">
        <f t="shared" si="30"/>
        <v>0</v>
      </c>
      <c r="BL14" s="333">
        <f t="shared" si="17"/>
        <v>0</v>
      </c>
      <c r="BM14" s="333">
        <f t="shared" si="18"/>
        <v>0</v>
      </c>
      <c r="BN14" s="333">
        <f t="shared" si="31"/>
        <v>0</v>
      </c>
      <c r="BO14" s="333">
        <f t="shared" si="32"/>
        <v>0</v>
      </c>
      <c r="BP14" s="346"/>
      <c r="BQ14" s="346"/>
      <c r="BR14" s="34">
        <v>61</v>
      </c>
      <c r="BS14" s="3" t="s">
        <v>238</v>
      </c>
      <c r="BT14" s="333">
        <f t="shared" si="33"/>
        <v>0</v>
      </c>
      <c r="BU14" s="333">
        <f t="shared" si="34"/>
        <v>0</v>
      </c>
      <c r="BV14" s="333">
        <f t="shared" si="47"/>
        <v>0</v>
      </c>
      <c r="BW14" s="333">
        <f t="shared" si="35"/>
        <v>0</v>
      </c>
      <c r="BX14" s="333">
        <f t="shared" si="36"/>
        <v>0</v>
      </c>
      <c r="BY14" s="333">
        <f t="shared" si="48"/>
        <v>0</v>
      </c>
      <c r="BZ14" s="333">
        <f t="shared" si="8"/>
        <v>0</v>
      </c>
      <c r="CA14" s="346"/>
      <c r="CB14" s="346"/>
      <c r="CC14" s="34">
        <v>710002</v>
      </c>
      <c r="CD14" s="11" t="s">
        <v>2072</v>
      </c>
      <c r="CE14" s="333">
        <f t="shared" si="74"/>
        <v>2000</v>
      </c>
      <c r="CF14" s="333">
        <f t="shared" si="75"/>
        <v>-1120</v>
      </c>
      <c r="CG14" s="333">
        <f t="shared" si="76"/>
        <v>880</v>
      </c>
      <c r="CH14" s="333">
        <f t="shared" si="77"/>
        <v>880</v>
      </c>
      <c r="CI14" s="333">
        <f t="shared" si="78"/>
        <v>880</v>
      </c>
      <c r="CJ14" s="333">
        <f t="shared" si="79"/>
        <v>-1120</v>
      </c>
      <c r="CK14" s="333">
        <f t="shared" si="10"/>
        <v>0</v>
      </c>
      <c r="CL14" s="346"/>
      <c r="CM14" s="346"/>
      <c r="CN14" s="404" t="s">
        <v>2268</v>
      </c>
      <c r="CO14" s="404" t="s">
        <v>2292</v>
      </c>
      <c r="CP14" s="338">
        <f>SUMIF(PE_CA,MID(CN14,1,10)&amp;"*",PE_A)</f>
        <v>1599803.36</v>
      </c>
      <c r="CQ14" s="338">
        <f>SUMIF(PE_CA,MID(CN14,1,10)&amp;"*",PE_M)</f>
        <v>-199518.66</v>
      </c>
      <c r="CR14" s="338">
        <f t="shared" si="60"/>
        <v>1400284.7000000002</v>
      </c>
      <c r="CS14" s="338">
        <f>SUMIF(PE_CA,MID(CN14,1,10)&amp;"*",PE_D)</f>
        <v>1400284.7000000002</v>
      </c>
      <c r="CT14" s="338">
        <f>SUMIF(PE_CA,MID(CN14,1,10)&amp;"*",PE_P)</f>
        <v>1400284.7000000002</v>
      </c>
      <c r="CU14" s="338">
        <f t="shared" si="61"/>
        <v>0</v>
      </c>
      <c r="CW14" s="346"/>
      <c r="DG14" s="346"/>
      <c r="DH14" s="341">
        <v>2000</v>
      </c>
      <c r="DI14" s="342" t="s">
        <v>261</v>
      </c>
      <c r="DJ14" s="337">
        <f t="shared" ref="DJ14:DO14" si="80">SUM(DJ15:DJ23)</f>
        <v>2249254.52</v>
      </c>
      <c r="DK14" s="337">
        <f t="shared" si="80"/>
        <v>-349815.94999999995</v>
      </c>
      <c r="DL14" s="337">
        <f t="shared" si="80"/>
        <v>1899438.57</v>
      </c>
      <c r="DM14" s="337">
        <f t="shared" si="80"/>
        <v>1899438.57</v>
      </c>
      <c r="DN14" s="337">
        <f t="shared" si="80"/>
        <v>1899438.57</v>
      </c>
      <c r="DO14" s="337">
        <f t="shared" si="80"/>
        <v>0</v>
      </c>
      <c r="DP14" s="346"/>
      <c r="DQ14" s="346"/>
      <c r="DR14" s="235">
        <v>2</v>
      </c>
      <c r="DS14" s="236" t="s">
        <v>671</v>
      </c>
      <c r="DT14" s="337">
        <f t="shared" ref="DT14:DY14" si="81">SUM(DT15:DT21)</f>
        <v>0</v>
      </c>
      <c r="DU14" s="337">
        <f t="shared" si="81"/>
        <v>0</v>
      </c>
      <c r="DV14" s="337">
        <f t="shared" si="81"/>
        <v>0</v>
      </c>
      <c r="DW14" s="337">
        <f t="shared" si="81"/>
        <v>0</v>
      </c>
      <c r="DX14" s="337">
        <f t="shared" si="81"/>
        <v>0</v>
      </c>
      <c r="DY14" s="337">
        <f t="shared" si="81"/>
        <v>0</v>
      </c>
      <c r="EA14" s="346"/>
      <c r="EB14" s="8"/>
      <c r="EC14" s="674" t="s">
        <v>288</v>
      </c>
      <c r="ED14" s="674"/>
      <c r="EE14" s="674"/>
      <c r="EF14" s="9"/>
      <c r="EG14" s="346"/>
      <c r="EH14" s="346"/>
      <c r="EI14" s="181">
        <v>900001</v>
      </c>
      <c r="EJ14" s="248" t="s">
        <v>287</v>
      </c>
      <c r="EK14" s="690">
        <f>SUM(EK5:EK13)</f>
        <v>0</v>
      </c>
      <c r="EL14" s="691">
        <f>SUM(EL5:EL13)</f>
        <v>0</v>
      </c>
      <c r="EM14" s="67"/>
      <c r="EN14" s="67"/>
      <c r="EO14" s="81" t="s">
        <v>303</v>
      </c>
      <c r="EP14" s="351">
        <v>0</v>
      </c>
      <c r="EQ14" s="351">
        <v>0</v>
      </c>
      <c r="ER14" s="351">
        <v>0</v>
      </c>
      <c r="ES14" s="346"/>
      <c r="ET14" s="346"/>
      <c r="EU14" s="82" t="s">
        <v>318</v>
      </c>
      <c r="EV14" s="83" t="s">
        <v>319</v>
      </c>
      <c r="EW14" s="338">
        <f t="shared" si="62"/>
        <v>0</v>
      </c>
      <c r="EX14" s="338">
        <f t="shared" si="63"/>
        <v>0</v>
      </c>
      <c r="EY14" s="338">
        <f t="shared" si="64"/>
        <v>0</v>
      </c>
      <c r="EZ14" s="338">
        <f t="shared" si="65"/>
        <v>0</v>
      </c>
      <c r="FA14" s="338">
        <f t="shared" si="66"/>
        <v>0</v>
      </c>
      <c r="FB14" s="338">
        <f t="shared" si="67"/>
        <v>0</v>
      </c>
    </row>
    <row r="15" spans="1:158">
      <c r="A15" s="346"/>
      <c r="B15" s="31">
        <v>1220</v>
      </c>
      <c r="C15" s="15" t="s">
        <v>17</v>
      </c>
      <c r="D15" s="112">
        <f ca="1">SUMIF(BC[],MID(B15,1,3)&amp;"*",bc_2017)</f>
        <v>0</v>
      </c>
      <c r="E15" s="112">
        <f ca="1">SUMIF(BC[],MID(B15,1,3)&amp;"*",bc_2016)</f>
        <v>0</v>
      </c>
      <c r="F15" s="24"/>
      <c r="G15" s="346"/>
      <c r="H15" s="346"/>
      <c r="I15" s="31">
        <v>4210</v>
      </c>
      <c r="J15" s="76" t="s">
        <v>110</v>
      </c>
      <c r="K15" s="112">
        <f ca="1">-SUMIF(BC[],MID(I15,1,3)&amp;"*",bc_2017)</f>
        <v>0</v>
      </c>
      <c r="L15" s="112">
        <f ca="1">-SUMIF(BC[],MID(I15,1,3)&amp;"*",bc_2016)</f>
        <v>0</v>
      </c>
      <c r="M15" s="77"/>
      <c r="N15" s="346"/>
      <c r="O15" s="346"/>
      <c r="P15" s="31">
        <v>3230</v>
      </c>
      <c r="Q15" s="15" t="s">
        <v>66</v>
      </c>
      <c r="R15" s="133"/>
      <c r="S15" s="112">
        <f ca="1">-SUMIF(BC[],MID(P15,1,3)&amp;"*",bc_2016)</f>
        <v>0</v>
      </c>
      <c r="T15" s="133"/>
      <c r="U15" s="133">
        <v>0</v>
      </c>
      <c r="V15" s="133">
        <f t="shared" ca="1" si="46"/>
        <v>0</v>
      </c>
      <c r="W15" s="346"/>
      <c r="X15" s="346"/>
      <c r="Y15" s="31">
        <v>1220</v>
      </c>
      <c r="Z15" s="15" t="s">
        <v>17</v>
      </c>
      <c r="AA15" s="120">
        <f t="shared" ca="1" si="0"/>
        <v>0</v>
      </c>
      <c r="AB15" s="120">
        <f t="shared" ca="1" si="1"/>
        <v>0</v>
      </c>
      <c r="AC15" s="346"/>
      <c r="AD15" s="346"/>
      <c r="AE15" s="36">
        <v>4220</v>
      </c>
      <c r="AF15" s="15" t="s">
        <v>111</v>
      </c>
      <c r="AG15" s="112">
        <f ca="1">-SUMIF(BC[],MID(AE15,1,3)&amp;"*",bc_2017)</f>
        <v>83475699.86999999</v>
      </c>
      <c r="AH15" s="112">
        <f ca="1">-SUMIF(BC[],MID(AE15,1,3)&amp;"*",bc_2016)</f>
        <v>72369777.849999994</v>
      </c>
      <c r="AI15" s="24"/>
      <c r="AJ15" s="346"/>
      <c r="AK15" s="346"/>
      <c r="AL15" s="23">
        <v>1200</v>
      </c>
      <c r="AM15" s="14" t="s">
        <v>15</v>
      </c>
      <c r="AN15" s="115">
        <f ca="1">SUM(AN16:AN24)</f>
        <v>19866003.48</v>
      </c>
      <c r="AO15" s="115">
        <f ca="1">SUM(AO16:AO24)</f>
        <v>3658273.9699999997</v>
      </c>
      <c r="AP15" s="115">
        <f ca="1">SUM(AP16:AP24)</f>
        <v>3356121.8000000003</v>
      </c>
      <c r="AQ15" s="115">
        <f ca="1">SUM(AQ16:AQ24)</f>
        <v>20168155.649999999</v>
      </c>
      <c r="AR15" s="115">
        <f ca="1">SUM(AR16:AR24)</f>
        <v>302152.1699999969</v>
      </c>
      <c r="AS15" s="346"/>
      <c r="AT15" s="346"/>
      <c r="AU15" s="33"/>
      <c r="AV15" s="47" t="s">
        <v>84</v>
      </c>
      <c r="AW15" s="136"/>
      <c r="AX15" s="136"/>
      <c r="AY15" s="133">
        <v>0</v>
      </c>
      <c r="AZ15" s="133">
        <v>0</v>
      </c>
      <c r="BA15" s="346"/>
      <c r="BB15" s="346"/>
      <c r="BC15" s="79"/>
      <c r="BD15" s="383"/>
      <c r="BE15" s="346"/>
      <c r="BF15" s="346"/>
      <c r="BG15" s="34">
        <v>62</v>
      </c>
      <c r="BH15" s="3" t="s">
        <v>239</v>
      </c>
      <c r="BI15" s="333">
        <f t="shared" si="15"/>
        <v>0</v>
      </c>
      <c r="BJ15" s="333">
        <f t="shared" si="16"/>
        <v>0</v>
      </c>
      <c r="BK15" s="333">
        <f t="shared" si="30"/>
        <v>0</v>
      </c>
      <c r="BL15" s="333">
        <f t="shared" si="17"/>
        <v>0</v>
      </c>
      <c r="BM15" s="333">
        <f t="shared" si="18"/>
        <v>0</v>
      </c>
      <c r="BN15" s="333">
        <f t="shared" si="31"/>
        <v>0</v>
      </c>
      <c r="BO15" s="333">
        <f t="shared" si="32"/>
        <v>0</v>
      </c>
      <c r="BP15" s="346"/>
      <c r="BQ15" s="346"/>
      <c r="BR15" s="34">
        <v>62</v>
      </c>
      <c r="BS15" s="3" t="s">
        <v>239</v>
      </c>
      <c r="BT15" s="333">
        <f t="shared" si="33"/>
        <v>0</v>
      </c>
      <c r="BU15" s="333">
        <f t="shared" si="34"/>
        <v>0</v>
      </c>
      <c r="BV15" s="333">
        <f t="shared" si="47"/>
        <v>0</v>
      </c>
      <c r="BW15" s="333">
        <f t="shared" si="35"/>
        <v>0</v>
      </c>
      <c r="BX15" s="333">
        <f t="shared" si="36"/>
        <v>0</v>
      </c>
      <c r="BY15" s="333">
        <f t="shared" si="48"/>
        <v>0</v>
      </c>
      <c r="BZ15" s="333">
        <f t="shared" si="8"/>
        <v>0</v>
      </c>
      <c r="CA15" s="346"/>
      <c r="CB15" s="346"/>
      <c r="CC15" s="34">
        <v>710014</v>
      </c>
      <c r="CD15" s="11" t="s">
        <v>2073</v>
      </c>
      <c r="CE15" s="333">
        <f t="shared" ref="CE15" si="82">SUMIF(pi_cri,CC15,pi_e)</f>
        <v>510000</v>
      </c>
      <c r="CF15" s="333">
        <f t="shared" ref="CF15" si="83">SUMIF(pi_cri,CC15,pi_m)</f>
        <v>518154.31</v>
      </c>
      <c r="CG15" s="333">
        <f t="shared" ref="CG15" si="84">+CE15+CF15</f>
        <v>1028154.31</v>
      </c>
      <c r="CH15" s="333">
        <f t="shared" ref="CH15" si="85">SUMIF(pi_cri,CC15,pi_d)</f>
        <v>1028154.31</v>
      </c>
      <c r="CI15" s="333">
        <f t="shared" ref="CI15" si="86">SUMIF(pi_cri,CC15,pi_r)</f>
        <v>1028154.31</v>
      </c>
      <c r="CJ15" s="333">
        <f t="shared" ref="CJ15" si="87">+CI15-CE15</f>
        <v>518154.31000000006</v>
      </c>
      <c r="CK15" s="333">
        <f t="shared" si="10"/>
        <v>518154.31000000006</v>
      </c>
      <c r="CL15" s="346"/>
      <c r="CM15" s="346"/>
      <c r="CN15" s="406"/>
      <c r="CO15" s="406"/>
      <c r="CP15" s="407"/>
      <c r="CQ15" s="407"/>
      <c r="CR15" s="407"/>
      <c r="CS15" s="407"/>
      <c r="CT15" s="407"/>
      <c r="CU15" s="407"/>
      <c r="CW15" s="346"/>
      <c r="DG15" s="346"/>
      <c r="DH15" s="72">
        <v>2100</v>
      </c>
      <c r="DI15" s="73" t="s">
        <v>190</v>
      </c>
      <c r="DJ15" s="338">
        <f t="shared" ref="DJ15:DJ23" si="88">SUMIF(PE_COG,MID(DH15,1,2)&amp;"*",PE_A)</f>
        <v>1161530.19</v>
      </c>
      <c r="DK15" s="338">
        <f t="shared" ref="DK15:DK23" si="89">SUMIF(PE_COG,MID(DH15,1,2)&amp;"*",PE_M)</f>
        <v>-261198.14999999997</v>
      </c>
      <c r="DL15" s="338">
        <f t="shared" si="41"/>
        <v>900332.04</v>
      </c>
      <c r="DM15" s="338">
        <f t="shared" ref="DM15:DM23" si="90">SUMIF(PE_COG,MID(DH15,1,2)&amp;"*",PE_D)</f>
        <v>900332.04</v>
      </c>
      <c r="DN15" s="338">
        <f t="shared" ref="DN15:DN23" si="91">SUMIF(PE_COG,MID(DH15,1,2)&amp;"*",PE_P)</f>
        <v>900332.04</v>
      </c>
      <c r="DO15" s="338">
        <f t="shared" si="44"/>
        <v>0</v>
      </c>
      <c r="DP15" s="346"/>
      <c r="DQ15" s="346"/>
      <c r="DR15" s="237">
        <v>21</v>
      </c>
      <c r="DS15" s="238" t="s">
        <v>672</v>
      </c>
      <c r="DT15" s="338">
        <f t="shared" ref="DT15:DT21" si="92">SUMIF(PE_CFG,MID(DR15,1,1)&amp;"."&amp;MID(DR15,2,1)&amp;".*",PE_A)</f>
        <v>0</v>
      </c>
      <c r="DU15" s="338">
        <f t="shared" ref="DU15:DU21" si="93">SUMIF(PE_CFG,MID(DR15,1,1)&amp;"."&amp;MID(DR15,2,1)&amp;".*",PE_M)</f>
        <v>0</v>
      </c>
      <c r="DV15" s="338">
        <f t="shared" si="49"/>
        <v>0</v>
      </c>
      <c r="DW15" s="338">
        <f t="shared" ref="DW15:DW21" si="94">SUMIF(PE_CFG,MID(DR15,1,1)&amp;"."&amp;MID(DR15,2,1)&amp;".*",PE_D)</f>
        <v>0</v>
      </c>
      <c r="DX15" s="338">
        <f t="shared" ref="DX15:DX21" si="95">SUMIF(PE_CFG,MID(DR15,1,1)&amp;"."&amp;MID(DR15,2,1)&amp;".*",PE_P)</f>
        <v>0</v>
      </c>
      <c r="DY15" s="338">
        <f t="shared" si="50"/>
        <v>0</v>
      </c>
      <c r="EA15" s="346"/>
      <c r="EB15" s="679"/>
      <c r="EC15" s="680"/>
      <c r="ED15" s="681"/>
      <c r="EE15" s="681"/>
      <c r="EF15" s="682">
        <f t="shared" ref="EF15:EF24" si="96">IF(AND(ED15&gt;=0,EE15&gt;=0),(ED15-EE15),"-")</f>
        <v>0</v>
      </c>
      <c r="EG15" s="346"/>
      <c r="EH15" s="346"/>
      <c r="EI15" s="692"/>
      <c r="EJ15" s="692" t="s">
        <v>288</v>
      </c>
      <c r="EK15" s="692"/>
      <c r="EL15" s="588"/>
      <c r="EM15" s="67"/>
      <c r="EN15" s="67"/>
      <c r="EO15" s="84" t="s">
        <v>304</v>
      </c>
      <c r="EP15" s="353">
        <f>EP13-EP14</f>
        <v>0</v>
      </c>
      <c r="EQ15" s="353">
        <f>EQ13-EQ14</f>
        <v>0</v>
      </c>
      <c r="ER15" s="353">
        <f>ER13-ER14</f>
        <v>0</v>
      </c>
      <c r="ES15" s="346"/>
      <c r="ET15" s="346"/>
      <c r="EU15" s="82" t="s">
        <v>320</v>
      </c>
      <c r="EV15" s="83" t="s">
        <v>321</v>
      </c>
      <c r="EW15" s="338">
        <f t="shared" si="62"/>
        <v>0</v>
      </c>
      <c r="EX15" s="338">
        <f t="shared" si="63"/>
        <v>0</v>
      </c>
      <c r="EY15" s="338">
        <f t="shared" si="64"/>
        <v>0</v>
      </c>
      <c r="EZ15" s="338">
        <f t="shared" si="65"/>
        <v>0</v>
      </c>
      <c r="FA15" s="338">
        <f t="shared" si="66"/>
        <v>0</v>
      </c>
      <c r="FB15" s="338">
        <f t="shared" si="67"/>
        <v>0</v>
      </c>
    </row>
    <row r="16" spans="1:158">
      <c r="A16" s="346"/>
      <c r="B16" s="31">
        <v>1230</v>
      </c>
      <c r="C16" s="15" t="s">
        <v>18</v>
      </c>
      <c r="D16" s="112">
        <f ca="1">SUMIF(BC[],MID(B16,1,3)&amp;"*",bc_2017)</f>
        <v>0</v>
      </c>
      <c r="E16" s="112">
        <f ca="1">SUMIF(BC[],MID(B16,1,3)&amp;"*",bc_2016)</f>
        <v>0</v>
      </c>
      <c r="F16" s="24" t="s">
        <v>19</v>
      </c>
      <c r="G16" s="346"/>
      <c r="H16" s="346"/>
      <c r="I16" s="31">
        <v>4220</v>
      </c>
      <c r="J16" s="76" t="s">
        <v>111</v>
      </c>
      <c r="K16" s="112">
        <f ca="1">-SUMIF(BC[],MID(I16,1,3)&amp;"*",bc_2017)</f>
        <v>83475699.86999999</v>
      </c>
      <c r="L16" s="112">
        <f ca="1">-SUMIF(BC[],MID(I16,1,3)&amp;"*",bc_2016)</f>
        <v>72369777.849999994</v>
      </c>
      <c r="M16" s="77"/>
      <c r="N16" s="346"/>
      <c r="O16" s="346"/>
      <c r="P16" s="31">
        <v>3240</v>
      </c>
      <c r="Q16" s="15" t="s">
        <v>67</v>
      </c>
      <c r="R16" s="133"/>
      <c r="S16" s="112">
        <f ca="1">-SUMIF(BC[],MID(P16,1,3)&amp;"*",bc_2016)</f>
        <v>0</v>
      </c>
      <c r="T16" s="133"/>
      <c r="U16" s="133">
        <v>0</v>
      </c>
      <c r="V16" s="133">
        <f t="shared" ca="1" si="46"/>
        <v>0</v>
      </c>
      <c r="W16" s="346"/>
      <c r="X16" s="346"/>
      <c r="Y16" s="31">
        <v>1230</v>
      </c>
      <c r="Z16" s="15" t="s">
        <v>18</v>
      </c>
      <c r="AA16" s="120">
        <f t="shared" ca="1" si="0"/>
        <v>0</v>
      </c>
      <c r="AB16" s="120">
        <f t="shared" ca="1" si="1"/>
        <v>0</v>
      </c>
      <c r="AC16" s="346"/>
      <c r="AD16" s="346"/>
      <c r="AE16" s="32">
        <v>4400</v>
      </c>
      <c r="AF16" s="76" t="s">
        <v>112</v>
      </c>
      <c r="AG16" s="112">
        <f ca="1">-SUMIF(BC[],"43*",bc_2017)</f>
        <v>0</v>
      </c>
      <c r="AH16" s="112">
        <f ca="1">-SUMIF(BC[],"43*",bc_2016)</f>
        <v>0</v>
      </c>
      <c r="AI16" s="24"/>
      <c r="AJ16" s="346"/>
      <c r="AK16" s="346"/>
      <c r="AL16" s="36">
        <v>1210</v>
      </c>
      <c r="AM16" s="15" t="s">
        <v>16</v>
      </c>
      <c r="AN16" s="133">
        <f ca="1">SUMIF(BC[],MID(AL16,1,3)&amp;"*",bc_2016)</f>
        <v>0</v>
      </c>
      <c r="AO16" s="133">
        <f ca="1">SUMIF(BC[],MID(AL16,1,3)&amp;"*",bc_2017c)</f>
        <v>0</v>
      </c>
      <c r="AP16" s="133">
        <f ca="1">-SUMIF(BC[],MID(AL16,1,3)&amp;"*",bc_2017a)</f>
        <v>0</v>
      </c>
      <c r="AQ16" s="133">
        <f ca="1">SUMIF(BC[],MID(AL16,1,3)&amp;"*",bc_2017)</f>
        <v>0</v>
      </c>
      <c r="AR16" s="133">
        <f ca="1">+AQ16-AN16</f>
        <v>0</v>
      </c>
      <c r="AS16" s="346"/>
      <c r="AT16" s="346"/>
      <c r="AU16" s="33"/>
      <c r="AV16" s="47" t="s">
        <v>85</v>
      </c>
      <c r="AW16" s="136"/>
      <c r="AX16" s="136"/>
      <c r="AY16" s="133">
        <v>0</v>
      </c>
      <c r="AZ16" s="133">
        <v>0</v>
      </c>
      <c r="BA16" s="346"/>
      <c r="BB16" s="346"/>
      <c r="BC16" s="65" t="s">
        <v>74</v>
      </c>
      <c r="BD16" s="383" t="s">
        <v>381</v>
      </c>
      <c r="BE16" s="346"/>
      <c r="BF16" s="346"/>
      <c r="BG16" s="34">
        <v>70</v>
      </c>
      <c r="BH16" s="11" t="s">
        <v>241</v>
      </c>
      <c r="BI16" s="333">
        <f t="shared" si="15"/>
        <v>1312000</v>
      </c>
      <c r="BJ16" s="333">
        <f t="shared" si="16"/>
        <v>1613534.31</v>
      </c>
      <c r="BK16" s="333">
        <f t="shared" si="30"/>
        <v>2925534.31</v>
      </c>
      <c r="BL16" s="333">
        <f t="shared" si="17"/>
        <v>2925534.31</v>
      </c>
      <c r="BM16" s="333">
        <f t="shared" si="18"/>
        <v>2925534.31</v>
      </c>
      <c r="BN16" s="333">
        <f t="shared" si="31"/>
        <v>1613534.31</v>
      </c>
      <c r="BO16" s="333">
        <f t="shared" si="32"/>
        <v>1613534.31</v>
      </c>
      <c r="BP16" s="346"/>
      <c r="BQ16" s="346"/>
      <c r="BR16" s="34">
        <v>80</v>
      </c>
      <c r="BS16" s="11" t="s">
        <v>242</v>
      </c>
      <c r="BT16" s="333">
        <f t="shared" si="33"/>
        <v>0</v>
      </c>
      <c r="BU16" s="333">
        <f t="shared" si="34"/>
        <v>0</v>
      </c>
      <c r="BV16" s="333">
        <f t="shared" si="47"/>
        <v>0</v>
      </c>
      <c r="BW16" s="333">
        <f t="shared" si="35"/>
        <v>0</v>
      </c>
      <c r="BX16" s="333">
        <f t="shared" si="36"/>
        <v>0</v>
      </c>
      <c r="BY16" s="333">
        <f t="shared" si="48"/>
        <v>0</v>
      </c>
      <c r="BZ16" s="333">
        <f t="shared" si="8"/>
        <v>0</v>
      </c>
      <c r="CA16" s="346"/>
      <c r="CB16" s="346"/>
      <c r="CC16" s="34"/>
      <c r="CD16" s="11"/>
      <c r="CE16" s="333"/>
      <c r="CF16" s="333"/>
      <c r="CG16" s="333"/>
      <c r="CH16" s="333"/>
      <c r="CI16" s="333"/>
      <c r="CJ16" s="333"/>
      <c r="CK16" s="333"/>
      <c r="CL16" s="346"/>
      <c r="CM16" s="346"/>
      <c r="CW16" s="346"/>
      <c r="DG16" s="346"/>
      <c r="DH16" s="72">
        <v>2200</v>
      </c>
      <c r="DI16" s="73" t="s">
        <v>191</v>
      </c>
      <c r="DJ16" s="338">
        <f t="shared" si="88"/>
        <v>33433.71</v>
      </c>
      <c r="DK16" s="338">
        <f t="shared" si="89"/>
        <v>-16966.899999999998</v>
      </c>
      <c r="DL16" s="338">
        <f t="shared" si="41"/>
        <v>16466.810000000001</v>
      </c>
      <c r="DM16" s="338">
        <f t="shared" si="90"/>
        <v>16466.810000000001</v>
      </c>
      <c r="DN16" s="338">
        <f t="shared" si="91"/>
        <v>16466.810000000001</v>
      </c>
      <c r="DO16" s="338">
        <f t="shared" si="44"/>
        <v>0</v>
      </c>
      <c r="DP16" s="346"/>
      <c r="DQ16" s="346"/>
      <c r="DR16" s="237">
        <v>22</v>
      </c>
      <c r="DS16" s="238" t="s">
        <v>673</v>
      </c>
      <c r="DT16" s="338">
        <f t="shared" si="92"/>
        <v>0</v>
      </c>
      <c r="DU16" s="338">
        <f t="shared" si="93"/>
        <v>0</v>
      </c>
      <c r="DV16" s="338">
        <f t="shared" si="49"/>
        <v>0</v>
      </c>
      <c r="DW16" s="338">
        <f t="shared" si="94"/>
        <v>0</v>
      </c>
      <c r="DX16" s="338">
        <f t="shared" si="95"/>
        <v>0</v>
      </c>
      <c r="DY16" s="338">
        <f t="shared" si="50"/>
        <v>0</v>
      </c>
      <c r="EA16" s="346"/>
      <c r="EB16" s="679"/>
      <c r="EC16" s="74" t="s">
        <v>381</v>
      </c>
      <c r="ED16" s="681"/>
      <c r="EE16" s="681"/>
      <c r="EF16" s="682">
        <f t="shared" si="96"/>
        <v>0</v>
      </c>
      <c r="EG16" s="346"/>
      <c r="EH16" s="346"/>
      <c r="EI16" s="253"/>
      <c r="EJ16" s="248"/>
      <c r="EK16" s="688"/>
      <c r="EL16" s="689"/>
      <c r="EM16" s="67"/>
      <c r="EN16" s="67"/>
      <c r="EO16" s="346"/>
      <c r="EP16" s="346"/>
      <c r="EQ16" s="346"/>
      <c r="ER16" s="346"/>
      <c r="ES16" s="346"/>
      <c r="ET16" s="346"/>
      <c r="EU16" s="82" t="s">
        <v>322</v>
      </c>
      <c r="EV16" s="83" t="s">
        <v>323</v>
      </c>
      <c r="EW16" s="338">
        <f t="shared" si="62"/>
        <v>0</v>
      </c>
      <c r="EX16" s="338">
        <f t="shared" si="63"/>
        <v>0</v>
      </c>
      <c r="EY16" s="338">
        <f t="shared" si="64"/>
        <v>0</v>
      </c>
      <c r="EZ16" s="338">
        <f t="shared" si="65"/>
        <v>0</v>
      </c>
      <c r="FA16" s="338">
        <f t="shared" si="66"/>
        <v>0</v>
      </c>
      <c r="FB16" s="338">
        <f t="shared" si="67"/>
        <v>0</v>
      </c>
    </row>
    <row r="17" spans="1:158">
      <c r="A17" s="346"/>
      <c r="B17" s="31">
        <v>1240</v>
      </c>
      <c r="C17" s="15" t="s">
        <v>20</v>
      </c>
      <c r="D17" s="112">
        <f ca="1">SUMIF(BC[],MID(B17,1,3)&amp;"*",bc_2017)</f>
        <v>17883200.050000001</v>
      </c>
      <c r="E17" s="112">
        <f ca="1">SUMIF(BC[],MID(B17,1,3)&amp;"*",bc_2016)</f>
        <v>15855010.120000001</v>
      </c>
      <c r="F17" s="24" t="s">
        <v>19</v>
      </c>
      <c r="G17" s="346"/>
      <c r="H17" s="346"/>
      <c r="I17" s="21">
        <v>4300</v>
      </c>
      <c r="J17" s="61" t="s">
        <v>175</v>
      </c>
      <c r="K17" s="111">
        <f ca="1">SUM(K18:K22)</f>
        <v>0</v>
      </c>
      <c r="L17" s="111">
        <f ca="1">SUM(L18:L22)</f>
        <v>0</v>
      </c>
      <c r="M17" s="77" t="s">
        <v>176</v>
      </c>
      <c r="N17" s="346"/>
      <c r="O17" s="346"/>
      <c r="P17" s="30">
        <v>900003</v>
      </c>
      <c r="Q17" s="61" t="s">
        <v>159</v>
      </c>
      <c r="R17" s="115">
        <f ca="1">+R8</f>
        <v>26724265.559999999</v>
      </c>
      <c r="S17" s="115">
        <f ca="1">+S7+S12</f>
        <v>-953582.3699999922</v>
      </c>
      <c r="T17" s="115">
        <f ca="1">+T7</f>
        <v>0</v>
      </c>
      <c r="U17" s="115">
        <f>+U7+U8+U12</f>
        <v>0</v>
      </c>
      <c r="V17" s="115">
        <f ca="1">+V7+V8+V12</f>
        <v>25770683.190000005</v>
      </c>
      <c r="W17" s="346"/>
      <c r="X17" s="346"/>
      <c r="Y17" s="31">
        <v>1240</v>
      </c>
      <c r="Z17" s="15" t="s">
        <v>20</v>
      </c>
      <c r="AA17" s="120">
        <f t="shared" ca="1" si="0"/>
        <v>0</v>
      </c>
      <c r="AB17" s="120">
        <f t="shared" ca="1" si="1"/>
        <v>2028189.9299999997</v>
      </c>
      <c r="AC17" s="346"/>
      <c r="AD17" s="346"/>
      <c r="AE17" s="32">
        <v>900002</v>
      </c>
      <c r="AF17" s="14" t="s">
        <v>113</v>
      </c>
      <c r="AG17" s="128">
        <f ca="1">SUM(AG18:AG33)</f>
        <v>83475699.86999999</v>
      </c>
      <c r="AH17" s="128">
        <f ca="1">SUM(AH18:AH33)</f>
        <v>72369777.849999994</v>
      </c>
      <c r="AI17" s="24"/>
      <c r="AJ17" s="346"/>
      <c r="AK17" s="346"/>
      <c r="AL17" s="36">
        <v>1220</v>
      </c>
      <c r="AM17" s="15" t="s">
        <v>17</v>
      </c>
      <c r="AN17" s="133">
        <f ca="1">SUMIF(BC[],MID(AL17,1,3)&amp;"*",bc_2016)</f>
        <v>0</v>
      </c>
      <c r="AO17" s="133">
        <f ca="1">SUMIF(BC[],MID(AL17,1,3)&amp;"*",bc_2017c)</f>
        <v>0</v>
      </c>
      <c r="AP17" s="133">
        <f ca="1">-SUMIF(BC[],MID(AL17,1,3)&amp;"*",bc_2017a)</f>
        <v>0</v>
      </c>
      <c r="AQ17" s="133">
        <f ca="1">SUMIF(BC[],MID(AL17,1,3)&amp;"*",bc_2017)</f>
        <v>0</v>
      </c>
      <c r="AR17" s="133">
        <f t="shared" ref="AR17:AR22" ca="1" si="97">+AQ17-AN17</f>
        <v>0</v>
      </c>
      <c r="AS17" s="346"/>
      <c r="AT17" s="346"/>
      <c r="AU17" s="37">
        <v>900003</v>
      </c>
      <c r="AV17" s="78" t="s">
        <v>89</v>
      </c>
      <c r="AW17" s="137"/>
      <c r="AX17" s="137"/>
      <c r="AY17" s="115">
        <f ca="1">AY8+AY12</f>
        <v>0</v>
      </c>
      <c r="AZ17" s="115">
        <f ca="1">AZ8+AZ12</f>
        <v>0</v>
      </c>
      <c r="BA17" s="346"/>
      <c r="BB17" s="346"/>
      <c r="BC17" s="79"/>
      <c r="BD17" s="383"/>
      <c r="BE17" s="346"/>
      <c r="BF17" s="346"/>
      <c r="BG17" s="34">
        <v>80</v>
      </c>
      <c r="BH17" s="11" t="s">
        <v>242</v>
      </c>
      <c r="BI17" s="333">
        <f t="shared" si="15"/>
        <v>0</v>
      </c>
      <c r="BJ17" s="333">
        <f t="shared" si="16"/>
        <v>0</v>
      </c>
      <c r="BK17" s="333">
        <f t="shared" si="30"/>
        <v>0</v>
      </c>
      <c r="BL17" s="333">
        <f t="shared" si="17"/>
        <v>0</v>
      </c>
      <c r="BM17" s="333">
        <f t="shared" si="18"/>
        <v>0</v>
      </c>
      <c r="BN17" s="333">
        <f t="shared" si="31"/>
        <v>0</v>
      </c>
      <c r="BO17" s="333">
        <f t="shared" si="32"/>
        <v>0</v>
      </c>
      <c r="BP17" s="346"/>
      <c r="BQ17" s="346"/>
      <c r="BR17" s="34">
        <v>90</v>
      </c>
      <c r="BS17" s="11" t="s">
        <v>243</v>
      </c>
      <c r="BT17" s="333">
        <v>0</v>
      </c>
      <c r="BU17" s="333">
        <v>0</v>
      </c>
      <c r="BV17" s="333">
        <f t="shared" si="47"/>
        <v>0</v>
      </c>
      <c r="BW17" s="333">
        <v>0</v>
      </c>
      <c r="BX17" s="333">
        <v>0</v>
      </c>
      <c r="BY17" s="333">
        <f t="shared" si="48"/>
        <v>0</v>
      </c>
      <c r="BZ17" s="333">
        <f t="shared" si="8"/>
        <v>0</v>
      </c>
      <c r="CA17" s="346"/>
      <c r="CB17" s="346"/>
      <c r="CC17" s="34"/>
      <c r="CD17" s="11"/>
      <c r="CE17" s="333"/>
      <c r="CF17" s="333"/>
      <c r="CG17" s="333"/>
      <c r="CH17" s="333"/>
      <c r="CI17" s="333"/>
      <c r="CJ17" s="333"/>
      <c r="CK17" s="333"/>
      <c r="CL17" s="346"/>
      <c r="CM17" s="346"/>
      <c r="CW17" s="346"/>
      <c r="DG17" s="346"/>
      <c r="DH17" s="72">
        <v>2300</v>
      </c>
      <c r="DI17" s="73" t="s">
        <v>192</v>
      </c>
      <c r="DJ17" s="338">
        <f t="shared" si="88"/>
        <v>0</v>
      </c>
      <c r="DK17" s="338">
        <f t="shared" si="89"/>
        <v>0</v>
      </c>
      <c r="DL17" s="338">
        <f t="shared" si="41"/>
        <v>0</v>
      </c>
      <c r="DM17" s="338">
        <f t="shared" si="90"/>
        <v>0</v>
      </c>
      <c r="DN17" s="338">
        <f t="shared" si="91"/>
        <v>0</v>
      </c>
      <c r="DO17" s="338">
        <f t="shared" si="44"/>
        <v>0</v>
      </c>
      <c r="DP17" s="346"/>
      <c r="DQ17" s="346"/>
      <c r="DR17" s="237">
        <v>23</v>
      </c>
      <c r="DS17" s="238" t="s">
        <v>674</v>
      </c>
      <c r="DT17" s="338">
        <f t="shared" si="92"/>
        <v>0</v>
      </c>
      <c r="DU17" s="338">
        <f t="shared" si="93"/>
        <v>0</v>
      </c>
      <c r="DV17" s="338">
        <f t="shared" si="49"/>
        <v>0</v>
      </c>
      <c r="DW17" s="338">
        <f t="shared" si="94"/>
        <v>0</v>
      </c>
      <c r="DX17" s="338">
        <f t="shared" si="95"/>
        <v>0</v>
      </c>
      <c r="DY17" s="338">
        <f t="shared" si="50"/>
        <v>0</v>
      </c>
      <c r="EA17" s="346"/>
      <c r="EB17" s="679"/>
      <c r="EC17" s="680"/>
      <c r="ED17" s="681"/>
      <c r="EE17" s="681"/>
      <c r="EF17" s="682">
        <f t="shared" si="96"/>
        <v>0</v>
      </c>
      <c r="EG17" s="346"/>
      <c r="EH17" s="346"/>
      <c r="EI17" s="253"/>
      <c r="EJ17" s="74" t="s">
        <v>381</v>
      </c>
      <c r="EK17" s="688"/>
      <c r="EL17" s="689"/>
      <c r="EM17" s="67"/>
      <c r="EN17" s="67"/>
      <c r="EO17" s="346"/>
      <c r="EP17" s="346"/>
      <c r="EQ17" s="346"/>
      <c r="ER17" s="346"/>
      <c r="ES17" s="346"/>
      <c r="ET17" s="346"/>
      <c r="EU17" s="82" t="s">
        <v>324</v>
      </c>
      <c r="EV17" s="83" t="s">
        <v>325</v>
      </c>
      <c r="EW17" s="338">
        <f t="shared" si="62"/>
        <v>0</v>
      </c>
      <c r="EX17" s="338">
        <f t="shared" si="63"/>
        <v>0</v>
      </c>
      <c r="EY17" s="338">
        <f t="shared" si="64"/>
        <v>0</v>
      </c>
      <c r="EZ17" s="338">
        <f t="shared" si="65"/>
        <v>0</v>
      </c>
      <c r="FA17" s="338">
        <f t="shared" si="66"/>
        <v>0</v>
      </c>
      <c r="FB17" s="338">
        <f t="shared" si="67"/>
        <v>0</v>
      </c>
    </row>
    <row r="18" spans="1:158">
      <c r="A18" s="346"/>
      <c r="B18" s="31">
        <v>1250</v>
      </c>
      <c r="C18" s="15" t="s">
        <v>28</v>
      </c>
      <c r="D18" s="112">
        <f ca="1">SUMIF(BC[],MID(B18,1,3)&amp;"*",bc_2017)</f>
        <v>12948932.159999998</v>
      </c>
      <c r="E18" s="112">
        <f ca="1">SUMIF(BC[],MID(B18,1,3)&amp;"*",bc_2016)</f>
        <v>12823516.859999999</v>
      </c>
      <c r="F18" s="24" t="s">
        <v>29</v>
      </c>
      <c r="G18" s="346"/>
      <c r="H18" s="346"/>
      <c r="I18" s="31">
        <v>4310</v>
      </c>
      <c r="J18" s="76" t="s">
        <v>177</v>
      </c>
      <c r="K18" s="112">
        <f ca="1">-SUMIF(BC[],MID(I18,1,3)&amp;"*",bc_2017)</f>
        <v>0</v>
      </c>
      <c r="L18" s="112">
        <f ca="1">-SUMIF(BC[],MID(I18,1,3)&amp;"*",bc_2016)</f>
        <v>0</v>
      </c>
      <c r="M18" s="77"/>
      <c r="N18" s="346"/>
      <c r="O18" s="346"/>
      <c r="P18" s="30">
        <v>900004</v>
      </c>
      <c r="Q18" s="61" t="s">
        <v>160</v>
      </c>
      <c r="R18" s="115">
        <f ca="1">SUM(R19:R21)</f>
        <v>853461.14000000432</v>
      </c>
      <c r="S18" s="133"/>
      <c r="T18" s="133"/>
      <c r="U18" s="115">
        <f>SUM(U19:U21)</f>
        <v>0</v>
      </c>
      <c r="V18" s="115">
        <f t="shared" ref="V18:V26" ca="1" si="98">SUM(R18:U18)</f>
        <v>853461.14000000432</v>
      </c>
      <c r="W18" s="346"/>
      <c r="X18" s="346"/>
      <c r="Y18" s="31">
        <v>1250</v>
      </c>
      <c r="Z18" s="15" t="s">
        <v>28</v>
      </c>
      <c r="AA18" s="120">
        <f t="shared" ca="1" si="0"/>
        <v>0</v>
      </c>
      <c r="AB18" s="120">
        <f t="shared" ca="1" si="1"/>
        <v>125415.29999999888</v>
      </c>
      <c r="AC18" s="346"/>
      <c r="AD18" s="346"/>
      <c r="AE18" s="36">
        <v>5110</v>
      </c>
      <c r="AF18" s="15" t="s">
        <v>114</v>
      </c>
      <c r="AG18" s="112">
        <f ca="1">SUMIF(BC[],MID(AE18,1,3)&amp;"*",bc_2017)</f>
        <v>65924124.18999999</v>
      </c>
      <c r="AH18" s="112">
        <f ca="1">SUMIF(BC[],MID(AE18,1,3)&amp;"*",bc_2016)</f>
        <v>56592071.319999993</v>
      </c>
      <c r="AI18" s="24"/>
      <c r="AJ18" s="346"/>
      <c r="AK18" s="346"/>
      <c r="AL18" s="36">
        <v>1230</v>
      </c>
      <c r="AM18" s="15" t="s">
        <v>18</v>
      </c>
      <c r="AN18" s="133">
        <f ca="1">SUMIF(BC[],MID(AL18,1,3)&amp;"*",bc_2016)</f>
        <v>0</v>
      </c>
      <c r="AO18" s="133">
        <f ca="1">SUMIF(BC[],MID(AL18,1,3)&amp;"*",bc_2017c)</f>
        <v>0</v>
      </c>
      <c r="AP18" s="133">
        <f ca="1">-SUMIF(BC[],MID(AL18,1,3)&amp;"*",bc_2017a)</f>
        <v>0</v>
      </c>
      <c r="AQ18" s="133">
        <f ca="1">SUMIF(BC[],MID(AL18,1,3)&amp;"*",bc_2017)</f>
        <v>0</v>
      </c>
      <c r="AR18" s="133">
        <f t="shared" ca="1" si="97"/>
        <v>0</v>
      </c>
      <c r="AS18" s="346"/>
      <c r="AT18" s="346"/>
      <c r="AU18" s="33"/>
      <c r="AV18" s="70" t="s">
        <v>90</v>
      </c>
      <c r="AW18" s="136"/>
      <c r="AX18" s="136"/>
      <c r="AY18" s="133"/>
      <c r="AZ18" s="133"/>
      <c r="BA18" s="346"/>
      <c r="BB18" s="346"/>
      <c r="BC18" s="85"/>
      <c r="BD18" s="383"/>
      <c r="BE18" s="346"/>
      <c r="BF18" s="346"/>
      <c r="BG18" s="34">
        <v>90</v>
      </c>
      <c r="BH18" s="11" t="s">
        <v>243</v>
      </c>
      <c r="BI18" s="333">
        <f t="shared" si="15"/>
        <v>79093840.510000005</v>
      </c>
      <c r="BJ18" s="333">
        <f t="shared" si="16"/>
        <v>6844369.5</v>
      </c>
      <c r="BK18" s="333">
        <f t="shared" si="30"/>
        <v>85938210.010000005</v>
      </c>
      <c r="BL18" s="333">
        <f t="shared" si="17"/>
        <v>85938205.109999985</v>
      </c>
      <c r="BM18" s="333">
        <f t="shared" si="18"/>
        <v>85938205.109999985</v>
      </c>
      <c r="BN18" s="333">
        <f t="shared" si="31"/>
        <v>6844364.5999999791</v>
      </c>
      <c r="BO18" s="333">
        <f t="shared" si="32"/>
        <v>6844364.5999999791</v>
      </c>
      <c r="BP18" s="346"/>
      <c r="BQ18" s="346"/>
      <c r="BR18" s="46"/>
      <c r="BS18" s="12" t="s">
        <v>247</v>
      </c>
      <c r="BT18" s="335">
        <f>SUM(BT19:BT21)</f>
        <v>80405840.510000005</v>
      </c>
      <c r="BU18" s="335">
        <f t="shared" ref="BU18:BY18" si="99">SUM(BU19:BU21)</f>
        <v>8457903.8100000005</v>
      </c>
      <c r="BV18" s="335">
        <f t="shared" si="99"/>
        <v>88863744.320000008</v>
      </c>
      <c r="BW18" s="335">
        <f t="shared" si="99"/>
        <v>88863739.419999987</v>
      </c>
      <c r="BX18" s="335">
        <f t="shared" si="99"/>
        <v>88863739.419999987</v>
      </c>
      <c r="BY18" s="335">
        <f t="shared" si="99"/>
        <v>8457898.9099999797</v>
      </c>
      <c r="BZ18" s="335">
        <f t="shared" si="8"/>
        <v>8457898.9099999797</v>
      </c>
      <c r="CA18" s="346"/>
      <c r="CB18" s="346"/>
      <c r="CC18" s="34"/>
      <c r="CD18" s="11"/>
      <c r="CE18" s="333"/>
      <c r="CF18" s="333"/>
      <c r="CG18" s="333"/>
      <c r="CH18" s="333"/>
      <c r="CI18" s="333"/>
      <c r="CJ18" s="333"/>
      <c r="CK18" s="333"/>
      <c r="CL18" s="346"/>
      <c r="CM18" s="346"/>
      <c r="CN18" s="1042" t="s">
        <v>361</v>
      </c>
      <c r="CO18" s="1042"/>
      <c r="CP18" s="1042"/>
      <c r="CQ18" s="1042"/>
      <c r="CR18" s="1042"/>
      <c r="CS18" s="1042"/>
      <c r="CT18" s="1042"/>
      <c r="CU18" s="1042"/>
      <c r="CW18" s="346"/>
      <c r="DG18" s="346"/>
      <c r="DH18" s="72">
        <v>2400</v>
      </c>
      <c r="DI18" s="73" t="s">
        <v>193</v>
      </c>
      <c r="DJ18" s="338">
        <f t="shared" si="88"/>
        <v>77471.66</v>
      </c>
      <c r="DK18" s="338">
        <f t="shared" si="89"/>
        <v>-46051.489999999991</v>
      </c>
      <c r="DL18" s="338">
        <f t="shared" si="41"/>
        <v>31420.170000000013</v>
      </c>
      <c r="DM18" s="338">
        <f t="shared" si="90"/>
        <v>31420.17</v>
      </c>
      <c r="DN18" s="338">
        <f t="shared" si="91"/>
        <v>31420.17</v>
      </c>
      <c r="DO18" s="338">
        <f t="shared" si="44"/>
        <v>0</v>
      </c>
      <c r="DP18" s="346"/>
      <c r="DQ18" s="346"/>
      <c r="DR18" s="237">
        <v>24</v>
      </c>
      <c r="DS18" s="238" t="s">
        <v>675</v>
      </c>
      <c r="DT18" s="338">
        <f t="shared" si="92"/>
        <v>0</v>
      </c>
      <c r="DU18" s="338">
        <f t="shared" si="93"/>
        <v>0</v>
      </c>
      <c r="DV18" s="338">
        <f t="shared" si="49"/>
        <v>0</v>
      </c>
      <c r="DW18" s="338">
        <f t="shared" si="94"/>
        <v>0</v>
      </c>
      <c r="DX18" s="338">
        <f t="shared" si="95"/>
        <v>0</v>
      </c>
      <c r="DY18" s="338">
        <f t="shared" si="50"/>
        <v>0</v>
      </c>
      <c r="EA18" s="346"/>
      <c r="EB18" s="679"/>
      <c r="EC18" s="680"/>
      <c r="ED18" s="681"/>
      <c r="EE18" s="681"/>
      <c r="EF18" s="682">
        <f t="shared" si="96"/>
        <v>0</v>
      </c>
      <c r="EG18" s="346"/>
      <c r="EH18" s="346"/>
      <c r="EI18" s="253"/>
      <c r="EJ18" s="248"/>
      <c r="EK18" s="688"/>
      <c r="EL18" s="689"/>
      <c r="EM18" s="67"/>
      <c r="EN18" s="67"/>
      <c r="EO18" s="1039" t="s">
        <v>361</v>
      </c>
      <c r="EP18" s="1039"/>
      <c r="EQ18" s="1039"/>
      <c r="ER18" s="1039"/>
      <c r="ES18" s="346"/>
      <c r="ET18" s="346"/>
      <c r="EU18" s="82" t="s">
        <v>326</v>
      </c>
      <c r="EV18" s="83" t="s">
        <v>327</v>
      </c>
      <c r="EW18" s="338">
        <f t="shared" si="62"/>
        <v>0</v>
      </c>
      <c r="EX18" s="338">
        <f t="shared" si="63"/>
        <v>0</v>
      </c>
      <c r="EY18" s="338">
        <f t="shared" si="64"/>
        <v>0</v>
      </c>
      <c r="EZ18" s="338">
        <f t="shared" si="65"/>
        <v>0</v>
      </c>
      <c r="FA18" s="338">
        <f t="shared" si="66"/>
        <v>0</v>
      </c>
      <c r="FB18" s="338">
        <f t="shared" si="67"/>
        <v>0</v>
      </c>
    </row>
    <row r="19" spans="1:158">
      <c r="A19" s="346"/>
      <c r="B19" s="31">
        <v>1260</v>
      </c>
      <c r="C19" s="15" t="s">
        <v>30</v>
      </c>
      <c r="D19" s="112">
        <f ca="1">SUMIF(BC[],MID(B19,1,3)&amp;"*",bc_2017)</f>
        <v>-10699176.560000001</v>
      </c>
      <c r="E19" s="112">
        <f ca="1">SUMIF(BC[],MID(B19,1,3)&amp;"*",bc_2016)</f>
        <v>-8858009.2199999988</v>
      </c>
      <c r="F19" s="24"/>
      <c r="G19" s="346"/>
      <c r="H19" s="346"/>
      <c r="I19" s="31">
        <v>4320</v>
      </c>
      <c r="J19" s="76" t="s">
        <v>178</v>
      </c>
      <c r="K19" s="112">
        <f ca="1">-SUMIF(BC[],MID(I19,1,3)&amp;"*",bc_2017)</f>
        <v>0</v>
      </c>
      <c r="L19" s="112">
        <f ca="1">-SUMIF(BC[],MID(I19,1,3)&amp;"*",bc_2016)</f>
        <v>0</v>
      </c>
      <c r="M19" s="77"/>
      <c r="N19" s="346"/>
      <c r="O19" s="346"/>
      <c r="P19" s="31">
        <v>3110</v>
      </c>
      <c r="Q19" s="15" t="s">
        <v>161</v>
      </c>
      <c r="R19" s="112">
        <f ca="1">-SUMIF(BC[],MID(P19,1,3)&amp;"*",bc_2017)+SUMIF(BC[],MID(P19,1,3)&amp;"*",bc_2016)</f>
        <v>853461.14000000432</v>
      </c>
      <c r="S19" s="133"/>
      <c r="T19" s="133"/>
      <c r="U19" s="133">
        <v>0</v>
      </c>
      <c r="V19" s="133">
        <f t="shared" ca="1" si="98"/>
        <v>853461.14000000432</v>
      </c>
      <c r="W19" s="346"/>
      <c r="X19" s="346"/>
      <c r="Y19" s="31">
        <v>1260</v>
      </c>
      <c r="Z19" s="15" t="s">
        <v>30</v>
      </c>
      <c r="AA19" s="120">
        <f t="shared" ca="1" si="0"/>
        <v>1841167.3400000017</v>
      </c>
      <c r="AB19" s="120">
        <f t="shared" ca="1" si="1"/>
        <v>0</v>
      </c>
      <c r="AC19" s="346"/>
      <c r="AD19" s="346"/>
      <c r="AE19" s="36">
        <v>5120</v>
      </c>
      <c r="AF19" s="15" t="s">
        <v>115</v>
      </c>
      <c r="AG19" s="112">
        <f ca="1">SUMIF(BC[],MID(AE19,1,3)&amp;"*",bc_2017)</f>
        <v>1899438.5700000003</v>
      </c>
      <c r="AH19" s="112">
        <f ca="1">SUMIF(BC[],MID(AE19,1,3)&amp;"*",bc_2016)</f>
        <v>1884536.9899999998</v>
      </c>
      <c r="AI19" s="24"/>
      <c r="AJ19" s="346"/>
      <c r="AK19" s="346"/>
      <c r="AL19" s="36">
        <v>1240</v>
      </c>
      <c r="AM19" s="15" t="s">
        <v>20</v>
      </c>
      <c r="AN19" s="133">
        <f ca="1">SUMIF(BC[],MID(AL19,1,3)&amp;"*",bc_2016)</f>
        <v>15855010.120000001</v>
      </c>
      <c r="AO19" s="133">
        <f ca="1">SUMIF(BC[],MID(AL19,1,3)&amp;"*",bc_2017c)</f>
        <v>3014839.91</v>
      </c>
      <c r="AP19" s="133">
        <f ca="1">-SUMIF(BC[],MID(AL19,1,3)&amp;"*",bc_2017a)</f>
        <v>986649.98</v>
      </c>
      <c r="AQ19" s="133">
        <f ca="1">SUMIF(BC[],MID(AL19,1,3)&amp;"*",bc_2017)</f>
        <v>17883200.050000001</v>
      </c>
      <c r="AR19" s="133">
        <f t="shared" ca="1" si="97"/>
        <v>2028189.9299999997</v>
      </c>
      <c r="AS19" s="346"/>
      <c r="AT19" s="346"/>
      <c r="AU19" s="33"/>
      <c r="AV19" s="78" t="s">
        <v>82</v>
      </c>
      <c r="AW19" s="136"/>
      <c r="AX19" s="136"/>
      <c r="AY19" s="115">
        <f ca="1">SUM(AY20:AY22)</f>
        <v>0</v>
      </c>
      <c r="AZ19" s="115">
        <f ca="1">SUM(AZ20:AZ22)</f>
        <v>0</v>
      </c>
      <c r="BA19" s="346"/>
      <c r="BB19" s="346"/>
      <c r="BC19" s="79"/>
      <c r="BD19" s="383"/>
      <c r="BE19" s="346"/>
      <c r="BF19" s="346"/>
      <c r="BG19" s="39" t="s">
        <v>244</v>
      </c>
      <c r="BH19" s="40" t="s">
        <v>245</v>
      </c>
      <c r="BI19" s="334">
        <f t="shared" si="15"/>
        <v>0</v>
      </c>
      <c r="BJ19" s="334">
        <f t="shared" si="16"/>
        <v>0</v>
      </c>
      <c r="BK19" s="334">
        <f t="shared" si="30"/>
        <v>0</v>
      </c>
      <c r="BL19" s="334">
        <f t="shared" si="17"/>
        <v>0</v>
      </c>
      <c r="BM19" s="334">
        <f t="shared" si="18"/>
        <v>0</v>
      </c>
      <c r="BN19" s="334">
        <f t="shared" si="31"/>
        <v>0</v>
      </c>
      <c r="BO19" s="334">
        <f t="shared" si="32"/>
        <v>0</v>
      </c>
      <c r="BP19" s="346"/>
      <c r="BQ19" s="346"/>
      <c r="BR19" s="34">
        <v>20</v>
      </c>
      <c r="BS19" s="11" t="s">
        <v>103</v>
      </c>
      <c r="BT19" s="333">
        <f>SUMIF(pi_cri,MID(BR19,1,1)&amp;"*",pi_e)</f>
        <v>0</v>
      </c>
      <c r="BU19" s="333">
        <f>SUMIF(pi_cri,MID(BR19,1,1)&amp;"*",pi_m)</f>
        <v>0</v>
      </c>
      <c r="BV19" s="333">
        <f>+BT19+BU19</f>
        <v>0</v>
      </c>
      <c r="BW19" s="333">
        <f>SUMIF(pi_cri,MID(BR19,1,1)&amp;"*",pi_d)</f>
        <v>0</v>
      </c>
      <c r="BX19" s="333">
        <f>SUMIF(pi_cri,MID(BR19,1,1)&amp;"*",pi_r)</f>
        <v>0</v>
      </c>
      <c r="BY19" s="333">
        <f>+BX19-BT19</f>
        <v>0</v>
      </c>
      <c r="BZ19" s="333">
        <f t="shared" si="8"/>
        <v>0</v>
      </c>
      <c r="CA19" s="346"/>
      <c r="CB19" s="346"/>
      <c r="CC19" s="39"/>
      <c r="CD19" s="40"/>
      <c r="CE19" s="334"/>
      <c r="CF19" s="334"/>
      <c r="CG19" s="334"/>
      <c r="CH19" s="334"/>
      <c r="CI19" s="334"/>
      <c r="CJ19" s="334"/>
      <c r="CK19" s="334"/>
      <c r="CL19" s="346"/>
      <c r="CM19" s="346"/>
      <c r="CW19" s="346"/>
      <c r="DG19" s="346"/>
      <c r="DH19" s="72">
        <v>2500</v>
      </c>
      <c r="DI19" s="73" t="s">
        <v>194</v>
      </c>
      <c r="DJ19" s="338">
        <f t="shared" si="88"/>
        <v>2980.42</v>
      </c>
      <c r="DK19" s="338">
        <f t="shared" si="89"/>
        <v>-1415.92</v>
      </c>
      <c r="DL19" s="338">
        <f t="shared" si="41"/>
        <v>1564.5</v>
      </c>
      <c r="DM19" s="338">
        <f t="shared" si="90"/>
        <v>1564.5</v>
      </c>
      <c r="DN19" s="338">
        <f t="shared" si="91"/>
        <v>1564.5</v>
      </c>
      <c r="DO19" s="338">
        <f t="shared" si="44"/>
        <v>0</v>
      </c>
      <c r="DP19" s="346"/>
      <c r="DQ19" s="346"/>
      <c r="DR19" s="237">
        <v>25</v>
      </c>
      <c r="DS19" s="238" t="s">
        <v>676</v>
      </c>
      <c r="DT19" s="338">
        <f t="shared" si="92"/>
        <v>0</v>
      </c>
      <c r="DU19" s="338">
        <f t="shared" si="93"/>
        <v>0</v>
      </c>
      <c r="DV19" s="338">
        <f t="shared" si="49"/>
        <v>0</v>
      </c>
      <c r="DW19" s="338">
        <f t="shared" si="94"/>
        <v>0</v>
      </c>
      <c r="DX19" s="338">
        <f t="shared" si="95"/>
        <v>0</v>
      </c>
      <c r="DY19" s="338">
        <f t="shared" si="50"/>
        <v>0</v>
      </c>
      <c r="EA19" s="346"/>
      <c r="EB19" s="679"/>
      <c r="EC19" s="680"/>
      <c r="ED19" s="681"/>
      <c r="EE19" s="681"/>
      <c r="EF19" s="682">
        <f t="shared" si="96"/>
        <v>0</v>
      </c>
      <c r="EG19" s="346"/>
      <c r="EH19" s="346"/>
      <c r="EI19" s="253"/>
      <c r="EJ19" s="248"/>
      <c r="EK19" s="688"/>
      <c r="EL19" s="689"/>
      <c r="EM19" s="67"/>
      <c r="EN19" s="67"/>
      <c r="EO19" s="1039"/>
      <c r="EP19" s="1039"/>
      <c r="EQ19" s="1039"/>
      <c r="ER19" s="1039"/>
      <c r="ES19" s="346"/>
      <c r="ET19" s="346"/>
      <c r="EU19" s="32">
        <v>900005</v>
      </c>
      <c r="EV19" s="80" t="s">
        <v>328</v>
      </c>
      <c r="EW19" s="337">
        <f t="shared" ref="EW19:FB19" si="100">SUM(EW20:EW22)</f>
        <v>0</v>
      </c>
      <c r="EX19" s="337">
        <f t="shared" si="100"/>
        <v>0</v>
      </c>
      <c r="EY19" s="337">
        <f t="shared" si="100"/>
        <v>0</v>
      </c>
      <c r="EZ19" s="337">
        <f t="shared" si="100"/>
        <v>0</v>
      </c>
      <c r="FA19" s="337">
        <f t="shared" si="100"/>
        <v>0</v>
      </c>
      <c r="FB19" s="337">
        <f t="shared" si="100"/>
        <v>0</v>
      </c>
    </row>
    <row r="20" spans="1:158">
      <c r="A20" s="346"/>
      <c r="B20" s="31">
        <v>1270</v>
      </c>
      <c r="C20" s="15" t="s">
        <v>31</v>
      </c>
      <c r="D20" s="112">
        <f ca="1">SUMIF(BC[],MID(B20,1,3)&amp;"*",bc_2017)</f>
        <v>35200</v>
      </c>
      <c r="E20" s="112">
        <f ca="1">SUMIF(BC[],MID(B20,1,3)&amp;"*",bc_2016)</f>
        <v>45485.72</v>
      </c>
      <c r="F20" s="24" t="s">
        <v>29</v>
      </c>
      <c r="G20" s="346"/>
      <c r="H20" s="346"/>
      <c r="I20" s="31">
        <v>4330</v>
      </c>
      <c r="J20" s="76" t="s">
        <v>179</v>
      </c>
      <c r="K20" s="112">
        <f ca="1">-SUMIF(BC[],MID(I20,1,3)&amp;"*",bc_2017)</f>
        <v>0</v>
      </c>
      <c r="L20" s="112">
        <f ca="1">-SUMIF(BC[],MID(I20,1,3)&amp;"*",bc_2016)</f>
        <v>0</v>
      </c>
      <c r="M20" s="77"/>
      <c r="N20" s="346"/>
      <c r="O20" s="346"/>
      <c r="P20" s="31">
        <v>3120</v>
      </c>
      <c r="Q20" s="15" t="s">
        <v>162</v>
      </c>
      <c r="R20" s="112">
        <f ca="1">-SUMIF(BC[],MID(P20,1,3)&amp;"*",bc_2017)+SUMIF(BC[],MID(P20,1,3)&amp;"*",bc_2016)</f>
        <v>0</v>
      </c>
      <c r="S20" s="133"/>
      <c r="T20" s="133"/>
      <c r="U20" s="133">
        <v>0</v>
      </c>
      <c r="V20" s="133">
        <f t="shared" ca="1" si="98"/>
        <v>0</v>
      </c>
      <c r="W20" s="346"/>
      <c r="X20" s="346"/>
      <c r="Y20" s="31">
        <v>1270</v>
      </c>
      <c r="Z20" s="15" t="s">
        <v>31</v>
      </c>
      <c r="AA20" s="120">
        <f t="shared" ca="1" si="0"/>
        <v>10285.720000000001</v>
      </c>
      <c r="AB20" s="120">
        <f t="shared" ca="1" si="1"/>
        <v>0</v>
      </c>
      <c r="AC20" s="346"/>
      <c r="AD20" s="346"/>
      <c r="AE20" s="36">
        <v>5130</v>
      </c>
      <c r="AF20" s="15" t="s">
        <v>116</v>
      </c>
      <c r="AG20" s="112">
        <f ca="1">SUMIF(BC[],MID(AE20,1,3)&amp;"*",bc_2017)</f>
        <v>15652137.109999999</v>
      </c>
      <c r="AH20" s="112">
        <f ca="1">SUMIF(BC[],MID(AE20,1,3)&amp;"*",bc_2016)</f>
        <v>13893169.539999999</v>
      </c>
      <c r="AI20" s="24"/>
      <c r="AJ20" s="346"/>
      <c r="AK20" s="346"/>
      <c r="AL20" s="36">
        <v>1250</v>
      </c>
      <c r="AM20" s="15" t="s">
        <v>28</v>
      </c>
      <c r="AN20" s="133">
        <f ca="1">SUMIF(BC[],MID(AL20,1,3)&amp;"*",bc_2016)</f>
        <v>12823516.859999999</v>
      </c>
      <c r="AO20" s="133">
        <f ca="1">SUMIF(BC[],MID(AL20,1,3)&amp;"*",bc_2017c)</f>
        <v>125415.3</v>
      </c>
      <c r="AP20" s="133">
        <f ca="1">-SUMIF(BC[],MID(AL20,1,3)&amp;"*",bc_2017a)</f>
        <v>0</v>
      </c>
      <c r="AQ20" s="133">
        <f ca="1">SUMIF(BC[],MID(AL20,1,3)&amp;"*",bc_2017)</f>
        <v>12948932.159999998</v>
      </c>
      <c r="AR20" s="133">
        <f t="shared" ca="1" si="97"/>
        <v>125415.29999999888</v>
      </c>
      <c r="AS20" s="346"/>
      <c r="AT20" s="346"/>
      <c r="AU20" s="33">
        <v>2233</v>
      </c>
      <c r="AV20" s="47" t="s">
        <v>83</v>
      </c>
      <c r="AW20" s="136"/>
      <c r="AX20" s="136"/>
      <c r="AY20" s="112">
        <f ca="1">-SUMIF(BC[],MID(AU20,1,4)&amp;"*",bc_2016)</f>
        <v>0</v>
      </c>
      <c r="AZ20" s="112">
        <f ca="1">-SUMIF(BC[],MID(AU20,1,4)&amp;"*",bc_2017)</f>
        <v>0</v>
      </c>
      <c r="BA20" s="346"/>
      <c r="BB20" s="346"/>
      <c r="BC20" s="71"/>
      <c r="BD20" s="383"/>
      <c r="BE20" s="346"/>
      <c r="BF20" s="346"/>
      <c r="BG20" s="41"/>
      <c r="BH20" s="11"/>
      <c r="BI20" s="35"/>
      <c r="BJ20" s="35"/>
      <c r="BK20" s="35"/>
      <c r="BL20" s="35"/>
      <c r="BM20" s="35"/>
      <c r="BN20" s="35"/>
      <c r="BO20" s="35"/>
      <c r="BP20" s="346"/>
      <c r="BQ20" s="346"/>
      <c r="BR20" s="34">
        <v>70</v>
      </c>
      <c r="BS20" s="11" t="s">
        <v>241</v>
      </c>
      <c r="BT20" s="333">
        <f>SUMIF(pi_cri,MID(BR20,1,1)&amp;"*",pi_e)</f>
        <v>1312000</v>
      </c>
      <c r="BU20" s="333">
        <f>SUMIF(pi_cri,MID(BR20,1,1)&amp;"*",pi_m)</f>
        <v>1613534.31</v>
      </c>
      <c r="BV20" s="333">
        <f>+BT20+BU20</f>
        <v>2925534.31</v>
      </c>
      <c r="BW20" s="333">
        <f>SUMIF(pi_cri,MID(BR20,1,1)&amp;"*",pi_d)</f>
        <v>2925534.31</v>
      </c>
      <c r="BX20" s="333">
        <f>SUMIF(pi_cri,MID(BR20,1,1)&amp;"*",pi_r)</f>
        <v>2925534.31</v>
      </c>
      <c r="BY20" s="333">
        <f>+BX20-BT20</f>
        <v>1613534.31</v>
      </c>
      <c r="BZ20" s="333">
        <f t="shared" si="8"/>
        <v>1613534.31</v>
      </c>
      <c r="CA20" s="346"/>
      <c r="CB20" s="346"/>
      <c r="CC20" s="41"/>
      <c r="CD20" s="11"/>
      <c r="CE20" s="35"/>
      <c r="CF20" s="35"/>
      <c r="CG20" s="35"/>
      <c r="CH20" s="35"/>
      <c r="CI20" s="35"/>
      <c r="CJ20" s="35"/>
      <c r="CK20" s="35"/>
      <c r="CL20" s="346"/>
      <c r="CM20" s="346"/>
      <c r="CW20" s="346"/>
      <c r="DG20" s="346"/>
      <c r="DH20" s="72">
        <v>2600</v>
      </c>
      <c r="DI20" s="73" t="s">
        <v>195</v>
      </c>
      <c r="DJ20" s="338">
        <f t="shared" si="88"/>
        <v>809561.62000000011</v>
      </c>
      <c r="DK20" s="338">
        <f t="shared" si="89"/>
        <v>-32779.580000000024</v>
      </c>
      <c r="DL20" s="338">
        <f t="shared" si="41"/>
        <v>776782.04</v>
      </c>
      <c r="DM20" s="338">
        <f t="shared" si="90"/>
        <v>776782.04</v>
      </c>
      <c r="DN20" s="338">
        <f t="shared" si="91"/>
        <v>776782.04</v>
      </c>
      <c r="DO20" s="338">
        <f t="shared" si="44"/>
        <v>0</v>
      </c>
      <c r="DP20" s="346"/>
      <c r="DQ20" s="346"/>
      <c r="DR20" s="237">
        <v>26</v>
      </c>
      <c r="DS20" s="238" t="s">
        <v>677</v>
      </c>
      <c r="DT20" s="338">
        <f t="shared" si="92"/>
        <v>0</v>
      </c>
      <c r="DU20" s="338">
        <f t="shared" si="93"/>
        <v>0</v>
      </c>
      <c r="DV20" s="338">
        <f t="shared" si="49"/>
        <v>0</v>
      </c>
      <c r="DW20" s="338">
        <f t="shared" si="94"/>
        <v>0</v>
      </c>
      <c r="DX20" s="338">
        <f t="shared" si="95"/>
        <v>0</v>
      </c>
      <c r="DY20" s="338">
        <f t="shared" si="50"/>
        <v>0</v>
      </c>
      <c r="EA20" s="346"/>
      <c r="EB20" s="679"/>
      <c r="EC20" s="680"/>
      <c r="ED20" s="681"/>
      <c r="EE20" s="681"/>
      <c r="EF20" s="682">
        <f t="shared" si="96"/>
        <v>0</v>
      </c>
      <c r="EG20" s="346"/>
      <c r="EH20" s="346"/>
      <c r="EI20" s="253"/>
      <c r="EJ20" s="248"/>
      <c r="EK20" s="688"/>
      <c r="EL20" s="689"/>
      <c r="EM20" s="67"/>
      <c r="EN20" s="67"/>
      <c r="EO20" s="17"/>
      <c r="EP20" s="17"/>
      <c r="EQ20" s="17"/>
      <c r="ER20" s="95"/>
      <c r="ES20" s="346"/>
      <c r="ET20" s="346"/>
      <c r="EU20" s="82" t="s">
        <v>329</v>
      </c>
      <c r="EV20" s="83" t="s">
        <v>330</v>
      </c>
      <c r="EW20" s="338">
        <f>SUMIF(PE_CP,MID(EU20,1,1)&amp;"*",PE_A)</f>
        <v>0</v>
      </c>
      <c r="EX20" s="338">
        <f>SUMIF(PE_CP,MID(EU20,1,1)&amp;"*",PE_M)</f>
        <v>0</v>
      </c>
      <c r="EY20" s="338">
        <f>+EW20+EX20</f>
        <v>0</v>
      </c>
      <c r="EZ20" s="338">
        <f>SUMIF(PE_CP,MID(EU20,1,1)&amp;"*",PE_D)</f>
        <v>0</v>
      </c>
      <c r="FA20" s="338">
        <f>SUMIF(PE_CP,MID(EU20,1,1)&amp;"*",PE_P)</f>
        <v>0</v>
      </c>
      <c r="FB20" s="338">
        <f>+EY20-EZ20</f>
        <v>0</v>
      </c>
    </row>
    <row r="21" spans="1:158">
      <c r="A21" s="346"/>
      <c r="B21" s="31">
        <v>1280</v>
      </c>
      <c r="C21" s="15" t="s">
        <v>32</v>
      </c>
      <c r="D21" s="112">
        <f ca="1">SUMIF(BC[],MID(B21,1,3)&amp;"*",bc_2017)</f>
        <v>0</v>
      </c>
      <c r="E21" s="112">
        <f ca="1">SUMIF(BC[],MID(B21,1,3)&amp;"*",bc_2016)</f>
        <v>0</v>
      </c>
      <c r="F21" s="24" t="s">
        <v>33</v>
      </c>
      <c r="G21" s="346"/>
      <c r="H21" s="346"/>
      <c r="I21" s="31">
        <v>4340</v>
      </c>
      <c r="J21" s="76" t="s">
        <v>180</v>
      </c>
      <c r="K21" s="112">
        <f ca="1">-SUMIF(BC[],MID(I21,1,3)&amp;"*",bc_2017)</f>
        <v>0</v>
      </c>
      <c r="L21" s="112">
        <f ca="1">-SUMIF(BC[],MID(I21,1,3)&amp;"*",bc_2016)</f>
        <v>0</v>
      </c>
      <c r="M21" s="77"/>
      <c r="N21" s="346"/>
      <c r="O21" s="346"/>
      <c r="P21" s="31">
        <v>3130</v>
      </c>
      <c r="Q21" s="15" t="s">
        <v>163</v>
      </c>
      <c r="R21" s="112">
        <f ca="1">-SUMIF(BC[],MID(P21,1,3)&amp;"*",bc_2017)+SUMIF(BC[],MID(P21,1,3)&amp;"*",bc_2016)</f>
        <v>0</v>
      </c>
      <c r="S21" s="133"/>
      <c r="T21" s="133"/>
      <c r="U21" s="133">
        <v>0</v>
      </c>
      <c r="V21" s="133">
        <f t="shared" ca="1" si="98"/>
        <v>0</v>
      </c>
      <c r="W21" s="346"/>
      <c r="X21" s="346"/>
      <c r="Y21" s="31">
        <v>1280</v>
      </c>
      <c r="Z21" s="15" t="s">
        <v>32</v>
      </c>
      <c r="AA21" s="120">
        <f t="shared" ca="1" si="0"/>
        <v>0</v>
      </c>
      <c r="AB21" s="120">
        <f t="shared" ca="1" si="1"/>
        <v>0</v>
      </c>
      <c r="AC21" s="346"/>
      <c r="AD21" s="346"/>
      <c r="AE21" s="36">
        <v>5210</v>
      </c>
      <c r="AF21" s="15" t="s">
        <v>117</v>
      </c>
      <c r="AG21" s="112">
        <f ca="1">SUMIF(BC[],MID(AE21,1,3)&amp;"*",bc_2017)</f>
        <v>0</v>
      </c>
      <c r="AH21" s="112">
        <f ca="1">SUMIF(BC[],MID(AE21,1,3)&amp;"*",bc_2016)</f>
        <v>0</v>
      </c>
      <c r="AI21" s="24"/>
      <c r="AJ21" s="346"/>
      <c r="AK21" s="346"/>
      <c r="AL21" s="36">
        <v>1260</v>
      </c>
      <c r="AM21" s="15" t="s">
        <v>30</v>
      </c>
      <c r="AN21" s="133">
        <f ca="1">SUMIF(BC[],MID(AL21,1,3)&amp;"*",bc_2016)</f>
        <v>-8858009.2199999988</v>
      </c>
      <c r="AO21" s="133">
        <f ca="1">SUMIF(BC[],MID(AL21,1,3)&amp;"*",bc_2017c)</f>
        <v>518018.76</v>
      </c>
      <c r="AP21" s="133">
        <f ca="1">-SUMIF(BC[],MID(AL21,1,3)&amp;"*",bc_2017a)</f>
        <v>2359186.1</v>
      </c>
      <c r="AQ21" s="133">
        <f ca="1">SUMIF(BC[],MID(AL21,1,3)&amp;"*",bc_2017)</f>
        <v>-10699176.560000001</v>
      </c>
      <c r="AR21" s="133">
        <f t="shared" ca="1" si="97"/>
        <v>-1841167.3400000017</v>
      </c>
      <c r="AS21" s="346"/>
      <c r="AT21" s="346"/>
      <c r="AU21" s="33">
        <v>2231</v>
      </c>
      <c r="AV21" s="47" t="s">
        <v>84</v>
      </c>
      <c r="AW21" s="136"/>
      <c r="AX21" s="136"/>
      <c r="AY21" s="112">
        <f ca="1">-SUMIF(BC[],MID(AU21,1,4)&amp;"*",bc_2016)</f>
        <v>0</v>
      </c>
      <c r="AZ21" s="112">
        <f ca="1">-SUMIF(BC[],MID(AU21,1,4)&amp;"*",bc_2017)</f>
        <v>0</v>
      </c>
      <c r="BA21" s="346"/>
      <c r="BB21" s="346"/>
      <c r="BC21" s="71"/>
      <c r="BD21" s="383"/>
      <c r="BE21" s="346"/>
      <c r="BF21" s="346"/>
      <c r="BG21" s="41"/>
      <c r="BH21" s="11"/>
      <c r="BI21" s="35"/>
      <c r="BJ21" s="35"/>
      <c r="BK21" s="35"/>
      <c r="BL21" s="35"/>
      <c r="BM21" s="35"/>
      <c r="BN21" s="35"/>
      <c r="BO21" s="35"/>
      <c r="BP21" s="346"/>
      <c r="BQ21" s="346"/>
      <c r="BR21" s="34">
        <v>90</v>
      </c>
      <c r="BS21" s="11" t="s">
        <v>243</v>
      </c>
      <c r="BT21" s="333">
        <f>SUMIF(pi_cri,MID(BR21,1,1)&amp;"*",pi_e)</f>
        <v>79093840.510000005</v>
      </c>
      <c r="BU21" s="333">
        <f>SUMIF(pi_cri,MID(BR21,1,1)&amp;"*",pi_m)</f>
        <v>6844369.5</v>
      </c>
      <c r="BV21" s="333">
        <f>+BT21+BU21</f>
        <v>85938210.010000005</v>
      </c>
      <c r="BW21" s="333">
        <f>SUMIF(pi_cri,MID(BR21,1,1)&amp;"*",pi_d)</f>
        <v>85938205.109999985</v>
      </c>
      <c r="BX21" s="333">
        <f>SUMIF(pi_cri,MID(BR21,1,1)&amp;"*",pi_r)</f>
        <v>85938205.109999985</v>
      </c>
      <c r="BY21" s="333">
        <f>+BX21-BT21</f>
        <v>6844364.5999999791</v>
      </c>
      <c r="BZ21" s="333">
        <f t="shared" si="8"/>
        <v>6844364.5999999791</v>
      </c>
      <c r="CA21" s="346"/>
      <c r="CB21" s="346"/>
      <c r="CC21" s="41"/>
      <c r="CD21" s="11"/>
      <c r="CE21" s="35"/>
      <c r="CF21" s="35"/>
      <c r="CG21" s="35"/>
      <c r="CH21" s="35"/>
      <c r="CI21" s="35"/>
      <c r="CJ21" s="35"/>
      <c r="CK21" s="35"/>
      <c r="CL21" s="346"/>
      <c r="CM21" s="346"/>
      <c r="CW21" s="346"/>
      <c r="DG21" s="346"/>
      <c r="DH21" s="72">
        <v>2700</v>
      </c>
      <c r="DI21" s="73" t="s">
        <v>196</v>
      </c>
      <c r="DJ21" s="338">
        <f t="shared" si="88"/>
        <v>82250.880000000005</v>
      </c>
      <c r="DK21" s="338">
        <f t="shared" si="89"/>
        <v>-217.02999999997792</v>
      </c>
      <c r="DL21" s="338">
        <f t="shared" si="41"/>
        <v>82033.85000000002</v>
      </c>
      <c r="DM21" s="338">
        <f t="shared" si="90"/>
        <v>82033.850000000006</v>
      </c>
      <c r="DN21" s="338">
        <f t="shared" si="91"/>
        <v>82033.850000000006</v>
      </c>
      <c r="DO21" s="338">
        <f t="shared" si="44"/>
        <v>0</v>
      </c>
      <c r="DP21" s="346"/>
      <c r="DQ21" s="346"/>
      <c r="DR21" s="237">
        <v>27</v>
      </c>
      <c r="DS21" s="238" t="s">
        <v>678</v>
      </c>
      <c r="DT21" s="338">
        <f t="shared" si="92"/>
        <v>0</v>
      </c>
      <c r="DU21" s="338">
        <f t="shared" si="93"/>
        <v>0</v>
      </c>
      <c r="DV21" s="338">
        <f t="shared" si="49"/>
        <v>0</v>
      </c>
      <c r="DW21" s="338">
        <f t="shared" si="94"/>
        <v>0</v>
      </c>
      <c r="DX21" s="338">
        <f t="shared" si="95"/>
        <v>0</v>
      </c>
      <c r="DY21" s="338">
        <f t="shared" si="50"/>
        <v>0</v>
      </c>
      <c r="EA21" s="346"/>
      <c r="EB21" s="679"/>
      <c r="EC21" s="680"/>
      <c r="ED21" s="681"/>
      <c r="EE21" s="681"/>
      <c r="EF21" s="682">
        <f t="shared" si="96"/>
        <v>0</v>
      </c>
      <c r="EG21" s="346"/>
      <c r="EH21" s="346"/>
      <c r="EI21" s="253"/>
      <c r="EJ21" s="248"/>
      <c r="EK21" s="688"/>
      <c r="EL21" s="689"/>
      <c r="EM21" s="67"/>
      <c r="EN21" s="67"/>
      <c r="EO21" s="17"/>
      <c r="EP21" s="17"/>
      <c r="EQ21" s="17"/>
      <c r="ER21" s="95"/>
      <c r="ES21" s="346"/>
      <c r="ET21" s="346"/>
      <c r="EU21" s="82" t="s">
        <v>331</v>
      </c>
      <c r="EV21" s="83" t="s">
        <v>332</v>
      </c>
      <c r="EW21" s="338">
        <f>SUMIF(PE_CP,MID(EU21,1,1)&amp;"*",PE_A)</f>
        <v>0</v>
      </c>
      <c r="EX21" s="338">
        <f>SUMIF(PE_CP,MID(EU21,1,1)&amp;"*",PE_M)</f>
        <v>0</v>
      </c>
      <c r="EY21" s="338">
        <f>+EW21+EX21</f>
        <v>0</v>
      </c>
      <c r="EZ21" s="338">
        <f>SUMIF(PE_CP,MID(EU21,1,1)&amp;"*",PE_D)</f>
        <v>0</v>
      </c>
      <c r="FA21" s="338">
        <f>SUMIF(PE_CP,MID(EU21,1,1)&amp;"*",PE_P)</f>
        <v>0</v>
      </c>
      <c r="FB21" s="338">
        <f>+EY21-EZ21</f>
        <v>0</v>
      </c>
    </row>
    <row r="22" spans="1:158" ht="10.15" customHeight="1">
      <c r="A22" s="346"/>
      <c r="B22" s="31">
        <v>1290</v>
      </c>
      <c r="C22" s="15" t="s">
        <v>34</v>
      </c>
      <c r="D22" s="112">
        <f ca="1">SUMIF(BC[],MID(B22,1,3)&amp;"*",bc_2017)</f>
        <v>0</v>
      </c>
      <c r="E22" s="112">
        <f ca="1">SUMIF(BC[],MID(B22,1,3)&amp;"*",bc_2016)</f>
        <v>0</v>
      </c>
      <c r="F22" s="24" t="s">
        <v>14</v>
      </c>
      <c r="G22" s="346"/>
      <c r="H22" s="346"/>
      <c r="I22" s="31">
        <v>4390</v>
      </c>
      <c r="J22" s="76" t="s">
        <v>181</v>
      </c>
      <c r="K22" s="112">
        <f ca="1">-SUMIF(BC[],MID(I22,1,3)&amp;"*",bc_2017)</f>
        <v>0</v>
      </c>
      <c r="L22" s="112">
        <f ca="1">-SUMIF(BC[],MID(I22,1,3)&amp;"*",bc_2016)</f>
        <v>0</v>
      </c>
      <c r="M22" s="69"/>
      <c r="N22" s="346"/>
      <c r="O22" s="346"/>
      <c r="P22" s="30">
        <v>900005</v>
      </c>
      <c r="Q22" s="61" t="s">
        <v>164</v>
      </c>
      <c r="R22" s="133"/>
      <c r="S22" s="133"/>
      <c r="T22" s="115">
        <f ca="1">SUM(T23:T26)</f>
        <v>2003511.0600000005</v>
      </c>
      <c r="U22" s="115">
        <f>SUM(U23:U26)</f>
        <v>0</v>
      </c>
      <c r="V22" s="115">
        <f t="shared" ca="1" si="98"/>
        <v>2003511.0600000005</v>
      </c>
      <c r="W22" s="346"/>
      <c r="X22" s="346"/>
      <c r="Y22" s="31">
        <v>1290</v>
      </c>
      <c r="Z22" s="15" t="s">
        <v>34</v>
      </c>
      <c r="AA22" s="120">
        <f t="shared" ca="1" si="0"/>
        <v>0</v>
      </c>
      <c r="AB22" s="120">
        <f t="shared" ca="1" si="1"/>
        <v>0</v>
      </c>
      <c r="AC22" s="346"/>
      <c r="AD22" s="346"/>
      <c r="AE22" s="36">
        <v>5220</v>
      </c>
      <c r="AF22" s="15" t="s">
        <v>118</v>
      </c>
      <c r="AG22" s="112">
        <f ca="1">SUMIF(BC[],MID(AE22,1,3)&amp;"*",bc_2017)</f>
        <v>0</v>
      </c>
      <c r="AH22" s="112">
        <f ca="1">SUMIF(BC[],MID(AE22,1,3)&amp;"*",bc_2016)</f>
        <v>0</v>
      </c>
      <c r="AI22" s="24"/>
      <c r="AJ22" s="346"/>
      <c r="AK22" s="346"/>
      <c r="AL22" s="36">
        <v>1270</v>
      </c>
      <c r="AM22" s="15" t="s">
        <v>31</v>
      </c>
      <c r="AN22" s="133">
        <f ca="1">SUMIF(BC[],MID(AL22,1,3)&amp;"*",bc_2016)</f>
        <v>45485.72</v>
      </c>
      <c r="AO22" s="133">
        <f ca="1">SUMIF(BC[],MID(AL22,1,3)&amp;"*",bc_2017c)</f>
        <v>0</v>
      </c>
      <c r="AP22" s="133">
        <f ca="1">-SUMIF(BC[],MID(AL22,1,3)&amp;"*",bc_2017a)</f>
        <v>10285.719999999999</v>
      </c>
      <c r="AQ22" s="133">
        <f ca="1">SUMIF(BC[],MID(AL22,1,3)&amp;"*",bc_2017)</f>
        <v>35200</v>
      </c>
      <c r="AR22" s="133">
        <f t="shared" ca="1" si="97"/>
        <v>-10285.720000000001</v>
      </c>
      <c r="AS22" s="346"/>
      <c r="AT22" s="346"/>
      <c r="AU22" s="33">
        <v>2235</v>
      </c>
      <c r="AV22" s="47" t="s">
        <v>85</v>
      </c>
      <c r="AW22" s="136"/>
      <c r="AX22" s="136"/>
      <c r="AY22" s="112">
        <f ca="1">-SUMIF(BC[],MID(AU22,1,4)&amp;"*",bc_2016)</f>
        <v>0</v>
      </c>
      <c r="AZ22" s="112">
        <f ca="1">-SUMIF(BC[],MID(AU22,1,4)&amp;"*",bc_2017)</f>
        <v>0</v>
      </c>
      <c r="BA22" s="346"/>
      <c r="BB22" s="346"/>
      <c r="BC22" s="65" t="s">
        <v>75</v>
      </c>
      <c r="BD22" s="383" t="s">
        <v>381</v>
      </c>
      <c r="BE22" s="346"/>
      <c r="BF22" s="346"/>
      <c r="BG22" s="1019" t="str">
        <f>+Títulos!$B$2&amp;"
ESTADO ANALITICO DE INGRESOS POR FUENTE DE FINANCIAMIENTO
DEL 01 DE ENERO AL "&amp;Títulos!$B$3</f>
        <v>TRIBUNAL DE JUSTICIA ADMINISTRATIVA
ESTADO ANALITICO DE INGRESOS POR FUENTE DE FINANCIAMIENTO
DEL 01 DE ENERO AL 31 DE DICIEMBRE DE 2017</v>
      </c>
      <c r="BH22" s="1020"/>
      <c r="BI22" s="1020"/>
      <c r="BJ22" s="1020"/>
      <c r="BK22" s="1020"/>
      <c r="BL22" s="1020"/>
      <c r="BM22" s="1020"/>
      <c r="BN22" s="1020"/>
      <c r="BO22" s="1021"/>
      <c r="BP22" s="346"/>
      <c r="BQ22" s="346"/>
      <c r="BR22" s="46"/>
      <c r="BS22" s="12" t="s">
        <v>248</v>
      </c>
      <c r="BT22" s="335">
        <f>SUM(BT23)</f>
        <v>0</v>
      </c>
      <c r="BU22" s="335">
        <f t="shared" ref="BU22:BY22" si="101">SUM(BU23)</f>
        <v>0</v>
      </c>
      <c r="BV22" s="335">
        <f t="shared" si="101"/>
        <v>0</v>
      </c>
      <c r="BW22" s="335">
        <f t="shared" si="101"/>
        <v>0</v>
      </c>
      <c r="BX22" s="335">
        <f t="shared" si="101"/>
        <v>0</v>
      </c>
      <c r="BY22" s="335">
        <f t="shared" si="101"/>
        <v>0</v>
      </c>
      <c r="BZ22" s="335">
        <f t="shared" si="8"/>
        <v>0</v>
      </c>
      <c r="CA22" s="346"/>
      <c r="CB22" s="346"/>
      <c r="CC22" s="51"/>
      <c r="CD22" s="51"/>
      <c r="CE22" s="51"/>
      <c r="CF22" s="51"/>
      <c r="CG22" s="51"/>
      <c r="CH22" s="51"/>
      <c r="CI22" s="51"/>
      <c r="CJ22" s="51"/>
      <c r="CK22" s="51"/>
      <c r="CL22" s="346"/>
      <c r="CM22" s="346"/>
      <c r="CW22" s="346"/>
      <c r="DG22" s="346"/>
      <c r="DH22" s="72">
        <v>2800</v>
      </c>
      <c r="DI22" s="73" t="s">
        <v>197</v>
      </c>
      <c r="DJ22" s="338">
        <f t="shared" si="88"/>
        <v>0</v>
      </c>
      <c r="DK22" s="338">
        <f t="shared" si="89"/>
        <v>0</v>
      </c>
      <c r="DL22" s="338">
        <f t="shared" si="41"/>
        <v>0</v>
      </c>
      <c r="DM22" s="338">
        <f t="shared" si="90"/>
        <v>0</v>
      </c>
      <c r="DN22" s="338">
        <f t="shared" si="91"/>
        <v>0</v>
      </c>
      <c r="DO22" s="338">
        <f t="shared" si="44"/>
        <v>0</v>
      </c>
      <c r="DP22" s="346"/>
      <c r="DQ22" s="346"/>
      <c r="DR22" s="235">
        <v>3</v>
      </c>
      <c r="DS22" s="236" t="s">
        <v>679</v>
      </c>
      <c r="DT22" s="337">
        <f>SUM(DT23:DT31)</f>
        <v>0</v>
      </c>
      <c r="DU22" s="337">
        <f>SUM(DU23:DU30)</f>
        <v>0</v>
      </c>
      <c r="DV22" s="337">
        <f>SUM(DV23:DV30)</f>
        <v>0</v>
      </c>
      <c r="DW22" s="337">
        <f>SUM(DW23:DW30)</f>
        <v>0</v>
      </c>
      <c r="DX22" s="337">
        <f>SUM(DX23:DX30)</f>
        <v>0</v>
      </c>
      <c r="DY22" s="337">
        <f>SUM(DY23:DY30)</f>
        <v>0</v>
      </c>
      <c r="EA22" s="346"/>
      <c r="EB22" s="679"/>
      <c r="EC22" s="680"/>
      <c r="ED22" s="681"/>
      <c r="EE22" s="681"/>
      <c r="EF22" s="682">
        <f t="shared" si="96"/>
        <v>0</v>
      </c>
      <c r="EG22" s="346"/>
      <c r="EH22" s="346"/>
      <c r="EI22" s="253"/>
      <c r="EJ22" s="248"/>
      <c r="EK22" s="688"/>
      <c r="EL22" s="689"/>
      <c r="EM22" s="67"/>
      <c r="EN22" s="67"/>
      <c r="EO22" s="17"/>
      <c r="EP22" s="17"/>
      <c r="EQ22" s="17"/>
      <c r="ER22" s="95"/>
      <c r="ES22" s="346"/>
      <c r="ET22" s="346"/>
      <c r="EU22" s="82" t="s">
        <v>333</v>
      </c>
      <c r="EV22" s="83" t="s">
        <v>334</v>
      </c>
      <c r="EW22" s="338">
        <f>SUMIF(PE_CP,MID(EU22,1,1)&amp;"*",PE_A)</f>
        <v>0</v>
      </c>
      <c r="EX22" s="338">
        <f>SUMIF(PE_CP,MID(EU22,1,1)&amp;"*",PE_M)</f>
        <v>0</v>
      </c>
      <c r="EY22" s="338">
        <f>+EW22+EX22</f>
        <v>0</v>
      </c>
      <c r="EZ22" s="338">
        <f>SUMIF(PE_CP,MID(EU22,1,1)&amp;"*",PE_D)</f>
        <v>0</v>
      </c>
      <c r="FA22" s="338">
        <f>SUMIF(PE_CP,MID(EU22,1,1)&amp;"*",PE_P)</f>
        <v>0</v>
      </c>
      <c r="FB22" s="338">
        <f>+EY22-EZ22</f>
        <v>0</v>
      </c>
    </row>
    <row r="23" spans="1:158">
      <c r="A23" s="346"/>
      <c r="B23" s="21">
        <v>2000</v>
      </c>
      <c r="C23" s="14" t="s">
        <v>35</v>
      </c>
      <c r="D23" s="111">
        <f ca="1">+D24+D33</f>
        <v>7271230.9600000009</v>
      </c>
      <c r="E23" s="111">
        <f ca="1">+E24+E33</f>
        <v>5457146.0099999998</v>
      </c>
      <c r="F23" s="43"/>
      <c r="G23" s="346"/>
      <c r="H23" s="346"/>
      <c r="I23" s="21">
        <v>5000</v>
      </c>
      <c r="J23" s="61" t="s">
        <v>182</v>
      </c>
      <c r="K23" s="115">
        <f ca="1">+K24+K28+K38+K42+K48+K55</f>
        <v>86006767.219999984</v>
      </c>
      <c r="L23" s="115">
        <f ca="1">+L24+L28+L38+L42+L48+L55</f>
        <v>74760344.699999988</v>
      </c>
      <c r="M23" s="69" t="s">
        <v>183</v>
      </c>
      <c r="N23" s="346"/>
      <c r="O23" s="346"/>
      <c r="P23" s="31">
        <v>3210</v>
      </c>
      <c r="Q23" s="15" t="s">
        <v>165</v>
      </c>
      <c r="R23" s="133"/>
      <c r="S23" s="133"/>
      <c r="T23" s="112">
        <f ca="1">-SUMIF(BC[],MID(P23,1,3)&amp;"*",bc_2017)+SUMIF(BC[],MID(P23,1,3)&amp;"*",bc_2016)+K57-L57</f>
        <v>1879092.6400000006</v>
      </c>
      <c r="U23" s="133">
        <v>0</v>
      </c>
      <c r="V23" s="133">
        <f t="shared" ca="1" si="98"/>
        <v>1879092.6400000006</v>
      </c>
      <c r="W23" s="346"/>
      <c r="X23" s="346"/>
      <c r="Y23" s="21">
        <v>2000</v>
      </c>
      <c r="Z23" s="14" t="s">
        <v>35</v>
      </c>
      <c r="AA23" s="121">
        <f t="shared" ref="AA23:AA53" ca="1" si="102">IF(D23&gt;E23,D23-E23,0)</f>
        <v>1814084.9500000011</v>
      </c>
      <c r="AB23" s="121">
        <f t="shared" ref="AB23:AB53" ca="1" si="103">IF(E23&gt;D23,E23-D23,0)</f>
        <v>0</v>
      </c>
      <c r="AC23" s="346"/>
      <c r="AD23" s="346"/>
      <c r="AE23" s="36">
        <v>5230</v>
      </c>
      <c r="AF23" s="15" t="s">
        <v>119</v>
      </c>
      <c r="AG23" s="112">
        <f ca="1">SUMIF(BC[],MID(AE23,1,3)&amp;"*",bc_2017)</f>
        <v>0</v>
      </c>
      <c r="AH23" s="112">
        <f ca="1">SUMIF(BC[],MID(AE23,1,3)&amp;"*",bc_2016)</f>
        <v>0</v>
      </c>
      <c r="AI23" s="24"/>
      <c r="AJ23" s="346"/>
      <c r="AK23" s="346"/>
      <c r="AL23" s="36">
        <v>1280</v>
      </c>
      <c r="AM23" s="15" t="s">
        <v>32</v>
      </c>
      <c r="AN23" s="133">
        <f ca="1">SUMIF(BC[],MID(AL23,1,3)&amp;"*",bc_2016)</f>
        <v>0</v>
      </c>
      <c r="AO23" s="133">
        <f ca="1">SUMIF(BC[],MID(AL23,1,3)&amp;"*",bc_2017c)</f>
        <v>0</v>
      </c>
      <c r="AP23" s="133">
        <f ca="1">-SUMIF(BC[],MID(AL23,1,3)&amp;"*",bc_2017a)</f>
        <v>0</v>
      </c>
      <c r="AQ23" s="133">
        <f ca="1">SUMIF(BC[],MID(AL23,1,3)&amp;"*",bc_2017)</f>
        <v>0</v>
      </c>
      <c r="AR23" s="133">
        <f ca="1">+AQ23-AN23</f>
        <v>0</v>
      </c>
      <c r="AS23" s="346"/>
      <c r="AT23" s="346"/>
      <c r="AU23" s="37">
        <v>900004</v>
      </c>
      <c r="AV23" s="78" t="s">
        <v>86</v>
      </c>
      <c r="AW23" s="137"/>
      <c r="AX23" s="137"/>
      <c r="AY23" s="115">
        <f>SUM(AY24:AY27)</f>
        <v>0</v>
      </c>
      <c r="AZ23" s="115">
        <f>SUM(AZ24:AZ27)</f>
        <v>0</v>
      </c>
      <c r="BA23" s="346"/>
      <c r="BB23" s="346"/>
      <c r="BC23" s="71"/>
      <c r="BD23" s="383"/>
      <c r="BE23" s="346"/>
      <c r="BF23" s="346"/>
      <c r="BG23" s="1022"/>
      <c r="BH23" s="1023"/>
      <c r="BI23" s="1023"/>
      <c r="BJ23" s="1023"/>
      <c r="BK23" s="1023"/>
      <c r="BL23" s="1023"/>
      <c r="BM23" s="1023"/>
      <c r="BN23" s="1023"/>
      <c r="BO23" s="1024"/>
      <c r="BP23" s="346"/>
      <c r="BQ23" s="346"/>
      <c r="BR23" s="39" t="s">
        <v>244</v>
      </c>
      <c r="BS23" s="40" t="s">
        <v>245</v>
      </c>
      <c r="BT23" s="334">
        <f>SUMIF(pi_cri,MID(BR23,1,1)&amp;"*",pi_e)</f>
        <v>0</v>
      </c>
      <c r="BU23" s="334">
        <f>SUMIF(pi_cri,MID(BR23,1,1)&amp;"*",pi_m)</f>
        <v>0</v>
      </c>
      <c r="BV23" s="334">
        <f>+BT23+BU23</f>
        <v>0</v>
      </c>
      <c r="BW23" s="334">
        <f>SUMIF(pi_cri,MID(BR23,1,1)&amp;"*",pi_d)</f>
        <v>0</v>
      </c>
      <c r="BX23" s="334">
        <f>SUMIF(pi_cri,MID(BR23,1,1)&amp;"*",pi_r)</f>
        <v>0</v>
      </c>
      <c r="BY23" s="334">
        <f>+BX23-BT23</f>
        <v>0</v>
      </c>
      <c r="BZ23" s="334">
        <f t="shared" si="8"/>
        <v>0</v>
      </c>
      <c r="CA23" s="346"/>
      <c r="CB23" s="346"/>
      <c r="CC23" s="51"/>
      <c r="CD23" s="51"/>
      <c r="CE23" s="51"/>
      <c r="CF23" s="51"/>
      <c r="CG23" s="51"/>
      <c r="CH23" s="51"/>
      <c r="CI23" s="51"/>
      <c r="CJ23" s="51"/>
      <c r="CK23" s="51"/>
      <c r="CL23" s="346"/>
      <c r="CM23" s="346"/>
      <c r="CW23" s="346"/>
      <c r="DG23" s="346"/>
      <c r="DH23" s="72">
        <v>2900</v>
      </c>
      <c r="DI23" s="73" t="s">
        <v>198</v>
      </c>
      <c r="DJ23" s="338">
        <f t="shared" si="88"/>
        <v>82026.040000000008</v>
      </c>
      <c r="DK23" s="338">
        <f t="shared" si="89"/>
        <v>8813.1199999999953</v>
      </c>
      <c r="DL23" s="338">
        <f t="shared" si="41"/>
        <v>90839.16</v>
      </c>
      <c r="DM23" s="338">
        <f t="shared" si="90"/>
        <v>90839.16</v>
      </c>
      <c r="DN23" s="338">
        <f t="shared" si="91"/>
        <v>90839.16</v>
      </c>
      <c r="DO23" s="338">
        <f t="shared" si="44"/>
        <v>0</v>
      </c>
      <c r="DP23" s="346"/>
      <c r="DQ23" s="346"/>
      <c r="DR23" s="237">
        <v>31</v>
      </c>
      <c r="DS23" s="238" t="s">
        <v>680</v>
      </c>
      <c r="DT23" s="338">
        <f t="shared" ref="DT23:DT31" si="104">SUMIF(PE_CFG,MID(DR23,1,1)&amp;"."&amp;MID(DR23,2,1)&amp;".*",PE_A)</f>
        <v>0</v>
      </c>
      <c r="DU23" s="338">
        <f t="shared" ref="DU23:DU31" si="105">SUMIF(PE_CFG,MID(DR23,1,1)&amp;"."&amp;MID(DR23,2,1)&amp;".*",PE_M)</f>
        <v>0</v>
      </c>
      <c r="DV23" s="338">
        <f t="shared" si="49"/>
        <v>0</v>
      </c>
      <c r="DW23" s="338">
        <f t="shared" ref="DW23:DW31" si="106">SUMIF(PE_CFG,MID(DR23,1,1)&amp;"."&amp;MID(DR23,2,1)&amp;".*",PE_D)</f>
        <v>0</v>
      </c>
      <c r="DX23" s="338">
        <f t="shared" ref="DX23:DX31" si="107">SUMIF(PE_CFG,MID(DR23,1,1)&amp;"."&amp;MID(DR23,2,1)&amp;".*",PE_P)</f>
        <v>0</v>
      </c>
      <c r="DY23" s="338">
        <f t="shared" si="50"/>
        <v>0</v>
      </c>
      <c r="EA23" s="346"/>
      <c r="EB23" s="679"/>
      <c r="EC23" s="680"/>
      <c r="ED23" s="681"/>
      <c r="EE23" s="681"/>
      <c r="EF23" s="682">
        <f t="shared" si="96"/>
        <v>0</v>
      </c>
      <c r="EG23" s="346"/>
      <c r="EH23" s="346"/>
      <c r="EI23" s="253"/>
      <c r="EJ23" s="248"/>
      <c r="EK23" s="688"/>
      <c r="EL23" s="689"/>
      <c r="EM23" s="67"/>
      <c r="EN23" s="67"/>
      <c r="EO23" s="17"/>
      <c r="EP23" s="17"/>
      <c r="EQ23" s="17"/>
      <c r="ER23" s="95"/>
      <c r="ES23" s="346"/>
      <c r="ET23" s="346"/>
      <c r="EU23" s="32">
        <v>900006</v>
      </c>
      <c r="EV23" s="80" t="s">
        <v>335</v>
      </c>
      <c r="EW23" s="337">
        <f t="shared" ref="EW23:FB23" si="108">SUM(EW24:EW25)</f>
        <v>0</v>
      </c>
      <c r="EX23" s="337">
        <f t="shared" si="108"/>
        <v>0</v>
      </c>
      <c r="EY23" s="337">
        <f t="shared" si="108"/>
        <v>0</v>
      </c>
      <c r="EZ23" s="337">
        <f t="shared" si="108"/>
        <v>0</v>
      </c>
      <c r="FA23" s="337">
        <f t="shared" si="108"/>
        <v>0</v>
      </c>
      <c r="FB23" s="337">
        <f t="shared" si="108"/>
        <v>0</v>
      </c>
    </row>
    <row r="24" spans="1:158">
      <c r="A24" s="346"/>
      <c r="B24" s="21">
        <v>2100</v>
      </c>
      <c r="C24" s="14" t="s">
        <v>36</v>
      </c>
      <c r="D24" s="111">
        <f ca="1">SUM(D25:D32)</f>
        <v>5037258.57</v>
      </c>
      <c r="E24" s="111">
        <f ca="1">SUM(E25:E32)</f>
        <v>3398732.3299999996</v>
      </c>
      <c r="F24" s="24"/>
      <c r="G24" s="346"/>
      <c r="H24" s="346"/>
      <c r="I24" s="21">
        <v>5100</v>
      </c>
      <c r="J24" s="61" t="s">
        <v>184</v>
      </c>
      <c r="K24" s="115">
        <f ca="1">SUM(K25:K27)</f>
        <v>83475699.86999999</v>
      </c>
      <c r="L24" s="115">
        <f ca="1">SUM(L25:L27)</f>
        <v>72369777.849999994</v>
      </c>
      <c r="M24" s="77"/>
      <c r="N24" s="346"/>
      <c r="O24" s="346"/>
      <c r="P24" s="31">
        <v>3220</v>
      </c>
      <c r="Q24" s="15" t="s">
        <v>166</v>
      </c>
      <c r="R24" s="133"/>
      <c r="S24" s="133"/>
      <c r="T24" s="112">
        <f ca="1">-SUMIF(BC[],MID(P24,1,3)&amp;"*",bc_2017)+SUMIF(BC[],MID(P24,1,3)&amp;"*",bc_2016)</f>
        <v>124418.41999999993</v>
      </c>
      <c r="U24" s="133">
        <v>0</v>
      </c>
      <c r="V24" s="133">
        <f t="shared" ca="1" si="98"/>
        <v>124418.41999999993</v>
      </c>
      <c r="W24" s="346"/>
      <c r="X24" s="346"/>
      <c r="Y24" s="21">
        <v>2100</v>
      </c>
      <c r="Z24" s="14" t="s">
        <v>36</v>
      </c>
      <c r="AA24" s="121">
        <f t="shared" ca="1" si="102"/>
        <v>1638526.2400000007</v>
      </c>
      <c r="AB24" s="121">
        <f t="shared" ca="1" si="103"/>
        <v>0</v>
      </c>
      <c r="AC24" s="346"/>
      <c r="AD24" s="346"/>
      <c r="AE24" s="36">
        <v>5240</v>
      </c>
      <c r="AF24" s="15" t="s">
        <v>120</v>
      </c>
      <c r="AG24" s="112">
        <f ca="1">SUMIF(BC[],MID(AE24,1,3)&amp;"*",bc_2017)</f>
        <v>0</v>
      </c>
      <c r="AH24" s="112">
        <f ca="1">SUMIF(BC[],MID(AE24,1,3)&amp;"*",bc_2016)</f>
        <v>0</v>
      </c>
      <c r="AI24" s="24"/>
      <c r="AJ24" s="346"/>
      <c r="AK24" s="346"/>
      <c r="AL24" s="102">
        <v>1290</v>
      </c>
      <c r="AM24" s="16" t="s">
        <v>34</v>
      </c>
      <c r="AN24" s="134">
        <f ca="1">SUMIF(BC[],MID(AL24,1,3)&amp;"*",bc_2016)</f>
        <v>0</v>
      </c>
      <c r="AO24" s="134">
        <f ca="1">SUMIF(BC[],MID(AL24,1,3)&amp;"*",bc_2017c)</f>
        <v>0</v>
      </c>
      <c r="AP24" s="134">
        <f ca="1">-SUMIF(BC[],MID(AL24,1,3)&amp;"*",bc_2017a)</f>
        <v>0</v>
      </c>
      <c r="AQ24" s="134">
        <f ca="1">SUMIF(BC[],MID(AL24,1,3)&amp;"*",bc_2017)</f>
        <v>0</v>
      </c>
      <c r="AR24" s="134">
        <f ca="1">+AQ24-AN24</f>
        <v>0</v>
      </c>
      <c r="AS24" s="346"/>
      <c r="AT24" s="346"/>
      <c r="AU24" s="33"/>
      <c r="AV24" s="47" t="s">
        <v>87</v>
      </c>
      <c r="AW24" s="136"/>
      <c r="AX24" s="136"/>
      <c r="AY24" s="133">
        <v>0</v>
      </c>
      <c r="AZ24" s="133">
        <v>0</v>
      </c>
      <c r="BA24" s="346"/>
      <c r="BB24" s="346"/>
      <c r="BC24" s="71"/>
      <c r="BD24" s="383"/>
      <c r="BE24" s="346"/>
      <c r="BF24" s="346"/>
      <c r="BG24" s="1025"/>
      <c r="BH24" s="1026"/>
      <c r="BI24" s="1026"/>
      <c r="BJ24" s="1026"/>
      <c r="BK24" s="1026"/>
      <c r="BL24" s="1026"/>
      <c r="BM24" s="1026"/>
      <c r="BN24" s="1026"/>
      <c r="BO24" s="1027"/>
      <c r="BP24" s="346"/>
      <c r="BQ24" s="346"/>
      <c r="BR24" s="51"/>
      <c r="BS24" s="51"/>
      <c r="BT24" s="51"/>
      <c r="BU24" s="51"/>
      <c r="BV24" s="51"/>
      <c r="BW24" s="51"/>
      <c r="BX24" s="51"/>
      <c r="BY24" s="51"/>
      <c r="BZ24" s="51"/>
      <c r="CA24" s="346"/>
      <c r="CB24" s="346"/>
      <c r="CC24" s="1043" t="s">
        <v>361</v>
      </c>
      <c r="CD24" s="1043"/>
      <c r="CE24" s="1043"/>
      <c r="CF24" s="1043"/>
      <c r="CG24" s="1043"/>
      <c r="CH24" s="1043"/>
      <c r="CI24" s="1043"/>
      <c r="CJ24" s="1043"/>
      <c r="CK24" s="51"/>
      <c r="CL24" s="346"/>
      <c r="CM24" s="346"/>
      <c r="CW24" s="346"/>
      <c r="DG24" s="346"/>
      <c r="DH24" s="341">
        <v>3000</v>
      </c>
      <c r="DI24" s="342" t="s">
        <v>262</v>
      </c>
      <c r="DJ24" s="337">
        <f t="shared" ref="DJ24:DO24" si="109">SUM(DJ25:DJ33)</f>
        <v>15301571</v>
      </c>
      <c r="DK24" s="337">
        <f t="shared" si="109"/>
        <v>350566.11000000045</v>
      </c>
      <c r="DL24" s="337">
        <f t="shared" si="109"/>
        <v>15652137.109999999</v>
      </c>
      <c r="DM24" s="337">
        <f t="shared" si="109"/>
        <v>15652137.110000001</v>
      </c>
      <c r="DN24" s="337">
        <f t="shared" si="109"/>
        <v>15517128.110000001</v>
      </c>
      <c r="DO24" s="337">
        <f t="shared" si="109"/>
        <v>0</v>
      </c>
      <c r="DP24" s="346"/>
      <c r="DQ24" s="346"/>
      <c r="DR24" s="237">
        <v>32</v>
      </c>
      <c r="DS24" s="238" t="s">
        <v>681</v>
      </c>
      <c r="DT24" s="338">
        <f t="shared" si="104"/>
        <v>0</v>
      </c>
      <c r="DU24" s="338">
        <f t="shared" si="105"/>
        <v>0</v>
      </c>
      <c r="DV24" s="338">
        <f t="shared" si="49"/>
        <v>0</v>
      </c>
      <c r="DW24" s="338">
        <f t="shared" si="106"/>
        <v>0</v>
      </c>
      <c r="DX24" s="338">
        <f t="shared" si="107"/>
        <v>0</v>
      </c>
      <c r="DY24" s="338">
        <f t="shared" si="50"/>
        <v>0</v>
      </c>
      <c r="EA24" s="346"/>
      <c r="EB24" s="679"/>
      <c r="EC24" s="680"/>
      <c r="ED24" s="681"/>
      <c r="EE24" s="681"/>
      <c r="EF24" s="682">
        <f t="shared" si="96"/>
        <v>0</v>
      </c>
      <c r="EG24" s="346"/>
      <c r="EH24" s="346"/>
      <c r="EI24" s="253"/>
      <c r="EJ24" s="248"/>
      <c r="EK24" s="688"/>
      <c r="EL24" s="689"/>
      <c r="EM24" s="67"/>
      <c r="EN24" s="67"/>
      <c r="EO24" s="17"/>
      <c r="EP24" s="17"/>
      <c r="EQ24" s="17"/>
      <c r="ER24" s="95"/>
      <c r="ES24" s="346"/>
      <c r="ET24" s="346"/>
      <c r="EU24" s="82" t="s">
        <v>336</v>
      </c>
      <c r="EV24" s="83" t="s">
        <v>337</v>
      </c>
      <c r="EW24" s="338">
        <f>SUMIF(PE_CP,MID(EU24,1,1)&amp;"*",PE_A)</f>
        <v>0</v>
      </c>
      <c r="EX24" s="338">
        <f>SUMIF(PE_CP,MID(EU24,1,1)&amp;"*",PE_M)</f>
        <v>0</v>
      </c>
      <c r="EY24" s="338">
        <f>+EW24+EX24</f>
        <v>0</v>
      </c>
      <c r="EZ24" s="338">
        <f>SUMIF(PE_CP,MID(EU24,1,1)&amp;"*",PE_D)</f>
        <v>0</v>
      </c>
      <c r="FA24" s="338">
        <f>SUMIF(PE_CP,MID(EU24,1,1)&amp;"*",PE_P)</f>
        <v>0</v>
      </c>
      <c r="FB24" s="338">
        <f>+EY24-EZ24</f>
        <v>0</v>
      </c>
    </row>
    <row r="25" spans="1:158" ht="10.15" customHeight="1">
      <c r="A25" s="346"/>
      <c r="B25" s="31">
        <v>2110</v>
      </c>
      <c r="C25" s="15" t="s">
        <v>37</v>
      </c>
      <c r="D25" s="112">
        <f ca="1">-SUMIF(BC[],MID(B25,1,3)&amp;"*",bc_2017)</f>
        <v>5018758.57</v>
      </c>
      <c r="E25" s="112">
        <f ca="1">-SUMIF(BC[],MID(B25,1,3)&amp;"*",bc_2016)</f>
        <v>3380232.3299999996</v>
      </c>
      <c r="F25" s="24" t="s">
        <v>38</v>
      </c>
      <c r="G25" s="346"/>
      <c r="H25" s="346"/>
      <c r="I25" s="31">
        <v>5110</v>
      </c>
      <c r="J25" s="76" t="s">
        <v>114</v>
      </c>
      <c r="K25" s="112">
        <f ca="1">SUMIF(BC[],MID(I25,1,3)&amp;"*",bc_2017)</f>
        <v>65924124.18999999</v>
      </c>
      <c r="L25" s="112">
        <f ca="1">SUMIF(BC[],MID(I25,1,3)&amp;"*",bc_2016)</f>
        <v>56592071.319999993</v>
      </c>
      <c r="M25" s="77"/>
      <c r="N25" s="346"/>
      <c r="O25" s="346"/>
      <c r="P25" s="31">
        <v>3230</v>
      </c>
      <c r="Q25" s="15" t="s">
        <v>167</v>
      </c>
      <c r="R25" s="133"/>
      <c r="S25" s="133"/>
      <c r="T25" s="112">
        <f ca="1">-SUMIF(BC[],MID(P25,1,3)&amp;"*",bc_2017)+SUMIF(BC[],MID(P25,1,3)&amp;"*",bc_2016)</f>
        <v>0</v>
      </c>
      <c r="U25" s="133">
        <v>0</v>
      </c>
      <c r="V25" s="133">
        <f t="shared" ca="1" si="98"/>
        <v>0</v>
      </c>
      <c r="W25" s="346"/>
      <c r="X25" s="346"/>
      <c r="Y25" s="31">
        <v>2110</v>
      </c>
      <c r="Z25" s="15" t="s">
        <v>37</v>
      </c>
      <c r="AA25" s="120">
        <f t="shared" ca="1" si="102"/>
        <v>1638526.2400000007</v>
      </c>
      <c r="AB25" s="120">
        <f t="shared" ca="1" si="103"/>
        <v>0</v>
      </c>
      <c r="AC25" s="346"/>
      <c r="AD25" s="346"/>
      <c r="AE25" s="36">
        <v>5250</v>
      </c>
      <c r="AF25" s="15" t="s">
        <v>121</v>
      </c>
      <c r="AG25" s="112">
        <f ca="1">SUMIF(BC[],MID(AE25,1,3)&amp;"*",bc_2017)</f>
        <v>0</v>
      </c>
      <c r="AH25" s="112">
        <f ca="1">SUMIF(BC[],MID(AE25,1,3)&amp;"*",bc_2016)</f>
        <v>0</v>
      </c>
      <c r="AI25" s="24"/>
      <c r="AJ25" s="346"/>
      <c r="AK25" s="346"/>
      <c r="AL25" s="44"/>
      <c r="AM25" s="44"/>
      <c r="AN25" s="47"/>
      <c r="AO25" s="47"/>
      <c r="AP25" s="47"/>
      <c r="AQ25" s="47"/>
      <c r="AR25" s="44"/>
      <c r="AS25" s="346"/>
      <c r="AT25" s="346"/>
      <c r="AU25" s="33"/>
      <c r="AV25" s="47" t="s">
        <v>88</v>
      </c>
      <c r="AW25" s="136"/>
      <c r="AX25" s="136"/>
      <c r="AY25" s="133">
        <v>0</v>
      </c>
      <c r="AZ25" s="133">
        <v>0</v>
      </c>
      <c r="BA25" s="346"/>
      <c r="BB25" s="346"/>
      <c r="BC25" s="71"/>
      <c r="BD25" s="383"/>
      <c r="BE25" s="346"/>
      <c r="BF25" s="346"/>
      <c r="BG25" s="1045" t="s">
        <v>226</v>
      </c>
      <c r="BH25" s="1045" t="s">
        <v>71</v>
      </c>
      <c r="BI25" s="1047" t="s">
        <v>228</v>
      </c>
      <c r="BJ25" s="1047" t="s">
        <v>254</v>
      </c>
      <c r="BK25" s="1047" t="s">
        <v>230</v>
      </c>
      <c r="BL25" s="1047" t="s">
        <v>231</v>
      </c>
      <c r="BM25" s="1047" t="s">
        <v>232</v>
      </c>
      <c r="BN25" s="1047" t="s">
        <v>233</v>
      </c>
      <c r="BO25" s="1047" t="s">
        <v>234</v>
      </c>
      <c r="BP25" s="346"/>
      <c r="BQ25" s="346"/>
      <c r="BR25" s="51"/>
      <c r="BS25" s="51"/>
      <c r="BT25" s="51"/>
      <c r="BU25" s="51"/>
      <c r="BV25" s="51"/>
      <c r="BW25" s="51"/>
      <c r="BX25" s="51"/>
      <c r="BY25" s="51"/>
      <c r="BZ25" s="51"/>
      <c r="CA25" s="346"/>
      <c r="CB25" s="346"/>
      <c r="CC25" s="17"/>
      <c r="CD25" s="17"/>
      <c r="CE25" s="17"/>
      <c r="CF25" s="49"/>
      <c r="CG25" s="17"/>
      <c r="CH25" s="11"/>
      <c r="CI25" s="11"/>
      <c r="CJ25" s="11"/>
      <c r="CK25" s="11"/>
      <c r="CL25" s="346"/>
      <c r="CM25" s="346"/>
      <c r="CW25" s="346"/>
      <c r="DG25" s="346"/>
      <c r="DH25" s="72">
        <v>3100</v>
      </c>
      <c r="DI25" s="73" t="s">
        <v>199</v>
      </c>
      <c r="DJ25" s="338">
        <f t="shared" ref="DJ25:DJ33" si="110">SUMIF(PE_COG,MID(DH25,1,2)&amp;"*",PE_A)</f>
        <v>1090627.8</v>
      </c>
      <c r="DK25" s="338">
        <f t="shared" ref="DK25:DK33" si="111">SUMIF(PE_COG,MID(DH25,1,2)&amp;"*",PE_M)</f>
        <v>-93173.98000000001</v>
      </c>
      <c r="DL25" s="338">
        <f t="shared" si="41"/>
        <v>997453.82000000007</v>
      </c>
      <c r="DM25" s="338">
        <f t="shared" ref="DM25:DM33" si="112">SUMIF(PE_COG,MID(DH25,1,2)&amp;"*",PE_D)</f>
        <v>997453.82000000007</v>
      </c>
      <c r="DN25" s="338">
        <f t="shared" ref="DN25:DN33" si="113">SUMIF(PE_COG,MID(DH25,1,2)&amp;"*",PE_P)</f>
        <v>910822.82000000007</v>
      </c>
      <c r="DO25" s="338">
        <f t="shared" si="44"/>
        <v>0</v>
      </c>
      <c r="DP25" s="346"/>
      <c r="DQ25" s="346"/>
      <c r="DR25" s="237">
        <v>33</v>
      </c>
      <c r="DS25" s="238" t="s">
        <v>682</v>
      </c>
      <c r="DT25" s="338">
        <f t="shared" si="104"/>
        <v>0</v>
      </c>
      <c r="DU25" s="338">
        <f t="shared" si="105"/>
        <v>0</v>
      </c>
      <c r="DV25" s="338">
        <f t="shared" si="49"/>
        <v>0</v>
      </c>
      <c r="DW25" s="338">
        <f t="shared" si="106"/>
        <v>0</v>
      </c>
      <c r="DX25" s="338">
        <f t="shared" si="107"/>
        <v>0</v>
      </c>
      <c r="DY25" s="338">
        <f t="shared" si="50"/>
        <v>0</v>
      </c>
      <c r="EA25" s="346"/>
      <c r="EB25" s="181">
        <v>900002</v>
      </c>
      <c r="EC25" s="671" t="s">
        <v>289</v>
      </c>
      <c r="ED25" s="672">
        <f>SUM(ED15:ED24)</f>
        <v>0</v>
      </c>
      <c r="EE25" s="672">
        <f>SUM(EE15:EE24)</f>
        <v>0</v>
      </c>
      <c r="EF25" s="673">
        <f>SUM(EF15:EF24)</f>
        <v>0</v>
      </c>
      <c r="EG25" s="346"/>
      <c r="EH25" s="346"/>
      <c r="EI25" s="181">
        <v>900002</v>
      </c>
      <c r="EJ25" s="248" t="s">
        <v>289</v>
      </c>
      <c r="EK25" s="690">
        <f>SUM(EK16:EK24)</f>
        <v>0</v>
      </c>
      <c r="EL25" s="691">
        <f>SUM(EL16:EL24)</f>
        <v>0</v>
      </c>
      <c r="EM25" s="67"/>
      <c r="EN25" s="67"/>
      <c r="EO25" s="17"/>
      <c r="EP25" s="17"/>
      <c r="EQ25" s="17"/>
      <c r="ER25" s="95"/>
      <c r="ES25" s="346"/>
      <c r="ET25" s="346"/>
      <c r="EU25" s="82" t="s">
        <v>338</v>
      </c>
      <c r="EV25" s="83" t="s">
        <v>339</v>
      </c>
      <c r="EW25" s="338">
        <f>SUMIF(PE_CP,MID(EU25,1,1)&amp;"*",PE_A)</f>
        <v>0</v>
      </c>
      <c r="EX25" s="338">
        <f>SUMIF(PE_CP,MID(EU25,1,1)&amp;"*",PE_M)</f>
        <v>0</v>
      </c>
      <c r="EY25" s="338">
        <f>+EW25+EX25</f>
        <v>0</v>
      </c>
      <c r="EZ25" s="338">
        <f>SUMIF(PE_CP,MID(EU25,1,1)&amp;"*",PE_D)</f>
        <v>0</v>
      </c>
      <c r="FA25" s="338">
        <f>SUMIF(PE_CP,MID(EU25,1,1)&amp;"*",PE_P)</f>
        <v>0</v>
      </c>
      <c r="FB25" s="338">
        <f>+EY25-EZ25</f>
        <v>0</v>
      </c>
    </row>
    <row r="26" spans="1:158">
      <c r="A26" s="346"/>
      <c r="B26" s="31">
        <v>2120</v>
      </c>
      <c r="C26" s="15" t="s">
        <v>39</v>
      </c>
      <c r="D26" s="112">
        <f ca="1">-SUMIF(BC[],MID(B26,1,3)&amp;"*",bc_2017)</f>
        <v>0</v>
      </c>
      <c r="E26" s="112">
        <f ca="1">-SUMIF(BC[],MID(B26,1,3)&amp;"*",bc_2016)</f>
        <v>0</v>
      </c>
      <c r="F26" s="24" t="s">
        <v>38</v>
      </c>
      <c r="G26" s="346"/>
      <c r="H26" s="346"/>
      <c r="I26" s="31">
        <v>5120</v>
      </c>
      <c r="J26" s="76" t="s">
        <v>115</v>
      </c>
      <c r="K26" s="112">
        <f ca="1">SUMIF(BC[],MID(I26,1,3)&amp;"*",bc_2017)</f>
        <v>1899438.5700000003</v>
      </c>
      <c r="L26" s="112">
        <f ca="1">SUMIF(BC[],MID(I26,1,3)&amp;"*",bc_2016)</f>
        <v>1884536.9899999998</v>
      </c>
      <c r="M26" s="77"/>
      <c r="N26" s="346"/>
      <c r="O26" s="346"/>
      <c r="P26" s="31">
        <v>3240</v>
      </c>
      <c r="Q26" s="15" t="s">
        <v>168</v>
      </c>
      <c r="R26" s="133"/>
      <c r="S26" s="133"/>
      <c r="T26" s="112">
        <f ca="1">-SUMIF(BC[],MID(P26,1,3)&amp;"*",bc_2017)+SUMIF(BC[],MID(P26,1,3)&amp;"*",bc_2016)</f>
        <v>0</v>
      </c>
      <c r="U26" s="133">
        <v>0</v>
      </c>
      <c r="V26" s="133">
        <f t="shared" ca="1" si="98"/>
        <v>0</v>
      </c>
      <c r="W26" s="346"/>
      <c r="X26" s="346"/>
      <c r="Y26" s="31">
        <v>2120</v>
      </c>
      <c r="Z26" s="15" t="s">
        <v>39</v>
      </c>
      <c r="AA26" s="120">
        <f t="shared" ca="1" si="102"/>
        <v>0</v>
      </c>
      <c r="AB26" s="120">
        <f t="shared" ca="1" si="103"/>
        <v>0</v>
      </c>
      <c r="AC26" s="346"/>
      <c r="AD26" s="346"/>
      <c r="AE26" s="36">
        <v>5260</v>
      </c>
      <c r="AF26" s="15" t="s">
        <v>122</v>
      </c>
      <c r="AG26" s="112">
        <f ca="1">SUMIF(BC[],MID(AE26,1,3)&amp;"*",bc_2017)</f>
        <v>0</v>
      </c>
      <c r="AH26" s="112">
        <f ca="1">SUMIF(BC[],MID(AE26,1,3)&amp;"*",bc_2016)</f>
        <v>0</v>
      </c>
      <c r="AI26" s="24"/>
      <c r="AJ26" s="346"/>
      <c r="AK26" s="346"/>
      <c r="AL26" s="44"/>
      <c r="AM26" s="44"/>
      <c r="AN26" s="47"/>
      <c r="AO26" s="47"/>
      <c r="AP26" s="47"/>
      <c r="AQ26" s="47"/>
      <c r="AR26" s="44"/>
      <c r="AS26" s="346"/>
      <c r="AT26" s="346"/>
      <c r="AU26" s="33"/>
      <c r="AV26" s="47" t="s">
        <v>84</v>
      </c>
      <c r="AW26" s="136"/>
      <c r="AX26" s="136"/>
      <c r="AY26" s="133">
        <v>0</v>
      </c>
      <c r="AZ26" s="133">
        <v>0</v>
      </c>
      <c r="BA26" s="346"/>
      <c r="BB26" s="346"/>
      <c r="BC26" s="71"/>
      <c r="BD26" s="383"/>
      <c r="BE26" s="346"/>
      <c r="BF26" s="346"/>
      <c r="BG26" s="1046"/>
      <c r="BH26" s="1046"/>
      <c r="BI26" s="1048"/>
      <c r="BJ26" s="1048"/>
      <c r="BK26" s="1048"/>
      <c r="BL26" s="1048"/>
      <c r="BM26" s="1048"/>
      <c r="BN26" s="1048"/>
      <c r="BO26" s="1048"/>
      <c r="BP26" s="346"/>
      <c r="BQ26" s="346"/>
      <c r="BR26" s="1019" t="str">
        <f>+Títulos!$B$2&amp;"
ESTADO ANALITICO DE INGRESOS POR FUENTE DE FINANCIAMIENTO
DEL 01 DE ENERO AL "&amp;Títulos!$B$3</f>
        <v>TRIBUNAL DE JUSTICIA ADMINISTRATIVA
ESTADO ANALITICO DE INGRESOS POR FUENTE DE FINANCIAMIENTO
DEL 01 DE ENERO AL 31 DE DICIEMBRE DE 2017</v>
      </c>
      <c r="BS26" s="1020"/>
      <c r="BT26" s="1020"/>
      <c r="BU26" s="1020"/>
      <c r="BV26" s="1020"/>
      <c r="BW26" s="1020"/>
      <c r="BX26" s="1020"/>
      <c r="BY26" s="1020"/>
      <c r="BZ26" s="1021"/>
      <c r="CA26" s="346"/>
      <c r="CB26" s="346"/>
      <c r="CC26" s="17"/>
      <c r="CD26" s="17"/>
      <c r="CE26" s="17"/>
      <c r="CF26" s="49"/>
      <c r="CG26" s="17"/>
      <c r="CH26" s="11"/>
      <c r="CI26" s="11"/>
      <c r="CJ26" s="11"/>
      <c r="CK26" s="11"/>
      <c r="CL26" s="346"/>
      <c r="CM26" s="346"/>
      <c r="CW26" s="346"/>
      <c r="DG26" s="346"/>
      <c r="DH26" s="72">
        <v>3200</v>
      </c>
      <c r="DI26" s="73" t="s">
        <v>200</v>
      </c>
      <c r="DJ26" s="338">
        <f t="shared" si="110"/>
        <v>1601484.6199999999</v>
      </c>
      <c r="DK26" s="338">
        <f t="shared" si="111"/>
        <v>77391.70000000007</v>
      </c>
      <c r="DL26" s="338">
        <f t="shared" si="41"/>
        <v>1678876.3199999998</v>
      </c>
      <c r="DM26" s="338">
        <f t="shared" si="112"/>
        <v>1678876.3199999998</v>
      </c>
      <c r="DN26" s="338">
        <f t="shared" si="113"/>
        <v>1672148.3199999998</v>
      </c>
      <c r="DO26" s="338">
        <f t="shared" si="44"/>
        <v>0</v>
      </c>
      <c r="DP26" s="346"/>
      <c r="DQ26" s="346"/>
      <c r="DR26" s="237">
        <v>34</v>
      </c>
      <c r="DS26" s="238" t="s">
        <v>683</v>
      </c>
      <c r="DT26" s="338">
        <f t="shared" si="104"/>
        <v>0</v>
      </c>
      <c r="DU26" s="338">
        <f t="shared" si="105"/>
        <v>0</v>
      </c>
      <c r="DV26" s="338">
        <f t="shared" si="49"/>
        <v>0</v>
      </c>
      <c r="DW26" s="338">
        <f t="shared" si="106"/>
        <v>0</v>
      </c>
      <c r="DX26" s="338">
        <f t="shared" si="107"/>
        <v>0</v>
      </c>
      <c r="DY26" s="338">
        <f t="shared" si="50"/>
        <v>0</v>
      </c>
      <c r="EA26" s="346"/>
      <c r="EB26" s="186">
        <v>900003</v>
      </c>
      <c r="EC26" s="675" t="s">
        <v>290</v>
      </c>
      <c r="ED26" s="676">
        <f>SUM(ED13,ED25)</f>
        <v>0</v>
      </c>
      <c r="EE26" s="676">
        <f>SUM(EE13,EE25)</f>
        <v>0</v>
      </c>
      <c r="EF26" s="677">
        <f>SUM(EF13,EF25)</f>
        <v>0</v>
      </c>
      <c r="EG26" s="346"/>
      <c r="EH26" s="346"/>
      <c r="EI26" s="186">
        <v>900003</v>
      </c>
      <c r="EJ26" s="250" t="s">
        <v>290</v>
      </c>
      <c r="EK26" s="693">
        <f>SUM(EK14,EK25)</f>
        <v>0</v>
      </c>
      <c r="EL26" s="694">
        <f>SUM(EL14,EL25)</f>
        <v>0</v>
      </c>
      <c r="EM26" s="67"/>
      <c r="EN26" s="67"/>
      <c r="EO26" s="17"/>
      <c r="EP26" s="17"/>
      <c r="EQ26" s="17"/>
      <c r="ER26" s="95"/>
      <c r="ES26" s="346"/>
      <c r="ET26" s="346"/>
      <c r="EU26" s="32">
        <v>900007</v>
      </c>
      <c r="EV26" s="80" t="s">
        <v>340</v>
      </c>
      <c r="EW26" s="337">
        <f t="shared" ref="EW26:FB26" si="114">SUM(EW27:EW30)</f>
        <v>0</v>
      </c>
      <c r="EX26" s="337">
        <f t="shared" si="114"/>
        <v>0</v>
      </c>
      <c r="EY26" s="337">
        <f t="shared" si="114"/>
        <v>0</v>
      </c>
      <c r="EZ26" s="337">
        <f t="shared" si="114"/>
        <v>0</v>
      </c>
      <c r="FA26" s="337">
        <f t="shared" si="114"/>
        <v>0</v>
      </c>
      <c r="FB26" s="337">
        <f t="shared" si="114"/>
        <v>0</v>
      </c>
    </row>
    <row r="27" spans="1:158">
      <c r="A27" s="346"/>
      <c r="B27" s="31">
        <v>2130</v>
      </c>
      <c r="C27" s="15" t="s">
        <v>40</v>
      </c>
      <c r="D27" s="112">
        <f ca="1">-SUMIF(BC[],MID(B27,1,3)&amp;"*",bc_2017)</f>
        <v>0</v>
      </c>
      <c r="E27" s="112">
        <f ca="1">-SUMIF(BC[],MID(B27,1,3)&amp;"*",bc_2016)</f>
        <v>0</v>
      </c>
      <c r="F27" s="24"/>
      <c r="G27" s="346"/>
      <c r="H27" s="346"/>
      <c r="I27" s="31">
        <v>5130</v>
      </c>
      <c r="J27" s="76" t="s">
        <v>116</v>
      </c>
      <c r="K27" s="112">
        <f ca="1">SUMIF(BC[],MID(I27,1,3)&amp;"*",bc_2017)</f>
        <v>15652137.109999999</v>
      </c>
      <c r="L27" s="112">
        <f ca="1">SUMIF(BC[],MID(I27,1,3)&amp;"*",bc_2016)</f>
        <v>13893169.539999999</v>
      </c>
      <c r="M27" s="77"/>
      <c r="N27" s="346"/>
      <c r="O27" s="346"/>
      <c r="P27" s="45">
        <v>900006</v>
      </c>
      <c r="Q27" s="87" t="s">
        <v>169</v>
      </c>
      <c r="R27" s="356">
        <f ca="1">R17+R18</f>
        <v>27577726.700000003</v>
      </c>
      <c r="S27" s="356">
        <f ca="1">S17</f>
        <v>-953582.3699999922</v>
      </c>
      <c r="T27" s="356">
        <f ca="1">T17+T22</f>
        <v>2003511.0600000005</v>
      </c>
      <c r="U27" s="356">
        <f>U17+U18+U22</f>
        <v>0</v>
      </c>
      <c r="V27" s="356">
        <f ca="1">V17+V18+V22</f>
        <v>28627655.390000008</v>
      </c>
      <c r="W27" s="346"/>
      <c r="X27" s="346"/>
      <c r="Y27" s="31">
        <v>2130</v>
      </c>
      <c r="Z27" s="15" t="s">
        <v>40</v>
      </c>
      <c r="AA27" s="120">
        <f t="shared" ca="1" si="102"/>
        <v>0</v>
      </c>
      <c r="AB27" s="120">
        <f t="shared" ca="1" si="103"/>
        <v>0</v>
      </c>
      <c r="AC27" s="346"/>
      <c r="AD27" s="346"/>
      <c r="AE27" s="36">
        <v>5270</v>
      </c>
      <c r="AF27" s="15" t="s">
        <v>123</v>
      </c>
      <c r="AG27" s="112">
        <f ca="1">SUMIF(BC[],MID(AE27,1,3)&amp;"*",bc_2017)</f>
        <v>0</v>
      </c>
      <c r="AH27" s="112">
        <f ca="1">SUMIF(BC[],MID(AE27,1,3)&amp;"*",bc_2016)</f>
        <v>0</v>
      </c>
      <c r="AI27" s="24"/>
      <c r="AJ27" s="346"/>
      <c r="AK27" s="346"/>
      <c r="AL27" s="1042" t="s">
        <v>362</v>
      </c>
      <c r="AM27" s="1042"/>
      <c r="AN27" s="1042"/>
      <c r="AO27" s="1042"/>
      <c r="AP27" s="1042"/>
      <c r="AQ27" s="1042"/>
      <c r="AR27" s="1042"/>
      <c r="AS27" s="346"/>
      <c r="AT27" s="346"/>
      <c r="AU27" s="33"/>
      <c r="AV27" s="47" t="s">
        <v>85</v>
      </c>
      <c r="AW27" s="136"/>
      <c r="AX27" s="136"/>
      <c r="AY27" s="133">
        <v>0</v>
      </c>
      <c r="AZ27" s="133">
        <v>0</v>
      </c>
      <c r="BA27" s="346"/>
      <c r="BB27" s="346"/>
      <c r="BC27" s="71"/>
      <c r="BD27" s="383"/>
      <c r="BE27" s="346"/>
      <c r="BF27" s="346"/>
      <c r="BG27" s="29"/>
      <c r="BH27" s="427" t="s">
        <v>235</v>
      </c>
      <c r="BI27" s="332">
        <f t="shared" ref="BI27:BN27" si="115">+BI28+BI32+BI34</f>
        <v>80405840.510000005</v>
      </c>
      <c r="BJ27" s="332">
        <f t="shared" si="115"/>
        <v>8457903.8100000005</v>
      </c>
      <c r="BK27" s="332">
        <f t="shared" si="115"/>
        <v>88863744.320000008</v>
      </c>
      <c r="BL27" s="332">
        <f t="shared" si="115"/>
        <v>88863739.419999987</v>
      </c>
      <c r="BM27" s="332">
        <f t="shared" si="115"/>
        <v>88863739.419999987</v>
      </c>
      <c r="BN27" s="332">
        <f t="shared" si="115"/>
        <v>8457898.9099999871</v>
      </c>
      <c r="BO27" s="332">
        <f t="shared" ref="BO27:BO36" si="116">IF(BN27&gt;0,BN27,0)</f>
        <v>8457898.9099999871</v>
      </c>
      <c r="BP27" s="346"/>
      <c r="BQ27" s="346"/>
      <c r="BR27" s="1022"/>
      <c r="BS27" s="1023"/>
      <c r="BT27" s="1023"/>
      <c r="BU27" s="1023"/>
      <c r="BV27" s="1023"/>
      <c r="BW27" s="1023"/>
      <c r="BX27" s="1023"/>
      <c r="BY27" s="1023"/>
      <c r="BZ27" s="1024"/>
      <c r="CA27" s="346"/>
      <c r="CB27" s="346"/>
      <c r="CC27" s="17"/>
      <c r="CD27" s="17"/>
      <c r="CE27" s="17"/>
      <c r="CF27" s="49"/>
      <c r="CG27" s="17"/>
      <c r="CH27" s="11"/>
      <c r="CI27" s="11"/>
      <c r="CJ27" s="11"/>
      <c r="CK27" s="11"/>
      <c r="CL27" s="346"/>
      <c r="CM27" s="346"/>
      <c r="CW27" s="346"/>
      <c r="DG27" s="346"/>
      <c r="DH27" s="72">
        <v>3300</v>
      </c>
      <c r="DI27" s="73" t="s">
        <v>263</v>
      </c>
      <c r="DJ27" s="338">
        <f t="shared" si="110"/>
        <v>3691811.1199999996</v>
      </c>
      <c r="DK27" s="338">
        <f t="shared" si="111"/>
        <v>775668.73000000033</v>
      </c>
      <c r="DL27" s="338">
        <f t="shared" si="41"/>
        <v>4467479.8499999996</v>
      </c>
      <c r="DM27" s="338">
        <f t="shared" si="112"/>
        <v>4467479.8499999996</v>
      </c>
      <c r="DN27" s="338">
        <f t="shared" si="113"/>
        <v>4426879.8499999996</v>
      </c>
      <c r="DO27" s="338">
        <f t="shared" si="44"/>
        <v>0</v>
      </c>
      <c r="DP27" s="346"/>
      <c r="DQ27" s="346"/>
      <c r="DR27" s="237">
        <v>35</v>
      </c>
      <c r="DS27" s="238" t="s">
        <v>684</v>
      </c>
      <c r="DT27" s="338">
        <f t="shared" si="104"/>
        <v>0</v>
      </c>
      <c r="DU27" s="338">
        <f t="shared" si="105"/>
        <v>0</v>
      </c>
      <c r="DV27" s="338">
        <f t="shared" si="49"/>
        <v>0</v>
      </c>
      <c r="DW27" s="338">
        <f t="shared" si="106"/>
        <v>0</v>
      </c>
      <c r="DX27" s="338">
        <f t="shared" si="107"/>
        <v>0</v>
      </c>
      <c r="DY27" s="338">
        <f t="shared" si="50"/>
        <v>0</v>
      </c>
      <c r="EA27" s="346"/>
      <c r="EB27" s="95"/>
      <c r="EC27" s="95"/>
      <c r="ED27" s="95"/>
      <c r="EE27" s="95"/>
      <c r="EF27" s="95"/>
      <c r="EG27" s="346"/>
      <c r="EH27" s="346"/>
      <c r="EI27" s="67"/>
      <c r="EJ27" s="95"/>
      <c r="EK27" s="95"/>
      <c r="EL27" s="95"/>
      <c r="EM27" s="95"/>
      <c r="EN27" s="95"/>
      <c r="EO27" s="17"/>
      <c r="EP27" s="17"/>
      <c r="EQ27" s="17"/>
      <c r="ER27" s="95"/>
      <c r="ES27" s="346"/>
      <c r="ET27" s="346"/>
      <c r="EU27" s="82" t="s">
        <v>341</v>
      </c>
      <c r="EV27" s="83" t="s">
        <v>121</v>
      </c>
      <c r="EW27" s="338">
        <f>SUMIF(PE_CP,MID(EU27,1,1)&amp;"*",PE_A)</f>
        <v>0</v>
      </c>
      <c r="EX27" s="338">
        <f>SUMIF(PE_CP,MID(EU27,1,1)&amp;"*",PE_M)</f>
        <v>0</v>
      </c>
      <c r="EY27" s="338">
        <f>+EW27+EX27</f>
        <v>0</v>
      </c>
      <c r="EZ27" s="338">
        <f>SUMIF(PE_CP,MID(EU27,1,1)&amp;"*",PE_D)</f>
        <v>0</v>
      </c>
      <c r="FA27" s="338">
        <f>SUMIF(PE_CP,MID(EU27,1,1)&amp;"*",PE_P)</f>
        <v>0</v>
      </c>
      <c r="FB27" s="338">
        <f>+EY27-EZ27</f>
        <v>0</v>
      </c>
    </row>
    <row r="28" spans="1:158" ht="10.15" customHeight="1">
      <c r="A28" s="346"/>
      <c r="B28" s="31">
        <v>2140</v>
      </c>
      <c r="C28" s="15" t="s">
        <v>41</v>
      </c>
      <c r="D28" s="112">
        <f ca="1">-SUMIF(BC[],MID(B28,1,3)&amp;"*",bc_2017)</f>
        <v>0</v>
      </c>
      <c r="E28" s="112">
        <f ca="1">-SUMIF(BC[],MID(B28,1,3)&amp;"*",bc_2016)</f>
        <v>0</v>
      </c>
      <c r="F28" s="24"/>
      <c r="G28" s="346"/>
      <c r="H28" s="346"/>
      <c r="I28" s="21">
        <v>5200</v>
      </c>
      <c r="J28" s="61" t="s">
        <v>207</v>
      </c>
      <c r="K28" s="111">
        <f ca="1">SUM(K29:K37)</f>
        <v>0</v>
      </c>
      <c r="L28" s="111">
        <f ca="1">SUM(L29:L37)</f>
        <v>0</v>
      </c>
      <c r="M28" s="77"/>
      <c r="N28" s="346"/>
      <c r="O28" s="346"/>
      <c r="P28" s="44"/>
      <c r="Q28" s="44"/>
      <c r="R28" s="47"/>
      <c r="S28" s="47"/>
      <c r="T28" s="47"/>
      <c r="U28" s="47"/>
      <c r="V28" s="118">
        <f ca="1">+V17-E40</f>
        <v>0</v>
      </c>
      <c r="W28" s="346"/>
      <c r="X28" s="346"/>
      <c r="Y28" s="31">
        <v>2140</v>
      </c>
      <c r="Z28" s="15" t="s">
        <v>41</v>
      </c>
      <c r="AA28" s="120">
        <f t="shared" ca="1" si="102"/>
        <v>0</v>
      </c>
      <c r="AB28" s="120">
        <f t="shared" ca="1" si="103"/>
        <v>0</v>
      </c>
      <c r="AC28" s="346"/>
      <c r="AD28" s="346"/>
      <c r="AE28" s="36">
        <v>5280</v>
      </c>
      <c r="AF28" s="15" t="s">
        <v>124</v>
      </c>
      <c r="AG28" s="112">
        <f ca="1">SUMIF(BC[],MID(AE28,1,3)&amp;"*",bc_2017)</f>
        <v>0</v>
      </c>
      <c r="AH28" s="112">
        <f ca="1">SUMIF(BC[],MID(AE28,1,3)&amp;"*",bc_2016)</f>
        <v>0</v>
      </c>
      <c r="AI28" s="24"/>
      <c r="AJ28" s="346"/>
      <c r="AK28" s="346"/>
      <c r="AL28" s="17"/>
      <c r="AM28" s="17"/>
      <c r="AN28" s="17"/>
      <c r="AO28" s="49"/>
      <c r="AP28" s="17"/>
      <c r="AQ28" s="42"/>
      <c r="AR28" s="18"/>
      <c r="AS28" s="346"/>
      <c r="AT28" s="346"/>
      <c r="AU28" s="37">
        <v>900005</v>
      </c>
      <c r="AV28" s="78" t="s">
        <v>91</v>
      </c>
      <c r="AW28" s="137"/>
      <c r="AX28" s="137"/>
      <c r="AY28" s="115">
        <f ca="1">AY19+AY23</f>
        <v>0</v>
      </c>
      <c r="AZ28" s="115">
        <f ca="1">AZ19+AZ23</f>
        <v>0</v>
      </c>
      <c r="BA28" s="346"/>
      <c r="BB28" s="346"/>
      <c r="BC28" s="65" t="s">
        <v>1540</v>
      </c>
      <c r="BD28" s="383" t="s">
        <v>381</v>
      </c>
      <c r="BE28" s="346"/>
      <c r="BF28" s="346"/>
      <c r="BG28" s="426">
        <v>1</v>
      </c>
      <c r="BH28" s="12" t="s">
        <v>763</v>
      </c>
      <c r="BI28" s="335">
        <f t="shared" ref="BI28:BN28" si="117">+BI29</f>
        <v>79363812.950000003</v>
      </c>
      <c r="BJ28" s="335">
        <f t="shared" si="117"/>
        <v>7037426.1300000008</v>
      </c>
      <c r="BK28" s="335">
        <f t="shared" si="117"/>
        <v>86401239.080000013</v>
      </c>
      <c r="BL28" s="335">
        <f t="shared" si="117"/>
        <v>86401234.179999992</v>
      </c>
      <c r="BM28" s="335">
        <f t="shared" si="117"/>
        <v>86401234.179999992</v>
      </c>
      <c r="BN28" s="335">
        <f t="shared" si="117"/>
        <v>7037421.2299999874</v>
      </c>
      <c r="BO28" s="335">
        <f t="shared" si="116"/>
        <v>7037421.2299999874</v>
      </c>
      <c r="BP28" s="346"/>
      <c r="BQ28" s="346"/>
      <c r="BR28" s="1025"/>
      <c r="BS28" s="1026"/>
      <c r="BT28" s="1026"/>
      <c r="BU28" s="1026"/>
      <c r="BV28" s="1026"/>
      <c r="BW28" s="1026"/>
      <c r="BX28" s="1026"/>
      <c r="BY28" s="1026"/>
      <c r="BZ28" s="1027"/>
      <c r="CA28" s="346"/>
      <c r="CB28" s="346"/>
      <c r="CC28" s="17"/>
      <c r="CD28" s="17"/>
      <c r="CE28" s="17"/>
      <c r="CF28" s="49"/>
      <c r="CG28" s="17"/>
      <c r="CH28" s="11"/>
      <c r="CI28" s="11"/>
      <c r="CJ28" s="11"/>
      <c r="CK28" s="11"/>
      <c r="CL28" s="346"/>
      <c r="CM28" s="346"/>
      <c r="CW28" s="346"/>
      <c r="DG28" s="346"/>
      <c r="DH28" s="72">
        <v>3400</v>
      </c>
      <c r="DI28" s="73" t="s">
        <v>201</v>
      </c>
      <c r="DJ28" s="338">
        <f t="shared" si="110"/>
        <v>168973.96</v>
      </c>
      <c r="DK28" s="338">
        <f t="shared" si="111"/>
        <v>21766.150000000005</v>
      </c>
      <c r="DL28" s="338">
        <f t="shared" si="41"/>
        <v>190740.11</v>
      </c>
      <c r="DM28" s="338">
        <f t="shared" si="112"/>
        <v>190740.11</v>
      </c>
      <c r="DN28" s="338">
        <f t="shared" si="113"/>
        <v>190740.11</v>
      </c>
      <c r="DO28" s="338">
        <f t="shared" si="44"/>
        <v>0</v>
      </c>
      <c r="DP28" s="346"/>
      <c r="DQ28" s="346"/>
      <c r="DR28" s="237">
        <v>36</v>
      </c>
      <c r="DS28" s="238" t="s">
        <v>685</v>
      </c>
      <c r="DT28" s="338">
        <f t="shared" si="104"/>
        <v>0</v>
      </c>
      <c r="DU28" s="338">
        <f t="shared" si="105"/>
        <v>0</v>
      </c>
      <c r="DV28" s="338">
        <f t="shared" si="49"/>
        <v>0</v>
      </c>
      <c r="DW28" s="338">
        <f t="shared" si="106"/>
        <v>0</v>
      </c>
      <c r="DX28" s="338">
        <f t="shared" si="107"/>
        <v>0</v>
      </c>
      <c r="DY28" s="338">
        <f t="shared" si="50"/>
        <v>0</v>
      </c>
      <c r="EA28" s="346"/>
      <c r="EB28" s="95"/>
      <c r="EC28" s="271"/>
      <c r="ED28" s="271"/>
      <c r="EE28" s="271"/>
      <c r="EF28" s="271"/>
      <c r="EG28" s="346"/>
      <c r="EH28" s="346"/>
      <c r="EI28" s="67"/>
      <c r="EJ28" s="95"/>
      <c r="EK28" s="95"/>
      <c r="EL28" s="95"/>
      <c r="EM28" s="95"/>
      <c r="EN28" s="95"/>
      <c r="EO28" s="17"/>
      <c r="EP28" s="17"/>
      <c r="EQ28" s="17"/>
      <c r="ER28" s="95"/>
      <c r="ES28" s="346"/>
      <c r="ET28" s="346"/>
      <c r="EU28" s="82" t="s">
        <v>342</v>
      </c>
      <c r="EV28" s="83" t="s">
        <v>343</v>
      </c>
      <c r="EW28" s="338">
        <f>SUMIF(PE_CP,MID(EU28,1,1)&amp;"*",PE_A)</f>
        <v>0</v>
      </c>
      <c r="EX28" s="338">
        <f>SUMIF(PE_CP,MID(EU28,1,1)&amp;"*",PE_M)</f>
        <v>0</v>
      </c>
      <c r="EY28" s="338">
        <f>+EW28+EX28</f>
        <v>0</v>
      </c>
      <c r="EZ28" s="338">
        <f>SUMIF(PE_CP,MID(EU28,1,1)&amp;"*",PE_D)</f>
        <v>0</v>
      </c>
      <c r="FA28" s="338">
        <f>SUMIF(PE_CP,MID(EU28,1,1)&amp;"*",PE_P)</f>
        <v>0</v>
      </c>
      <c r="FB28" s="338">
        <f>+EY28-EZ28</f>
        <v>0</v>
      </c>
    </row>
    <row r="29" spans="1:158" ht="10.15" customHeight="1">
      <c r="A29" s="346"/>
      <c r="B29" s="31">
        <v>2150</v>
      </c>
      <c r="C29" s="15" t="s">
        <v>42</v>
      </c>
      <c r="D29" s="112">
        <f ca="1">-SUMIF(BC[],MID(B29,1,3)&amp;"*",bc_2017)</f>
        <v>18500</v>
      </c>
      <c r="E29" s="112">
        <f ca="1">-SUMIF(BC[],MID(B29,1,3)&amp;"*",bc_2016)</f>
        <v>18500</v>
      </c>
      <c r="F29" s="24"/>
      <c r="G29" s="346"/>
      <c r="H29" s="346"/>
      <c r="I29" s="31">
        <v>5210</v>
      </c>
      <c r="J29" s="76" t="s">
        <v>117</v>
      </c>
      <c r="K29" s="112">
        <f ca="1">SUMIF(BC[],MID(I29,1,3)&amp;"*",bc_2017)</f>
        <v>0</v>
      </c>
      <c r="L29" s="112">
        <f ca="1">SUMIF(BC[],MID(I29,1,3)&amp;"*",bc_2016)</f>
        <v>0</v>
      </c>
      <c r="M29" s="77"/>
      <c r="N29" s="346"/>
      <c r="O29" s="346"/>
      <c r="P29" s="44"/>
      <c r="Q29" s="44"/>
      <c r="R29" s="47"/>
      <c r="S29" s="47"/>
      <c r="T29" s="47"/>
      <c r="U29" s="47"/>
      <c r="V29" s="118">
        <f ca="1">+V27-D40</f>
        <v>0</v>
      </c>
      <c r="W29" s="346"/>
      <c r="X29" s="346"/>
      <c r="Y29" s="31">
        <v>2150</v>
      </c>
      <c r="Z29" s="15" t="s">
        <v>42</v>
      </c>
      <c r="AA29" s="120">
        <f t="shared" ca="1" si="102"/>
        <v>0</v>
      </c>
      <c r="AB29" s="120">
        <f t="shared" ca="1" si="103"/>
        <v>0</v>
      </c>
      <c r="AC29" s="346"/>
      <c r="AD29" s="346"/>
      <c r="AE29" s="36">
        <v>5290</v>
      </c>
      <c r="AF29" s="15" t="s">
        <v>125</v>
      </c>
      <c r="AG29" s="112">
        <f ca="1">SUMIF(BC[],MID(AE29,1,3)&amp;"*",bc_2017)</f>
        <v>0</v>
      </c>
      <c r="AH29" s="112">
        <f ca="1">SUMIF(BC[],MID(AE29,1,3)&amp;"*",bc_2016)</f>
        <v>0</v>
      </c>
      <c r="AI29" s="24"/>
      <c r="AJ29" s="346"/>
      <c r="AK29" s="346"/>
      <c r="AL29" s="17"/>
      <c r="AM29" s="17"/>
      <c r="AN29" s="17"/>
      <c r="AO29" s="49"/>
      <c r="AP29" s="17"/>
      <c r="AQ29" s="42"/>
      <c r="AR29" s="18"/>
      <c r="AS29" s="346"/>
      <c r="AT29" s="346"/>
      <c r="AU29" s="37">
        <v>900006</v>
      </c>
      <c r="AV29" s="78" t="s">
        <v>92</v>
      </c>
      <c r="AW29" s="137"/>
      <c r="AX29" s="137"/>
      <c r="AY29" s="115">
        <f ca="1">+AY30-AY6</f>
        <v>5457146.0099999998</v>
      </c>
      <c r="AZ29" s="115">
        <f ca="1">+AZ30-AZ6</f>
        <v>7271230.9600000009</v>
      </c>
      <c r="BA29" s="346"/>
      <c r="BB29" s="346"/>
      <c r="BC29" s="71"/>
      <c r="BD29" s="383"/>
      <c r="BE29" s="346"/>
      <c r="BF29" s="346"/>
      <c r="BG29" s="34">
        <v>1.1000000000000001</v>
      </c>
      <c r="BH29" s="11" t="s">
        <v>765</v>
      </c>
      <c r="BI29" s="333">
        <f t="shared" ref="BI29:BN29" si="118">+BI30+BI31</f>
        <v>79363812.950000003</v>
      </c>
      <c r="BJ29" s="333">
        <f t="shared" si="118"/>
        <v>7037426.1300000008</v>
      </c>
      <c r="BK29" s="333">
        <f t="shared" si="118"/>
        <v>86401239.080000013</v>
      </c>
      <c r="BL29" s="333">
        <f t="shared" si="118"/>
        <v>86401234.179999992</v>
      </c>
      <c r="BM29" s="333">
        <f t="shared" si="118"/>
        <v>86401234.179999992</v>
      </c>
      <c r="BN29" s="333">
        <f t="shared" si="118"/>
        <v>7037421.2299999874</v>
      </c>
      <c r="BO29" s="333">
        <f t="shared" si="116"/>
        <v>7037421.2299999874</v>
      </c>
      <c r="BP29" s="346"/>
      <c r="BQ29" s="346"/>
      <c r="BR29" s="1045" t="s">
        <v>225</v>
      </c>
      <c r="BS29" s="1045" t="s">
        <v>71</v>
      </c>
      <c r="BT29" s="1047" t="s">
        <v>228</v>
      </c>
      <c r="BU29" s="1047" t="s">
        <v>254</v>
      </c>
      <c r="BV29" s="1047" t="s">
        <v>230</v>
      </c>
      <c r="BW29" s="1047" t="s">
        <v>231</v>
      </c>
      <c r="BX29" s="1047" t="s">
        <v>232</v>
      </c>
      <c r="BY29" s="1047" t="s">
        <v>233</v>
      </c>
      <c r="BZ29" s="1047" t="s">
        <v>234</v>
      </c>
      <c r="CA29" s="346"/>
      <c r="CB29" s="346"/>
      <c r="CC29" s="17"/>
      <c r="CD29" s="17"/>
      <c r="CE29" s="17"/>
      <c r="CF29" s="49"/>
      <c r="CG29" s="17"/>
      <c r="CH29" s="11"/>
      <c r="CI29" s="11"/>
      <c r="CJ29" s="11"/>
      <c r="CK29" s="11"/>
      <c r="CL29" s="346"/>
      <c r="CM29" s="346"/>
      <c r="CW29" s="346"/>
      <c r="DG29" s="346"/>
      <c r="DH29" s="72">
        <v>3500</v>
      </c>
      <c r="DI29" s="73" t="s">
        <v>202</v>
      </c>
      <c r="DJ29" s="338">
        <f t="shared" si="110"/>
        <v>725418.49</v>
      </c>
      <c r="DK29" s="338">
        <f t="shared" si="111"/>
        <v>-258208.96000000011</v>
      </c>
      <c r="DL29" s="338">
        <f t="shared" si="41"/>
        <v>467209.52999999991</v>
      </c>
      <c r="DM29" s="338">
        <f t="shared" si="112"/>
        <v>467209.53</v>
      </c>
      <c r="DN29" s="338">
        <f t="shared" si="113"/>
        <v>467209.53</v>
      </c>
      <c r="DO29" s="338">
        <f t="shared" si="44"/>
        <v>0</v>
      </c>
      <c r="DP29" s="346"/>
      <c r="DQ29" s="346"/>
      <c r="DR29" s="237">
        <v>37</v>
      </c>
      <c r="DS29" s="238" t="s">
        <v>686</v>
      </c>
      <c r="DT29" s="338">
        <f t="shared" si="104"/>
        <v>0</v>
      </c>
      <c r="DU29" s="338">
        <f t="shared" si="105"/>
        <v>0</v>
      </c>
      <c r="DV29" s="338">
        <f t="shared" si="49"/>
        <v>0</v>
      </c>
      <c r="DW29" s="338">
        <f t="shared" si="106"/>
        <v>0</v>
      </c>
      <c r="DX29" s="338">
        <f t="shared" si="107"/>
        <v>0</v>
      </c>
      <c r="DY29" s="338">
        <f t="shared" si="50"/>
        <v>0</v>
      </c>
      <c r="EA29" s="346"/>
      <c r="EB29" s="95"/>
      <c r="EC29" s="989" t="s">
        <v>361</v>
      </c>
      <c r="ED29" s="989"/>
      <c r="EE29" s="989"/>
      <c r="EF29" s="989"/>
      <c r="EG29" s="346"/>
      <c r="EH29" s="346"/>
      <c r="EI29" s="67"/>
      <c r="EJ29" s="989" t="s">
        <v>361</v>
      </c>
      <c r="EK29" s="989"/>
      <c r="EL29" s="989"/>
      <c r="EM29" s="58"/>
      <c r="EN29" s="58"/>
      <c r="EO29" s="346"/>
      <c r="EP29" s="346"/>
      <c r="EQ29" s="346"/>
      <c r="ER29" s="346"/>
      <c r="ES29" s="346"/>
      <c r="ET29" s="346"/>
      <c r="EU29" s="82" t="s">
        <v>344</v>
      </c>
      <c r="EV29" s="83" t="s">
        <v>345</v>
      </c>
      <c r="EW29" s="338">
        <f>SUMIF(PE_CP,MID(EU29,1,1)&amp;"*",PE_A)</f>
        <v>0</v>
      </c>
      <c r="EX29" s="338">
        <f>SUMIF(PE_CP,MID(EU29,1,1)&amp;"*",PE_M)</f>
        <v>0</v>
      </c>
      <c r="EY29" s="338">
        <f>+EW29+EX29</f>
        <v>0</v>
      </c>
      <c r="EZ29" s="338">
        <f>SUMIF(PE_CP,MID(EU29,1,1)&amp;"*",PE_D)</f>
        <v>0</v>
      </c>
      <c r="FA29" s="338">
        <f>SUMIF(PE_CP,MID(EU29,1,1)&amp;"*",PE_P)</f>
        <v>0</v>
      </c>
      <c r="FB29" s="338">
        <f>+EY29-EZ29</f>
        <v>0</v>
      </c>
    </row>
    <row r="30" spans="1:158" ht="10.15" customHeight="1">
      <c r="A30" s="346"/>
      <c r="B30" s="31">
        <v>2160</v>
      </c>
      <c r="C30" s="15" t="s">
        <v>364</v>
      </c>
      <c r="D30" s="112">
        <f ca="1">-SUMIF(BC[],MID(B30,1,3)&amp;"*",bc_2017)</f>
        <v>0</v>
      </c>
      <c r="E30" s="112">
        <f ca="1">-SUMIF(BC[],MID(B30,1,3)&amp;"*",bc_2016)</f>
        <v>0</v>
      </c>
      <c r="F30" s="24" t="s">
        <v>45</v>
      </c>
      <c r="G30" s="346"/>
      <c r="H30" s="346"/>
      <c r="I30" s="31">
        <v>5220</v>
      </c>
      <c r="J30" s="76" t="s">
        <v>118</v>
      </c>
      <c r="K30" s="112">
        <f ca="1">SUMIF(BC[],MID(I30,1,3)&amp;"*",bc_2017)</f>
        <v>0</v>
      </c>
      <c r="L30" s="112">
        <f ca="1">SUMIF(BC[],MID(I30,1,3)&amp;"*",bc_2016)</f>
        <v>0</v>
      </c>
      <c r="M30" s="77"/>
      <c r="N30" s="346"/>
      <c r="O30" s="346"/>
      <c r="P30" s="1042" t="s">
        <v>361</v>
      </c>
      <c r="Q30" s="1042"/>
      <c r="R30" s="1042"/>
      <c r="S30" s="1042"/>
      <c r="T30" s="1042"/>
      <c r="U30" s="1042"/>
      <c r="V30" s="1042"/>
      <c r="W30" s="346"/>
      <c r="X30" s="346"/>
      <c r="Y30" s="31">
        <v>2160</v>
      </c>
      <c r="Z30" s="15" t="s">
        <v>44</v>
      </c>
      <c r="AA30" s="120">
        <f t="shared" ca="1" si="102"/>
        <v>0</v>
      </c>
      <c r="AB30" s="120">
        <f t="shared" ca="1" si="103"/>
        <v>0</v>
      </c>
      <c r="AC30" s="346"/>
      <c r="AD30" s="346"/>
      <c r="AE30" s="36">
        <v>5310</v>
      </c>
      <c r="AF30" s="15" t="s">
        <v>126</v>
      </c>
      <c r="AG30" s="112">
        <f ca="1">SUMIF(BC[],MID(AE30,1,3)&amp;"*",bc_2017)</f>
        <v>0</v>
      </c>
      <c r="AH30" s="112">
        <f ca="1">SUMIF(BC[],MID(AE30,1,3)&amp;"*",bc_2016)</f>
        <v>0</v>
      </c>
      <c r="AI30" s="24"/>
      <c r="AJ30" s="346"/>
      <c r="AK30" s="346"/>
      <c r="AL30" s="17"/>
      <c r="AM30" s="17"/>
      <c r="AN30" s="17"/>
      <c r="AO30" s="49"/>
      <c r="AP30" s="17"/>
      <c r="AQ30" s="42"/>
      <c r="AR30" s="18"/>
      <c r="AS30" s="346"/>
      <c r="AT30" s="346"/>
      <c r="AU30" s="50">
        <v>2000</v>
      </c>
      <c r="AV30" s="89" t="s">
        <v>93</v>
      </c>
      <c r="AW30" s="138"/>
      <c r="AX30" s="138"/>
      <c r="AY30" s="113">
        <f ca="1">-SUMIF(BC[],"2*",bc_2016)</f>
        <v>5457146.0099999998</v>
      </c>
      <c r="AZ30" s="113">
        <f ca="1">-SUMIF(BC[],"2*",bc_2017)</f>
        <v>7271230.9600000009</v>
      </c>
      <c r="BA30" s="346"/>
      <c r="BB30" s="346"/>
      <c r="BC30" s="71"/>
      <c r="BD30" s="383"/>
      <c r="BE30" s="346"/>
      <c r="BF30" s="346"/>
      <c r="BG30" s="34" t="s">
        <v>750</v>
      </c>
      <c r="BH30" s="11" t="s">
        <v>764</v>
      </c>
      <c r="BI30" s="333">
        <f>SUMIF(pi_ce,MID(BG30,1,5),pi_e)</f>
        <v>1312000</v>
      </c>
      <c r="BJ30" s="333">
        <f>SUMIF(pi_ce,MID(BG30,1,5),pi_m)</f>
        <v>1613534.31</v>
      </c>
      <c r="BK30" s="333">
        <f t="shared" ref="BK30:BK36" si="119">+BI30+BJ30</f>
        <v>2925534.31</v>
      </c>
      <c r="BL30" s="333">
        <f>SUMIF(pi_ce,MID(BG30,1,5),pi_d)</f>
        <v>2925534.31</v>
      </c>
      <c r="BM30" s="333">
        <f>SUMIF(pi_ce,MID(BG30,1,5),pi_r)</f>
        <v>2925534.31</v>
      </c>
      <c r="BN30" s="333">
        <f t="shared" ref="BN30:BN36" si="120">+BM30-BI30</f>
        <v>1613534.31</v>
      </c>
      <c r="BO30" s="333">
        <f t="shared" si="116"/>
        <v>1613534.31</v>
      </c>
      <c r="BP30" s="346"/>
      <c r="BQ30" s="346"/>
      <c r="BR30" s="1046"/>
      <c r="BS30" s="1046"/>
      <c r="BT30" s="1048"/>
      <c r="BU30" s="1048"/>
      <c r="BV30" s="1048"/>
      <c r="BW30" s="1048"/>
      <c r="BX30" s="1048"/>
      <c r="BY30" s="1048"/>
      <c r="BZ30" s="1048"/>
      <c r="CA30" s="346"/>
      <c r="CB30" s="346"/>
      <c r="CC30" s="17"/>
      <c r="CD30" s="17"/>
      <c r="CE30" s="17"/>
      <c r="CF30" s="49"/>
      <c r="CG30" s="17"/>
      <c r="CH30" s="11"/>
      <c r="CI30" s="11"/>
      <c r="CJ30" s="11"/>
      <c r="CK30" s="11"/>
      <c r="CL30" s="346"/>
      <c r="CM30" s="346"/>
      <c r="CW30" s="346"/>
      <c r="DG30" s="346"/>
      <c r="DH30" s="72">
        <v>3600</v>
      </c>
      <c r="DI30" s="73" t="s">
        <v>203</v>
      </c>
      <c r="DJ30" s="338">
        <f t="shared" si="110"/>
        <v>5081858.47</v>
      </c>
      <c r="DK30" s="338">
        <f t="shared" si="111"/>
        <v>65755.799999999988</v>
      </c>
      <c r="DL30" s="338">
        <f t="shared" si="41"/>
        <v>5147614.2699999996</v>
      </c>
      <c r="DM30" s="338">
        <f t="shared" si="112"/>
        <v>5147614.2700000005</v>
      </c>
      <c r="DN30" s="338">
        <f t="shared" si="113"/>
        <v>5147614.2700000005</v>
      </c>
      <c r="DO30" s="338">
        <f t="shared" si="44"/>
        <v>0</v>
      </c>
      <c r="DP30" s="346"/>
      <c r="DQ30" s="346"/>
      <c r="DR30" s="237">
        <v>38</v>
      </c>
      <c r="DS30" s="238" t="s">
        <v>687</v>
      </c>
      <c r="DT30" s="338">
        <f t="shared" si="104"/>
        <v>0</v>
      </c>
      <c r="DU30" s="338">
        <f t="shared" si="105"/>
        <v>0</v>
      </c>
      <c r="DV30" s="338">
        <f t="shared" si="49"/>
        <v>0</v>
      </c>
      <c r="DW30" s="338">
        <f t="shared" si="106"/>
        <v>0</v>
      </c>
      <c r="DX30" s="338">
        <f t="shared" si="107"/>
        <v>0</v>
      </c>
      <c r="DY30" s="338">
        <f t="shared" si="50"/>
        <v>0</v>
      </c>
      <c r="EA30" s="346"/>
      <c r="EB30" s="95"/>
      <c r="EC30" s="989"/>
      <c r="ED30" s="989"/>
      <c r="EE30" s="989"/>
      <c r="EF30" s="989"/>
      <c r="EG30" s="346"/>
      <c r="EH30" s="346"/>
      <c r="EI30" s="67"/>
      <c r="EJ30" s="989"/>
      <c r="EK30" s="989"/>
      <c r="EL30" s="989"/>
      <c r="EM30" s="67"/>
      <c r="EN30" s="67"/>
      <c r="EO30" s="346"/>
      <c r="EP30" s="346"/>
      <c r="EQ30" s="346"/>
      <c r="ER30" s="346"/>
      <c r="ES30" s="346"/>
      <c r="ET30" s="346"/>
      <c r="EU30" s="82" t="s">
        <v>346</v>
      </c>
      <c r="EV30" s="83" t="s">
        <v>347</v>
      </c>
      <c r="EW30" s="338">
        <f>SUMIF(PE_CP,MID(EU30,1,1)&amp;"*",PE_A)</f>
        <v>0</v>
      </c>
      <c r="EX30" s="338">
        <f>SUMIF(PE_CP,MID(EU30,1,1)&amp;"*",PE_M)</f>
        <v>0</v>
      </c>
      <c r="EY30" s="338">
        <f>+EW30+EX30</f>
        <v>0</v>
      </c>
      <c r="EZ30" s="338">
        <f>SUMIF(PE_CP,MID(EU30,1,1)&amp;"*",PE_D)</f>
        <v>0</v>
      </c>
      <c r="FA30" s="338">
        <f>SUMIF(PE_CP,MID(EU30,1,1)&amp;"*",PE_P)</f>
        <v>0</v>
      </c>
      <c r="FB30" s="338">
        <f>+EY30-EZ30</f>
        <v>0</v>
      </c>
    </row>
    <row r="31" spans="1:158">
      <c r="A31" s="346"/>
      <c r="B31" s="31">
        <v>2170</v>
      </c>
      <c r="C31" s="15" t="s">
        <v>46</v>
      </c>
      <c r="D31" s="112">
        <f ca="1">-SUMIF(BC[],MID(B31,1,3)&amp;"*",bc_2017)</f>
        <v>0</v>
      </c>
      <c r="E31" s="112">
        <f ca="1">-SUMIF(BC[],MID(B31,1,3)&amp;"*",bc_2016)</f>
        <v>0</v>
      </c>
      <c r="F31" s="24"/>
      <c r="G31" s="346"/>
      <c r="H31" s="346"/>
      <c r="I31" s="31">
        <v>5230</v>
      </c>
      <c r="J31" s="76" t="s">
        <v>119</v>
      </c>
      <c r="K31" s="112">
        <f ca="1">SUMIF(BC[],MID(I31,1,3)&amp;"*",bc_2017)</f>
        <v>0</v>
      </c>
      <c r="L31" s="112">
        <f ca="1">SUMIF(BC[],MID(I31,1,3)&amp;"*",bc_2016)</f>
        <v>0</v>
      </c>
      <c r="M31" s="77"/>
      <c r="N31" s="346"/>
      <c r="O31" s="346"/>
      <c r="P31" s="17"/>
      <c r="Q31" s="17"/>
      <c r="R31" s="17"/>
      <c r="S31" s="49"/>
      <c r="T31" s="17"/>
      <c r="U31" s="42"/>
      <c r="V31" s="42"/>
      <c r="W31" s="346"/>
      <c r="X31" s="346"/>
      <c r="Y31" s="31">
        <v>2170</v>
      </c>
      <c r="Z31" s="15" t="s">
        <v>46</v>
      </c>
      <c r="AA31" s="120">
        <f t="shared" ca="1" si="102"/>
        <v>0</v>
      </c>
      <c r="AB31" s="120">
        <f t="shared" ca="1" si="103"/>
        <v>0</v>
      </c>
      <c r="AC31" s="346"/>
      <c r="AD31" s="346"/>
      <c r="AE31" s="36">
        <v>5320</v>
      </c>
      <c r="AF31" s="15" t="s">
        <v>59</v>
      </c>
      <c r="AG31" s="112">
        <f ca="1">SUMIF(BC[],MID(AE31,1,3)&amp;"*",bc_2017)</f>
        <v>0</v>
      </c>
      <c r="AH31" s="112">
        <f ca="1">SUMIF(BC[],MID(AE31,1,3)&amp;"*",bc_2016)</f>
        <v>0</v>
      </c>
      <c r="AI31" s="24"/>
      <c r="AJ31" s="346"/>
      <c r="AK31" s="346"/>
      <c r="AL31" s="17"/>
      <c r="AM31" s="17"/>
      <c r="AN31" s="17"/>
      <c r="AO31" s="49"/>
      <c r="AP31" s="17"/>
      <c r="AQ31" s="42"/>
      <c r="AR31" s="18"/>
      <c r="AS31" s="346"/>
      <c r="AT31" s="346"/>
      <c r="AU31" s="44"/>
      <c r="AV31" s="44"/>
      <c r="AW31" s="47"/>
      <c r="AX31" s="47"/>
      <c r="AY31" s="47"/>
      <c r="AZ31" s="47"/>
      <c r="BA31" s="346"/>
      <c r="BB31" s="346"/>
      <c r="BC31" s="71"/>
      <c r="BD31" s="383"/>
      <c r="BE31" s="346"/>
      <c r="BF31" s="346"/>
      <c r="BG31" s="34" t="s">
        <v>740</v>
      </c>
      <c r="BH31" s="11" t="s">
        <v>766</v>
      </c>
      <c r="BI31" s="333">
        <f>SUMIF(pi_ce,MID(BG31,1,5),pi_e)</f>
        <v>78051812.950000003</v>
      </c>
      <c r="BJ31" s="333">
        <f>SUMIF(pi_ce,MID(BG31,1,5),pi_m)</f>
        <v>5423891.8200000003</v>
      </c>
      <c r="BK31" s="333">
        <f t="shared" si="119"/>
        <v>83475704.770000011</v>
      </c>
      <c r="BL31" s="333">
        <f>SUMIF(pi_ce,MID(BG31,1,5),pi_d)</f>
        <v>83475699.86999999</v>
      </c>
      <c r="BM31" s="333">
        <f>SUMIF(pi_ce,MID(BG31,1,5),pi_r)</f>
        <v>83475699.86999999</v>
      </c>
      <c r="BN31" s="333">
        <f t="shared" si="120"/>
        <v>5423886.9199999869</v>
      </c>
      <c r="BO31" s="333">
        <f t="shared" si="116"/>
        <v>5423886.9199999869</v>
      </c>
      <c r="BP31" s="346"/>
      <c r="BQ31" s="346"/>
      <c r="BR31" s="29"/>
      <c r="BS31" s="427" t="s">
        <v>235</v>
      </c>
      <c r="BT31" s="332">
        <f>+BT32+BT40</f>
        <v>80405840.510000005</v>
      </c>
      <c r="BU31" s="332">
        <f t="shared" ref="BU31:BY31" si="121">+BU32+BU40</f>
        <v>8457903.8100000005</v>
      </c>
      <c r="BV31" s="332">
        <f t="shared" si="121"/>
        <v>88863744.320000008</v>
      </c>
      <c r="BW31" s="332">
        <f t="shared" si="121"/>
        <v>88863739.419999987</v>
      </c>
      <c r="BX31" s="332">
        <f t="shared" si="121"/>
        <v>88863739.419999987</v>
      </c>
      <c r="BY31" s="332">
        <f t="shared" si="121"/>
        <v>8457898.9099999797</v>
      </c>
      <c r="BZ31" s="332">
        <f t="shared" ref="BZ31:BZ43" si="122">IF(BY31&gt;0,BY31,0)</f>
        <v>8457898.9099999797</v>
      </c>
      <c r="CA31" s="346"/>
      <c r="CB31" s="346"/>
      <c r="CC31" s="17"/>
      <c r="CD31" s="17"/>
      <c r="CE31" s="17"/>
      <c r="CF31" s="49"/>
      <c r="CG31" s="17"/>
      <c r="CH31" s="11"/>
      <c r="CI31" s="11"/>
      <c r="CJ31" s="11"/>
      <c r="CK31" s="11"/>
      <c r="CL31" s="346"/>
      <c r="CM31" s="346"/>
      <c r="CW31" s="346"/>
      <c r="DG31" s="346"/>
      <c r="DH31" s="72">
        <v>3700</v>
      </c>
      <c r="DI31" s="73" t="s">
        <v>204</v>
      </c>
      <c r="DJ31" s="338">
        <f t="shared" si="110"/>
        <v>510777.37999999995</v>
      </c>
      <c r="DK31" s="338">
        <f t="shared" si="111"/>
        <v>-337315.05999999994</v>
      </c>
      <c r="DL31" s="338">
        <f t="shared" si="41"/>
        <v>173462.32</v>
      </c>
      <c r="DM31" s="338">
        <f t="shared" si="112"/>
        <v>173462.32</v>
      </c>
      <c r="DN31" s="338">
        <f t="shared" si="113"/>
        <v>172412.32</v>
      </c>
      <c r="DO31" s="338">
        <f t="shared" si="44"/>
        <v>0</v>
      </c>
      <c r="DP31" s="346"/>
      <c r="DQ31" s="346"/>
      <c r="DR31" s="237">
        <v>39</v>
      </c>
      <c r="DS31" s="238" t="s">
        <v>688</v>
      </c>
      <c r="DT31" s="338">
        <f t="shared" si="104"/>
        <v>0</v>
      </c>
      <c r="DU31" s="338">
        <f t="shared" si="105"/>
        <v>0</v>
      </c>
      <c r="DV31" s="338">
        <f t="shared" si="49"/>
        <v>0</v>
      </c>
      <c r="DW31" s="338">
        <f t="shared" si="106"/>
        <v>0</v>
      </c>
      <c r="DX31" s="338">
        <f t="shared" si="107"/>
        <v>0</v>
      </c>
      <c r="DY31" s="338">
        <f t="shared" si="50"/>
        <v>0</v>
      </c>
      <c r="EA31" s="346"/>
      <c r="EB31" s="346"/>
      <c r="EC31" s="17"/>
      <c r="ED31" s="17"/>
      <c r="EE31" s="17"/>
      <c r="EF31" s="95"/>
      <c r="EG31" s="346"/>
      <c r="EH31" s="346"/>
      <c r="EI31" s="67"/>
      <c r="EJ31" s="67"/>
      <c r="EK31" s="90"/>
      <c r="EL31" s="90"/>
      <c r="EM31" s="67"/>
      <c r="EN31" s="67"/>
      <c r="EO31" s="346"/>
      <c r="EP31" s="346"/>
      <c r="EQ31" s="346"/>
      <c r="ER31" s="346"/>
      <c r="ES31" s="346"/>
      <c r="ET31" s="346"/>
      <c r="EU31" s="32">
        <v>900008</v>
      </c>
      <c r="EV31" s="80" t="s">
        <v>348</v>
      </c>
      <c r="EW31" s="337">
        <f t="shared" ref="EW31:FB31" si="123">SUM(EW32)</f>
        <v>0</v>
      </c>
      <c r="EX31" s="337">
        <f t="shared" si="123"/>
        <v>0</v>
      </c>
      <c r="EY31" s="337">
        <f t="shared" si="123"/>
        <v>0</v>
      </c>
      <c r="EZ31" s="337">
        <f t="shared" si="123"/>
        <v>0</v>
      </c>
      <c r="FA31" s="337">
        <f t="shared" si="123"/>
        <v>0</v>
      </c>
      <c r="FB31" s="337">
        <f t="shared" si="123"/>
        <v>0</v>
      </c>
    </row>
    <row r="32" spans="1:158">
      <c r="A32" s="346"/>
      <c r="B32" s="31">
        <v>2190</v>
      </c>
      <c r="C32" s="15" t="s">
        <v>47</v>
      </c>
      <c r="D32" s="112">
        <f ca="1">-SUMIF(BC[],MID(B32,1,3)&amp;"*",bc_2017)</f>
        <v>0</v>
      </c>
      <c r="E32" s="112">
        <f ca="1">-SUMIF(BC[],MID(B32,1,3)&amp;"*",bc_2016)</f>
        <v>0</v>
      </c>
      <c r="F32" s="24"/>
      <c r="G32" s="346"/>
      <c r="H32" s="346"/>
      <c r="I32" s="31">
        <v>5240</v>
      </c>
      <c r="J32" s="76" t="s">
        <v>120</v>
      </c>
      <c r="K32" s="112">
        <f ca="1">SUMIF(BC[],MID(I32,1,3)&amp;"*",bc_2017)</f>
        <v>0</v>
      </c>
      <c r="L32" s="112">
        <f ca="1">SUMIF(BC[],MID(I32,1,3)&amp;"*",bc_2016)</f>
        <v>0</v>
      </c>
      <c r="M32" s="77"/>
      <c r="N32" s="346"/>
      <c r="O32" s="346"/>
      <c r="P32" s="17"/>
      <c r="Q32" s="17"/>
      <c r="R32" s="17"/>
      <c r="S32" s="49"/>
      <c r="T32" s="17"/>
      <c r="U32" s="42"/>
      <c r="V32" s="42"/>
      <c r="W32" s="346"/>
      <c r="X32" s="346"/>
      <c r="Y32" s="31">
        <v>2190</v>
      </c>
      <c r="Z32" s="15" t="s">
        <v>47</v>
      </c>
      <c r="AA32" s="120">
        <f t="shared" ca="1" si="102"/>
        <v>0</v>
      </c>
      <c r="AB32" s="120">
        <f t="shared" ca="1" si="103"/>
        <v>0</v>
      </c>
      <c r="AC32" s="346"/>
      <c r="AD32" s="346"/>
      <c r="AE32" s="36">
        <v>5330</v>
      </c>
      <c r="AF32" s="15" t="s">
        <v>127</v>
      </c>
      <c r="AG32" s="112">
        <f ca="1">SUMIF(BC[],MID(AE32,1,3)&amp;"*",bc_2017)</f>
        <v>0</v>
      </c>
      <c r="AH32" s="112">
        <f ca="1">SUMIF(BC[],MID(AE32,1,3)&amp;"*",bc_2016)</f>
        <v>0</v>
      </c>
      <c r="AI32" s="24"/>
      <c r="AJ32" s="346"/>
      <c r="AK32" s="346"/>
      <c r="AL32" s="17"/>
      <c r="AM32" s="17"/>
      <c r="AN32" s="17"/>
      <c r="AO32" s="49"/>
      <c r="AP32" s="17"/>
      <c r="AQ32" s="42"/>
      <c r="AR32" s="18"/>
      <c r="AS32" s="346"/>
      <c r="AT32" s="346"/>
      <c r="AU32" s="44"/>
      <c r="AV32" s="44"/>
      <c r="AW32" s="47"/>
      <c r="AX32" s="47"/>
      <c r="AY32" s="47"/>
      <c r="AZ32" s="47"/>
      <c r="BA32" s="346"/>
      <c r="BB32" s="346"/>
      <c r="BC32" s="71"/>
      <c r="BD32" s="383"/>
      <c r="BE32" s="346"/>
      <c r="BF32" s="346"/>
      <c r="BG32" s="426">
        <v>1.2</v>
      </c>
      <c r="BH32" s="12" t="s">
        <v>767</v>
      </c>
      <c r="BI32" s="335">
        <f>+BI33</f>
        <v>1042027.56</v>
      </c>
      <c r="BJ32" s="335">
        <f t="shared" ref="BJ32:BN32" si="124">+BJ33</f>
        <v>1420477.68</v>
      </c>
      <c r="BK32" s="335">
        <f t="shared" si="124"/>
        <v>2462505.2400000002</v>
      </c>
      <c r="BL32" s="335">
        <f>+BL33</f>
        <v>2462505.2400000002</v>
      </c>
      <c r="BM32" s="335">
        <f>+BM33</f>
        <v>2462505.2400000002</v>
      </c>
      <c r="BN32" s="335">
        <f t="shared" si="124"/>
        <v>1420477.6800000002</v>
      </c>
      <c r="BO32" s="335">
        <f t="shared" si="116"/>
        <v>1420477.6800000002</v>
      </c>
      <c r="BP32" s="346"/>
      <c r="BQ32" s="346"/>
      <c r="BR32" s="34"/>
      <c r="BS32" s="12" t="s">
        <v>1580</v>
      </c>
      <c r="BT32" s="335">
        <f t="shared" ref="BT32:BY32" si="125">SUM(BT33:BT39)</f>
        <v>80405840.510000005</v>
      </c>
      <c r="BU32" s="335">
        <f t="shared" si="125"/>
        <v>8457903.8100000005</v>
      </c>
      <c r="BV32" s="335">
        <f t="shared" si="125"/>
        <v>88863744.320000008</v>
      </c>
      <c r="BW32" s="335">
        <f t="shared" si="125"/>
        <v>88863739.419999987</v>
      </c>
      <c r="BX32" s="335">
        <f t="shared" si="125"/>
        <v>88863739.419999987</v>
      </c>
      <c r="BY32" s="335">
        <f t="shared" si="125"/>
        <v>8457898.9099999797</v>
      </c>
      <c r="BZ32" s="335">
        <f t="shared" si="122"/>
        <v>8457898.9099999797</v>
      </c>
      <c r="CA32" s="346"/>
      <c r="CB32" s="346"/>
      <c r="CC32" s="17"/>
      <c r="CD32" s="17"/>
      <c r="CE32" s="17"/>
      <c r="CF32" s="49"/>
      <c r="CG32" s="17"/>
      <c r="CH32" s="11"/>
      <c r="CI32" s="11"/>
      <c r="CJ32" s="11"/>
      <c r="CK32" s="11"/>
      <c r="CL32" s="346"/>
      <c r="CM32" s="346"/>
      <c r="CW32" s="346"/>
      <c r="DG32" s="346"/>
      <c r="DH32" s="72">
        <v>3800</v>
      </c>
      <c r="DI32" s="73" t="s">
        <v>205</v>
      </c>
      <c r="DJ32" s="338">
        <f t="shared" si="110"/>
        <v>1398937.78</v>
      </c>
      <c r="DK32" s="338">
        <f t="shared" si="111"/>
        <v>-42651.470000000016</v>
      </c>
      <c r="DL32" s="338">
        <f t="shared" si="41"/>
        <v>1356286.31</v>
      </c>
      <c r="DM32" s="338">
        <f t="shared" si="112"/>
        <v>1356286.31</v>
      </c>
      <c r="DN32" s="338">
        <f t="shared" si="113"/>
        <v>1356286.31</v>
      </c>
      <c r="DO32" s="338">
        <f t="shared" si="44"/>
        <v>0</v>
      </c>
      <c r="DP32" s="346"/>
      <c r="DQ32" s="346"/>
      <c r="DR32" s="235">
        <v>4</v>
      </c>
      <c r="DS32" s="236" t="s">
        <v>689</v>
      </c>
      <c r="DT32" s="337">
        <f t="shared" ref="DT32:DY32" si="126">SUM(DT33:DT36)</f>
        <v>0</v>
      </c>
      <c r="DU32" s="337">
        <f t="shared" si="126"/>
        <v>0</v>
      </c>
      <c r="DV32" s="337">
        <f t="shared" si="126"/>
        <v>0</v>
      </c>
      <c r="DW32" s="337">
        <f t="shared" si="126"/>
        <v>0</v>
      </c>
      <c r="DX32" s="337">
        <f t="shared" si="126"/>
        <v>0</v>
      </c>
      <c r="DY32" s="337">
        <f t="shared" si="126"/>
        <v>0</v>
      </c>
      <c r="EA32" s="346"/>
      <c r="EB32" s="346"/>
      <c r="EC32" s="17"/>
      <c r="ED32" s="17"/>
      <c r="EE32" s="17"/>
      <c r="EF32" s="95"/>
      <c r="EG32" s="346"/>
      <c r="EH32" s="346"/>
      <c r="EI32" s="67"/>
      <c r="EJ32" s="67"/>
      <c r="EK32" s="90"/>
      <c r="EL32" s="90"/>
      <c r="EM32" s="67"/>
      <c r="EN32" s="67"/>
      <c r="EO32" s="346"/>
      <c r="EP32" s="346"/>
      <c r="EQ32" s="346"/>
      <c r="ER32" s="346"/>
      <c r="ES32" s="346"/>
      <c r="ET32" s="346"/>
      <c r="EU32" s="82" t="s">
        <v>349</v>
      </c>
      <c r="EV32" s="83" t="s">
        <v>350</v>
      </c>
      <c r="EW32" s="338">
        <f>SUMIF(PE_CP,MID(EU32,1,1)&amp;"*",PE_A)</f>
        <v>0</v>
      </c>
      <c r="EX32" s="338">
        <f>SUMIF(PE_CP,MID(EU32,1,1)&amp;"*",PE_M)</f>
        <v>0</v>
      </c>
      <c r="EY32" s="338">
        <f>+EW32+EX32</f>
        <v>0</v>
      </c>
      <c r="EZ32" s="338">
        <f>SUMIF(PE_CP,MID(EU32,1,1)&amp;"*",PE_D)</f>
        <v>0</v>
      </c>
      <c r="FA32" s="338">
        <f>SUMIF(PE_CP,MID(EU32,1,1)&amp;"*",PE_P)</f>
        <v>0</v>
      </c>
      <c r="FB32" s="338">
        <f>+EY32-EZ32</f>
        <v>0</v>
      </c>
    </row>
    <row r="33" spans="1:158">
      <c r="A33" s="346"/>
      <c r="B33" s="21">
        <v>2200</v>
      </c>
      <c r="C33" s="14" t="s">
        <v>48</v>
      </c>
      <c r="D33" s="111">
        <f ca="1">SUM(D34:D39)</f>
        <v>2233972.39</v>
      </c>
      <c r="E33" s="111">
        <f ca="1">SUM(E34:E39)</f>
        <v>2058413.68</v>
      </c>
      <c r="F33" s="24"/>
      <c r="G33" s="346"/>
      <c r="H33" s="346"/>
      <c r="I33" s="31">
        <v>5250</v>
      </c>
      <c r="J33" s="76" t="s">
        <v>121</v>
      </c>
      <c r="K33" s="112">
        <f ca="1">SUMIF(BC[],MID(I33,1,3)&amp;"*",bc_2017)</f>
        <v>0</v>
      </c>
      <c r="L33" s="112">
        <f ca="1">SUMIF(BC[],MID(I33,1,3)&amp;"*",bc_2016)</f>
        <v>0</v>
      </c>
      <c r="M33" s="77"/>
      <c r="N33" s="346"/>
      <c r="O33" s="346"/>
      <c r="P33" s="17"/>
      <c r="Q33" s="17"/>
      <c r="R33" s="17"/>
      <c r="S33" s="49"/>
      <c r="T33" s="17"/>
      <c r="U33" s="42"/>
      <c r="V33" s="42"/>
      <c r="W33" s="346"/>
      <c r="X33" s="346"/>
      <c r="Y33" s="21">
        <v>2200</v>
      </c>
      <c r="Z33" s="14" t="s">
        <v>48</v>
      </c>
      <c r="AA33" s="121">
        <f t="shared" ca="1" si="102"/>
        <v>175558.7100000002</v>
      </c>
      <c r="AB33" s="121">
        <f t="shared" ca="1" si="103"/>
        <v>0</v>
      </c>
      <c r="AC33" s="346"/>
      <c r="AD33" s="346"/>
      <c r="AE33" s="32">
        <v>4500</v>
      </c>
      <c r="AF33" s="76" t="s">
        <v>128</v>
      </c>
      <c r="AG33" s="112">
        <f ca="1">SUMIF(BC[],"54*",bc_2017)</f>
        <v>0</v>
      </c>
      <c r="AH33" s="112">
        <f ca="1">SUMIF(BC[],"54*",bc_2016)</f>
        <v>0</v>
      </c>
      <c r="AI33" s="24"/>
      <c r="AJ33" s="346"/>
      <c r="AK33" s="346"/>
      <c r="AL33" s="17"/>
      <c r="AM33" s="17"/>
      <c r="AN33" s="17"/>
      <c r="AO33" s="49"/>
      <c r="AP33" s="17"/>
      <c r="AQ33" s="42"/>
      <c r="AR33" s="18"/>
      <c r="AS33" s="346"/>
      <c r="AT33" s="346"/>
      <c r="AU33" s="1044" t="s">
        <v>361</v>
      </c>
      <c r="AV33" s="1044"/>
      <c r="AW33" s="1044"/>
      <c r="AX33" s="1044"/>
      <c r="AY33" s="1044"/>
      <c r="AZ33" s="1044"/>
      <c r="BA33" s="346"/>
      <c r="BB33" s="346"/>
      <c r="BC33" s="88"/>
      <c r="BD33" s="384"/>
      <c r="BE33" s="346"/>
      <c r="BF33" s="346"/>
      <c r="BG33" s="34" t="s">
        <v>748</v>
      </c>
      <c r="BH33" s="11" t="s">
        <v>766</v>
      </c>
      <c r="BI33" s="333">
        <f>SUMIF(pi_ce,MID(BG33,1,5),pi_e)</f>
        <v>1042027.56</v>
      </c>
      <c r="BJ33" s="333">
        <f>SUMIF(pi_ce,MID(BG33,1,5),pi_m)</f>
        <v>1420477.68</v>
      </c>
      <c r="BK33" s="333">
        <f t="shared" si="119"/>
        <v>2462505.2400000002</v>
      </c>
      <c r="BL33" s="333">
        <f>SUMIF(pi_ce,MID(BG33,1,5),pi_d)</f>
        <v>2462505.2400000002</v>
      </c>
      <c r="BM33" s="333">
        <f>SUMIF(pi_ce,MID(BG33,1,5),pi_r)</f>
        <v>2462505.2400000002</v>
      </c>
      <c r="BN33" s="333">
        <f t="shared" si="120"/>
        <v>1420477.6800000002</v>
      </c>
      <c r="BO33" s="333">
        <f t="shared" si="116"/>
        <v>1420477.6800000002</v>
      </c>
      <c r="BP33" s="346"/>
      <c r="BQ33" s="346"/>
      <c r="BR33" s="34">
        <v>11</v>
      </c>
      <c r="BS33" s="11" t="s">
        <v>771</v>
      </c>
      <c r="BT33" s="333">
        <f>+BT6+BT18</f>
        <v>80405840.510000005</v>
      </c>
      <c r="BU33" s="333">
        <f t="shared" ref="BU33:BY33" si="127">+BU6+BU18</f>
        <v>8457903.8100000005</v>
      </c>
      <c r="BV33" s="333">
        <f t="shared" si="127"/>
        <v>88863744.320000008</v>
      </c>
      <c r="BW33" s="333">
        <f t="shared" si="127"/>
        <v>88863739.419999987</v>
      </c>
      <c r="BX33" s="333">
        <f t="shared" si="127"/>
        <v>88863739.419999987</v>
      </c>
      <c r="BY33" s="333">
        <f t="shared" si="127"/>
        <v>8457898.9099999797</v>
      </c>
      <c r="BZ33" s="333">
        <f t="shared" si="122"/>
        <v>8457898.9099999797</v>
      </c>
      <c r="CA33" s="346"/>
      <c r="CB33" s="346"/>
      <c r="CC33" s="17"/>
      <c r="CD33" s="17"/>
      <c r="CE33" s="17"/>
      <c r="CF33" s="49"/>
      <c r="CG33" s="17"/>
      <c r="CH33" s="11"/>
      <c r="CI33" s="11"/>
      <c r="CJ33" s="11"/>
      <c r="CK33" s="11"/>
      <c r="CL33" s="346"/>
      <c r="CM33" s="346"/>
      <c r="CW33" s="346"/>
      <c r="DG33" s="346"/>
      <c r="DH33" s="72">
        <v>3900</v>
      </c>
      <c r="DI33" s="73" t="s">
        <v>206</v>
      </c>
      <c r="DJ33" s="338">
        <f t="shared" si="110"/>
        <v>1031681.38</v>
      </c>
      <c r="DK33" s="338">
        <f t="shared" si="111"/>
        <v>141333.20000000001</v>
      </c>
      <c r="DL33" s="338">
        <f t="shared" si="41"/>
        <v>1173014.58</v>
      </c>
      <c r="DM33" s="338">
        <f t="shared" si="112"/>
        <v>1173014.58</v>
      </c>
      <c r="DN33" s="338">
        <f t="shared" si="113"/>
        <v>1173014.58</v>
      </c>
      <c r="DO33" s="338">
        <f t="shared" si="44"/>
        <v>0</v>
      </c>
      <c r="DP33" s="346"/>
      <c r="DQ33" s="346"/>
      <c r="DR33" s="237">
        <v>41</v>
      </c>
      <c r="DS33" s="238" t="s">
        <v>690</v>
      </c>
      <c r="DT33" s="338">
        <f>SUMIF(PE_CFG,MID(DR33,1,1)&amp;"."&amp;MID(DR33,2,1)&amp;".*",PE_A)</f>
        <v>0</v>
      </c>
      <c r="DU33" s="338">
        <f>SUMIF(PE_CFG,MID(DR33,1,1)&amp;"."&amp;MID(DR33,2,1)&amp;".*",PE_M)</f>
        <v>0</v>
      </c>
      <c r="DV33" s="338">
        <f t="shared" si="49"/>
        <v>0</v>
      </c>
      <c r="DW33" s="338">
        <f>SUMIF(PE_CFG,MID(DR33,1,1)&amp;"."&amp;MID(DR33,2,1)&amp;".*",PE_D)</f>
        <v>0</v>
      </c>
      <c r="DX33" s="338">
        <f>SUMIF(PE_CFG,MID(DR33,1,1)&amp;"."&amp;MID(DR33,2,1)&amp;".*",PE_P)</f>
        <v>0</v>
      </c>
      <c r="DY33" s="338">
        <f t="shared" si="50"/>
        <v>0</v>
      </c>
      <c r="EA33" s="346"/>
      <c r="EB33" s="346"/>
      <c r="EC33" s="17"/>
      <c r="ED33" s="17"/>
      <c r="EE33" s="17"/>
      <c r="EF33" s="95"/>
      <c r="EG33" s="346"/>
      <c r="EH33" s="346"/>
      <c r="EI33" s="67"/>
      <c r="EJ33" s="67"/>
      <c r="EK33" s="90"/>
      <c r="EL33" s="90"/>
      <c r="EM33" s="67"/>
      <c r="EN33" s="67"/>
      <c r="EO33" s="346"/>
      <c r="EP33" s="346"/>
      <c r="EQ33" s="346"/>
      <c r="ER33" s="346"/>
      <c r="ES33" s="346"/>
      <c r="ET33" s="346"/>
      <c r="EU33" s="82" t="s">
        <v>351</v>
      </c>
      <c r="EV33" s="73" t="s">
        <v>352</v>
      </c>
      <c r="EW33" s="338">
        <f>SUMIF(PE_CP,MID(EU33,1,1)&amp;"*",PE_A)</f>
        <v>0</v>
      </c>
      <c r="EX33" s="338">
        <f>SUMIF(PE_CP,MID(EU33,1,1)&amp;"*",PE_M)</f>
        <v>0</v>
      </c>
      <c r="EY33" s="338">
        <f>+EW33+EX33</f>
        <v>0</v>
      </c>
      <c r="EZ33" s="338">
        <f>SUMIF(PE_CP,MID(EU33,1,1)&amp;"*",PE_D)</f>
        <v>0</v>
      </c>
      <c r="FA33" s="338">
        <f>SUMIF(PE_CP,MID(EU33,1,1)&amp;"*",PE_P)</f>
        <v>0</v>
      </c>
      <c r="FB33" s="338">
        <f>+EY33-EZ33</f>
        <v>0</v>
      </c>
    </row>
    <row r="34" spans="1:158">
      <c r="A34" s="346"/>
      <c r="B34" s="31">
        <v>2210</v>
      </c>
      <c r="C34" s="15" t="s">
        <v>49</v>
      </c>
      <c r="D34" s="112">
        <f ca="1">-SUMIF(BC[],MID(B34,1,3)&amp;"*",bc_2017)</f>
        <v>0</v>
      </c>
      <c r="E34" s="112">
        <f ca="1">-SUMIF(BC[],MID(B34,1,3)&amp;"*",bc_2016)</f>
        <v>0</v>
      </c>
      <c r="F34" s="24"/>
      <c r="G34" s="346"/>
      <c r="H34" s="346"/>
      <c r="I34" s="31">
        <v>5260</v>
      </c>
      <c r="J34" s="76" t="s">
        <v>122</v>
      </c>
      <c r="K34" s="112">
        <f ca="1">SUMIF(BC[],MID(I34,1,3)&amp;"*",bc_2017)</f>
        <v>0</v>
      </c>
      <c r="L34" s="112">
        <f ca="1">SUMIF(BC[],MID(I34,1,3)&amp;"*",bc_2016)</f>
        <v>0</v>
      </c>
      <c r="M34" s="77"/>
      <c r="N34" s="346"/>
      <c r="O34" s="346"/>
      <c r="P34" s="17"/>
      <c r="Q34" s="17"/>
      <c r="R34" s="17"/>
      <c r="S34" s="49"/>
      <c r="T34" s="17"/>
      <c r="U34" s="42"/>
      <c r="V34" s="42"/>
      <c r="W34" s="346"/>
      <c r="X34" s="346"/>
      <c r="Y34" s="31">
        <v>2210</v>
      </c>
      <c r="Z34" s="15" t="s">
        <v>49</v>
      </c>
      <c r="AA34" s="120">
        <f t="shared" ca="1" si="102"/>
        <v>0</v>
      </c>
      <c r="AB34" s="120">
        <f t="shared" ca="1" si="103"/>
        <v>0</v>
      </c>
      <c r="AC34" s="346"/>
      <c r="AD34" s="346"/>
      <c r="AE34" s="32">
        <v>900003</v>
      </c>
      <c r="AF34" s="61" t="s">
        <v>129</v>
      </c>
      <c r="AG34" s="128">
        <f ca="1">+AG5-AG17</f>
        <v>2925534.3100000024</v>
      </c>
      <c r="AH34" s="128">
        <f ca="1">+AH5-AH17</f>
        <v>905941.17000000179</v>
      </c>
      <c r="AI34" s="24"/>
      <c r="AJ34" s="346"/>
      <c r="AK34" s="346"/>
      <c r="AL34" s="17"/>
      <c r="AM34" s="17"/>
      <c r="AN34" s="17"/>
      <c r="AO34" s="49"/>
      <c r="AP34" s="17"/>
      <c r="AQ34" s="42"/>
      <c r="AR34" s="18"/>
      <c r="AS34" s="346"/>
      <c r="AT34" s="346"/>
      <c r="AU34" s="1044"/>
      <c r="AV34" s="1044"/>
      <c r="AW34" s="1044"/>
      <c r="AX34" s="1044"/>
      <c r="AY34" s="1044"/>
      <c r="AZ34" s="1044"/>
      <c r="BA34" s="346"/>
      <c r="BB34" s="346"/>
      <c r="BC34" s="17"/>
      <c r="BD34" s="17"/>
      <c r="BE34" s="346"/>
      <c r="BF34" s="346"/>
      <c r="BG34" s="426">
        <v>3</v>
      </c>
      <c r="BH34" s="12" t="s">
        <v>768</v>
      </c>
      <c r="BI34" s="335">
        <f>+BI35</f>
        <v>0</v>
      </c>
      <c r="BJ34" s="335">
        <f t="shared" ref="BJ34:BN35" si="128">+BJ35</f>
        <v>0</v>
      </c>
      <c r="BK34" s="335">
        <f t="shared" si="128"/>
        <v>0</v>
      </c>
      <c r="BL34" s="335">
        <f>+BL35</f>
        <v>0</v>
      </c>
      <c r="BM34" s="335">
        <f>+BM35</f>
        <v>0</v>
      </c>
      <c r="BN34" s="335">
        <f t="shared" si="128"/>
        <v>0</v>
      </c>
      <c r="BO34" s="335">
        <f t="shared" si="116"/>
        <v>0</v>
      </c>
      <c r="BP34" s="346"/>
      <c r="BQ34" s="346"/>
      <c r="BR34" s="34">
        <v>12</v>
      </c>
      <c r="BS34" s="11" t="s">
        <v>1581</v>
      </c>
      <c r="BT34" s="333">
        <f t="shared" ref="BT34:BT43" si="129">SUMIF(pi_cff,MID(BR34,1,5),pi_e)</f>
        <v>0</v>
      </c>
      <c r="BU34" s="333">
        <f t="shared" ref="BU34:BU43" si="130">SUMIF(pi_cff,MID(BR34,1,5),pi_m)</f>
        <v>0</v>
      </c>
      <c r="BV34" s="333">
        <f t="shared" ref="BV34:BV43" si="131">+BT34+BU34</f>
        <v>0</v>
      </c>
      <c r="BW34" s="333">
        <f t="shared" ref="BW34:BW43" si="132">SUMIF(pi_cff,MID(BR34,1,5),pi_d)</f>
        <v>0</v>
      </c>
      <c r="BX34" s="333">
        <f t="shared" ref="BX34:BX43" si="133">SUMIF(pi_cff,MID(BR34,1,5),pi_r)</f>
        <v>0</v>
      </c>
      <c r="BY34" s="333">
        <f t="shared" ref="BY34:BY43" si="134">+BX34-BT34</f>
        <v>0</v>
      </c>
      <c r="BZ34" s="333">
        <f t="shared" si="122"/>
        <v>0</v>
      </c>
      <c r="CA34" s="346"/>
      <c r="CB34" s="346"/>
      <c r="CC34" s="346"/>
      <c r="CD34" s="346"/>
      <c r="CE34" s="346"/>
      <c r="CF34" s="346"/>
      <c r="CG34" s="346"/>
      <c r="CH34" s="346"/>
      <c r="CI34" s="346"/>
      <c r="CJ34" s="346"/>
      <c r="CK34" s="346"/>
      <c r="CL34" s="346"/>
      <c r="CM34" s="346"/>
      <c r="CW34" s="346"/>
      <c r="DG34" s="346"/>
      <c r="DH34" s="341">
        <v>4000</v>
      </c>
      <c r="DI34" s="342" t="s">
        <v>207</v>
      </c>
      <c r="DJ34" s="337">
        <f t="shared" ref="DJ34:DO34" si="135">SUM(DJ35:DJ43)</f>
        <v>0</v>
      </c>
      <c r="DK34" s="337">
        <f t="shared" si="135"/>
        <v>0</v>
      </c>
      <c r="DL34" s="337">
        <f t="shared" si="135"/>
        <v>0</v>
      </c>
      <c r="DM34" s="337">
        <f t="shared" si="135"/>
        <v>0</v>
      </c>
      <c r="DN34" s="337">
        <f t="shared" si="135"/>
        <v>0</v>
      </c>
      <c r="DO34" s="337">
        <f t="shared" si="135"/>
        <v>0</v>
      </c>
      <c r="DP34" s="346"/>
      <c r="DQ34" s="346"/>
      <c r="DR34" s="237">
        <v>42</v>
      </c>
      <c r="DS34" s="708" t="s">
        <v>691</v>
      </c>
      <c r="DT34" s="338">
        <f>SUMIF(PE_CFG,MID(DR34,1,1)&amp;"."&amp;MID(DR34,2,1)&amp;".*",PE_A)</f>
        <v>0</v>
      </c>
      <c r="DU34" s="338">
        <f>SUMIF(PE_CFG,MID(DR34,1,1)&amp;"."&amp;MID(DR34,2,1)&amp;".*",PE_M)</f>
        <v>0</v>
      </c>
      <c r="DV34" s="338">
        <f t="shared" si="49"/>
        <v>0</v>
      </c>
      <c r="DW34" s="338">
        <f>SUMIF(PE_CFG,MID(DR34,1,1)&amp;"."&amp;MID(DR34,2,1)&amp;".*",PE_D)</f>
        <v>0</v>
      </c>
      <c r="DX34" s="338">
        <f>SUMIF(PE_CFG,MID(DR34,1,1)&amp;"."&amp;MID(DR34,2,1)&amp;".*",PE_P)</f>
        <v>0</v>
      </c>
      <c r="DY34" s="338">
        <f t="shared" si="50"/>
        <v>0</v>
      </c>
      <c r="EA34" s="346"/>
      <c r="EB34" s="346"/>
      <c r="EC34" s="17"/>
      <c r="ED34" s="17"/>
      <c r="EE34" s="17"/>
      <c r="EF34" s="95"/>
      <c r="EG34" s="346"/>
      <c r="EH34" s="346"/>
      <c r="EI34" s="67"/>
      <c r="EJ34" s="67"/>
      <c r="EK34" s="90"/>
      <c r="EL34" s="90"/>
      <c r="EM34" s="67"/>
      <c r="EN34" s="67"/>
      <c r="EO34" s="346"/>
      <c r="EP34" s="346"/>
      <c r="EQ34" s="346"/>
      <c r="ER34" s="346"/>
      <c r="ES34" s="346"/>
      <c r="ET34" s="346"/>
      <c r="EU34" s="82" t="s">
        <v>353</v>
      </c>
      <c r="EV34" s="73" t="s">
        <v>354</v>
      </c>
      <c r="EW34" s="338">
        <f>SUMIF(PE_CP,MID(EU34,1,1)&amp;"*",PE_A)</f>
        <v>0</v>
      </c>
      <c r="EX34" s="338">
        <f>SUMIF(PE_CP,MID(EU34,1,1)&amp;"*",PE_M)</f>
        <v>0</v>
      </c>
      <c r="EY34" s="338">
        <f>+EW34+EX34</f>
        <v>0</v>
      </c>
      <c r="EZ34" s="338">
        <f>SUMIF(PE_CP,MID(EU34,1,1)&amp;"*",PE_D)</f>
        <v>0</v>
      </c>
      <c r="FA34" s="338">
        <f>SUMIF(PE_CP,MID(EU34,1,1)&amp;"*",PE_P)</f>
        <v>0</v>
      </c>
      <c r="FB34" s="338">
        <f>+EY34-EZ34</f>
        <v>0</v>
      </c>
    </row>
    <row r="35" spans="1:158">
      <c r="A35" s="346"/>
      <c r="B35" s="31">
        <v>2220</v>
      </c>
      <c r="C35" s="15" t="s">
        <v>50</v>
      </c>
      <c r="D35" s="112">
        <f ca="1">-SUMIF(BC[],MID(B35,1,3)&amp;"*",bc_2017)</f>
        <v>0</v>
      </c>
      <c r="E35" s="112">
        <f ca="1">-SUMIF(BC[],MID(B35,1,3)&amp;"*",bc_2016)</f>
        <v>0</v>
      </c>
      <c r="F35" s="24"/>
      <c r="G35" s="346"/>
      <c r="H35" s="346"/>
      <c r="I35" s="31">
        <v>5270</v>
      </c>
      <c r="J35" s="76" t="s">
        <v>123</v>
      </c>
      <c r="K35" s="112">
        <f ca="1">SUMIF(BC[],MID(I35,1,3)&amp;"*",bc_2017)</f>
        <v>0</v>
      </c>
      <c r="L35" s="112">
        <f ca="1">SUMIF(BC[],MID(I35,1,3)&amp;"*",bc_2016)</f>
        <v>0</v>
      </c>
      <c r="M35" s="77"/>
      <c r="N35" s="346"/>
      <c r="O35" s="346"/>
      <c r="P35" s="17"/>
      <c r="Q35" s="17"/>
      <c r="R35" s="17"/>
      <c r="S35" s="49"/>
      <c r="T35" s="17"/>
      <c r="U35" s="42"/>
      <c r="V35" s="42"/>
      <c r="W35" s="346"/>
      <c r="X35" s="346"/>
      <c r="Y35" s="31">
        <v>2220</v>
      </c>
      <c r="Z35" s="15" t="s">
        <v>50</v>
      </c>
      <c r="AA35" s="120">
        <f t="shared" ca="1" si="102"/>
        <v>0</v>
      </c>
      <c r="AB35" s="120">
        <f t="shared" ca="1" si="103"/>
        <v>0</v>
      </c>
      <c r="AC35" s="346"/>
      <c r="AD35" s="346"/>
      <c r="AE35" s="36"/>
      <c r="AF35" s="61" t="s">
        <v>130</v>
      </c>
      <c r="AG35" s="147">
        <f ca="1">+AG44</f>
        <v>-1300144.0899999943</v>
      </c>
      <c r="AH35" s="147">
        <f ca="1">+AH44</f>
        <v>900771.74999999627</v>
      </c>
      <c r="AI35" s="24"/>
      <c r="AJ35" s="346"/>
      <c r="AK35" s="346"/>
      <c r="AL35" s="17"/>
      <c r="AM35" s="17"/>
      <c r="AN35" s="17"/>
      <c r="AO35" s="49"/>
      <c r="AP35" s="17"/>
      <c r="AQ35" s="42"/>
      <c r="AR35" s="18"/>
      <c r="AS35" s="346"/>
      <c r="AT35" s="346"/>
      <c r="AU35" s="17"/>
      <c r="AV35" s="17"/>
      <c r="AW35" s="17"/>
      <c r="AX35" s="49"/>
      <c r="AY35" s="17"/>
      <c r="AZ35" s="42"/>
      <c r="BA35" s="346"/>
      <c r="BB35" s="346"/>
      <c r="BC35" s="17"/>
      <c r="BD35" s="17"/>
      <c r="BE35" s="346"/>
      <c r="BF35" s="346"/>
      <c r="BG35" s="34">
        <v>3.1</v>
      </c>
      <c r="BH35" s="11" t="s">
        <v>769</v>
      </c>
      <c r="BI35" s="333">
        <f>+BI36</f>
        <v>0</v>
      </c>
      <c r="BJ35" s="333">
        <f t="shared" si="128"/>
        <v>0</v>
      </c>
      <c r="BK35" s="333">
        <f t="shared" si="128"/>
        <v>0</v>
      </c>
      <c r="BL35" s="333">
        <f>+BL36</f>
        <v>0</v>
      </c>
      <c r="BM35" s="333">
        <f>+BM36</f>
        <v>0</v>
      </c>
      <c r="BN35" s="333">
        <f t="shared" si="128"/>
        <v>0</v>
      </c>
      <c r="BO35" s="333">
        <f t="shared" si="116"/>
        <v>0</v>
      </c>
      <c r="BP35" s="346"/>
      <c r="BQ35" s="346"/>
      <c r="BR35" s="34">
        <v>13</v>
      </c>
      <c r="BS35" s="11" t="s">
        <v>772</v>
      </c>
      <c r="BT35" s="333">
        <f t="shared" si="129"/>
        <v>0</v>
      </c>
      <c r="BU35" s="333">
        <f t="shared" si="130"/>
        <v>0</v>
      </c>
      <c r="BV35" s="333">
        <f t="shared" si="131"/>
        <v>0</v>
      </c>
      <c r="BW35" s="333">
        <f t="shared" si="132"/>
        <v>0</v>
      </c>
      <c r="BX35" s="333">
        <f t="shared" si="133"/>
        <v>0</v>
      </c>
      <c r="BY35" s="333">
        <f t="shared" si="134"/>
        <v>0</v>
      </c>
      <c r="BZ35" s="333">
        <f t="shared" si="122"/>
        <v>0</v>
      </c>
      <c r="CA35" s="346"/>
      <c r="CB35" s="346"/>
      <c r="CC35" s="346"/>
      <c r="CD35" s="346"/>
      <c r="CE35" s="346"/>
      <c r="CF35" s="346"/>
      <c r="CG35" s="346"/>
      <c r="CH35" s="346"/>
      <c r="CI35" s="346"/>
      <c r="CJ35" s="346"/>
      <c r="CK35" s="346"/>
      <c r="CL35" s="346"/>
      <c r="CM35" s="346"/>
      <c r="CW35" s="346"/>
      <c r="DG35" s="346"/>
      <c r="DH35" s="72">
        <v>4100</v>
      </c>
      <c r="DI35" s="73" t="s">
        <v>117</v>
      </c>
      <c r="DJ35" s="338">
        <f t="shared" ref="DJ35:DJ43" si="136">SUMIF(PE_COG,MID(DH35,1,2)&amp;"*",PE_A)</f>
        <v>0</v>
      </c>
      <c r="DK35" s="338">
        <f t="shared" ref="DK35:DK43" si="137">SUMIF(PE_COG,MID(DH35,1,2)&amp;"*",PE_M)</f>
        <v>0</v>
      </c>
      <c r="DL35" s="338">
        <f t="shared" si="41"/>
        <v>0</v>
      </c>
      <c r="DM35" s="338">
        <f t="shared" ref="DM35:DM43" si="138">SUMIF(PE_COG,MID(DH35,1,2)&amp;"*",PE_D)</f>
        <v>0</v>
      </c>
      <c r="DN35" s="338">
        <f t="shared" ref="DN35:DN43" si="139">SUMIF(PE_COG,MID(DH35,1,2)&amp;"*",PE_P)</f>
        <v>0</v>
      </c>
      <c r="DO35" s="338">
        <f t="shared" si="44"/>
        <v>0</v>
      </c>
      <c r="DP35" s="346"/>
      <c r="DQ35" s="346"/>
      <c r="DR35" s="237">
        <v>43</v>
      </c>
      <c r="DS35" s="238" t="s">
        <v>692</v>
      </c>
      <c r="DT35" s="338">
        <f>SUMIF(PE_CFG,MID(DR35,1,1)&amp;"."&amp;MID(DR35,2,1)&amp;".*",PE_A)</f>
        <v>0</v>
      </c>
      <c r="DU35" s="338">
        <f>SUMIF(PE_CFG,MID(DR35,1,1)&amp;"."&amp;MID(DR35,2,1)&amp;".*",PE_M)</f>
        <v>0</v>
      </c>
      <c r="DV35" s="338">
        <f t="shared" si="49"/>
        <v>0</v>
      </c>
      <c r="DW35" s="338">
        <f>SUMIF(PE_CFG,MID(DR35,1,1)&amp;"."&amp;MID(DR35,2,1)&amp;".*",PE_D)</f>
        <v>0</v>
      </c>
      <c r="DX35" s="338">
        <f>SUMIF(PE_CFG,MID(DR35,1,1)&amp;"."&amp;MID(DR35,2,1)&amp;".*",PE_P)</f>
        <v>0</v>
      </c>
      <c r="DY35" s="338">
        <f t="shared" si="50"/>
        <v>0</v>
      </c>
      <c r="EA35" s="346"/>
      <c r="EB35" s="346"/>
      <c r="EC35" s="17"/>
      <c r="ED35" s="17"/>
      <c r="EE35" s="17"/>
      <c r="EF35" s="95"/>
      <c r="EG35" s="346"/>
      <c r="EH35" s="346"/>
      <c r="EI35" s="67"/>
      <c r="EJ35" s="67"/>
      <c r="EK35" s="90"/>
      <c r="EL35" s="90"/>
      <c r="EM35" s="67"/>
      <c r="EN35" s="67"/>
      <c r="EO35" s="346"/>
      <c r="EP35" s="346"/>
      <c r="EQ35" s="346"/>
      <c r="ER35" s="346"/>
      <c r="ES35" s="346"/>
      <c r="ET35" s="346"/>
      <c r="EU35" s="91" t="s">
        <v>355</v>
      </c>
      <c r="EV35" s="92" t="s">
        <v>356</v>
      </c>
      <c r="EW35" s="339">
        <f>SUMIF(PE_CP,MID(EU35,1,1)&amp;"*",PE_A)</f>
        <v>0</v>
      </c>
      <c r="EX35" s="339">
        <f>SUMIF(PE_CP,MID(EU35,1,1)&amp;"*",PE_M)</f>
        <v>0</v>
      </c>
      <c r="EY35" s="339">
        <f>+EW35+EX35</f>
        <v>0</v>
      </c>
      <c r="EZ35" s="339">
        <f>SUMIF(PE_CP,MID(EU35,1,1)&amp;"*",PE_D)</f>
        <v>0</v>
      </c>
      <c r="FA35" s="339">
        <f>SUMIF(PE_CP,MID(EU35,1,1)&amp;"*",PE_P)</f>
        <v>0</v>
      </c>
      <c r="FB35" s="339">
        <f>+EY35-EZ35</f>
        <v>0</v>
      </c>
    </row>
    <row r="36" spans="1:158">
      <c r="A36" s="346"/>
      <c r="B36" s="31">
        <v>2230</v>
      </c>
      <c r="C36" s="15" t="s">
        <v>51</v>
      </c>
      <c r="D36" s="112">
        <f ca="1">-SUMIF(BC[],MID(B36,1,3)&amp;"*",bc_2017)</f>
        <v>0</v>
      </c>
      <c r="E36" s="112">
        <f ca="1">-SUMIF(BC[],MID(B36,1,3)&amp;"*",bc_2016)</f>
        <v>0</v>
      </c>
      <c r="F36" s="24" t="s">
        <v>52</v>
      </c>
      <c r="G36" s="346"/>
      <c r="H36" s="346"/>
      <c r="I36" s="31">
        <v>5280</v>
      </c>
      <c r="J36" s="76" t="s">
        <v>124</v>
      </c>
      <c r="K36" s="112">
        <f ca="1">SUMIF(BC[],MID(I36,1,3)&amp;"*",bc_2017)</f>
        <v>0</v>
      </c>
      <c r="L36" s="112">
        <f ca="1">SUMIF(BC[],MID(I36,1,3)&amp;"*",bc_2016)</f>
        <v>0</v>
      </c>
      <c r="M36" s="77"/>
      <c r="N36" s="346"/>
      <c r="O36" s="346"/>
      <c r="P36" s="17"/>
      <c r="Q36" s="17"/>
      <c r="R36" s="17"/>
      <c r="S36" s="49"/>
      <c r="T36" s="17"/>
      <c r="U36" s="42"/>
      <c r="V36" s="42"/>
      <c r="W36" s="346"/>
      <c r="X36" s="346"/>
      <c r="Y36" s="31">
        <v>2230</v>
      </c>
      <c r="Z36" s="15" t="s">
        <v>51</v>
      </c>
      <c r="AA36" s="120">
        <f t="shared" ca="1" si="102"/>
        <v>0</v>
      </c>
      <c r="AB36" s="120">
        <f t="shared" ca="1" si="103"/>
        <v>0</v>
      </c>
      <c r="AC36" s="346"/>
      <c r="AD36" s="346"/>
      <c r="AE36" s="32">
        <v>900004</v>
      </c>
      <c r="AF36" s="61" t="s">
        <v>101</v>
      </c>
      <c r="AG36" s="128">
        <f ca="1">SUM(AG37:AG39)</f>
        <v>853461.14000000432</v>
      </c>
      <c r="AH36" s="128">
        <f ca="1">SUM(AH37:AH39)</f>
        <v>3453823.5599999987</v>
      </c>
      <c r="AI36" s="24"/>
      <c r="AJ36" s="346"/>
      <c r="AK36" s="346"/>
      <c r="AL36" s="17"/>
      <c r="AM36" s="17"/>
      <c r="AN36" s="17"/>
      <c r="AO36" s="49"/>
      <c r="AP36" s="17"/>
      <c r="AQ36" s="42"/>
      <c r="AR36" s="18"/>
      <c r="AS36" s="346"/>
      <c r="AT36" s="346"/>
      <c r="AU36" s="17"/>
      <c r="AV36" s="17"/>
      <c r="AW36" s="17"/>
      <c r="AX36" s="49"/>
      <c r="AY36" s="17"/>
      <c r="AZ36" s="42"/>
      <c r="BA36" s="346"/>
      <c r="BB36" s="346"/>
      <c r="BC36" s="1033" t="s">
        <v>361</v>
      </c>
      <c r="BD36" s="1033"/>
      <c r="BE36" s="346"/>
      <c r="BF36" s="346"/>
      <c r="BG36" s="428" t="s">
        <v>751</v>
      </c>
      <c r="BH36" s="40" t="s">
        <v>770</v>
      </c>
      <c r="BI36" s="334">
        <f>SUMIF(pi_ce,MID(BG36,1,5),pi_e)</f>
        <v>0</v>
      </c>
      <c r="BJ36" s="334">
        <f>SUMIF(pi_ce,MID(BG36,1,5),pi_m)</f>
        <v>0</v>
      </c>
      <c r="BK36" s="334">
        <f t="shared" si="119"/>
        <v>0</v>
      </c>
      <c r="BL36" s="334">
        <f>SUMIF(pi_ce,MID(BG36,1,5),pi_d)</f>
        <v>0</v>
      </c>
      <c r="BM36" s="334">
        <f>SUMIF(pi_ce,MID(BG36,1,5),pi_r)</f>
        <v>0</v>
      </c>
      <c r="BN36" s="334">
        <f t="shared" si="120"/>
        <v>0</v>
      </c>
      <c r="BO36" s="334">
        <f t="shared" si="116"/>
        <v>0</v>
      </c>
      <c r="BP36" s="346"/>
      <c r="BQ36" s="346"/>
      <c r="BR36" s="34">
        <v>14</v>
      </c>
      <c r="BS36" s="11" t="s">
        <v>773</v>
      </c>
      <c r="BT36" s="333">
        <f t="shared" si="129"/>
        <v>0</v>
      </c>
      <c r="BU36" s="333">
        <f t="shared" si="130"/>
        <v>0</v>
      </c>
      <c r="BV36" s="333">
        <f t="shared" si="131"/>
        <v>0</v>
      </c>
      <c r="BW36" s="333">
        <f t="shared" si="132"/>
        <v>0</v>
      </c>
      <c r="BX36" s="333">
        <f t="shared" si="133"/>
        <v>0</v>
      </c>
      <c r="BY36" s="333">
        <f t="shared" si="134"/>
        <v>0</v>
      </c>
      <c r="BZ36" s="333">
        <f t="shared" si="122"/>
        <v>0</v>
      </c>
      <c r="CA36" s="346"/>
      <c r="CB36" s="346"/>
      <c r="CC36" s="346"/>
      <c r="CD36" s="346"/>
      <c r="CE36" s="346"/>
      <c r="CF36" s="346"/>
      <c r="CG36" s="346"/>
      <c r="CH36" s="346"/>
      <c r="CI36" s="346"/>
      <c r="CJ36" s="346"/>
      <c r="CK36" s="346"/>
      <c r="CL36" s="346"/>
      <c r="CM36" s="346"/>
      <c r="CW36" s="346"/>
      <c r="DG36" s="346"/>
      <c r="DH36" s="72">
        <v>4200</v>
      </c>
      <c r="DI36" s="73" t="s">
        <v>118</v>
      </c>
      <c r="DJ36" s="338">
        <f t="shared" si="136"/>
        <v>0</v>
      </c>
      <c r="DK36" s="338">
        <f t="shared" si="137"/>
        <v>0</v>
      </c>
      <c r="DL36" s="338">
        <f t="shared" si="41"/>
        <v>0</v>
      </c>
      <c r="DM36" s="338">
        <f t="shared" si="138"/>
        <v>0</v>
      </c>
      <c r="DN36" s="338">
        <f t="shared" si="139"/>
        <v>0</v>
      </c>
      <c r="DO36" s="338">
        <f t="shared" si="44"/>
        <v>0</v>
      </c>
      <c r="DP36" s="346"/>
      <c r="DQ36" s="346"/>
      <c r="DR36" s="239">
        <v>44</v>
      </c>
      <c r="DS36" s="240" t="s">
        <v>693</v>
      </c>
      <c r="DT36" s="339">
        <f>SUMIF(PE_CFG,MID(DR36,1,1)&amp;"."&amp;MID(DR36,2,1)&amp;".*",PE_A)</f>
        <v>0</v>
      </c>
      <c r="DU36" s="339">
        <f>SUMIF(PE_CFG,MID(DR36,1,1)&amp;"."&amp;MID(DR36,2,1)&amp;".*",PE_M)</f>
        <v>0</v>
      </c>
      <c r="DV36" s="339">
        <f t="shared" si="49"/>
        <v>0</v>
      </c>
      <c r="DW36" s="339">
        <f>SUMIF(PE_CFG,MID(DR36,1,1)&amp;"."&amp;MID(DR36,2,1)&amp;".*",PE_D)</f>
        <v>0</v>
      </c>
      <c r="DX36" s="339">
        <f>SUMIF(PE_CFG,MID(DR36,1,1)&amp;"."&amp;MID(DR36,2,1)&amp;".*",PE_P)</f>
        <v>0</v>
      </c>
      <c r="DY36" s="339">
        <f t="shared" si="50"/>
        <v>0</v>
      </c>
      <c r="EA36" s="346"/>
      <c r="EB36" s="346"/>
      <c r="EC36" s="17"/>
      <c r="ED36" s="17"/>
      <c r="EE36" s="17"/>
      <c r="EF36" s="95"/>
      <c r="EG36" s="346"/>
      <c r="EH36" s="346"/>
      <c r="EI36" s="67"/>
      <c r="EJ36" s="67"/>
      <c r="EK36" s="90"/>
      <c r="EL36" s="90"/>
      <c r="EM36" s="67"/>
      <c r="EN36" s="67"/>
      <c r="EO36" s="346"/>
      <c r="EP36" s="346"/>
      <c r="EQ36" s="346"/>
      <c r="ER36" s="346"/>
      <c r="ES36" s="346"/>
      <c r="ET36" s="346"/>
      <c r="EU36" s="93"/>
      <c r="EV36" s="93"/>
      <c r="EW36" s="93"/>
      <c r="EX36" s="93"/>
      <c r="EY36" s="93"/>
      <c r="EZ36" s="94"/>
      <c r="FA36" s="94"/>
      <c r="FB36" s="94"/>
    </row>
    <row r="37" spans="1:158">
      <c r="A37" s="346"/>
      <c r="B37" s="31">
        <v>2240</v>
      </c>
      <c r="C37" s="15" t="s">
        <v>53</v>
      </c>
      <c r="D37" s="112">
        <f ca="1">-SUMIF(BC[],MID(B37,1,3)&amp;"*",bc_2017)</f>
        <v>0</v>
      </c>
      <c r="E37" s="112">
        <f ca="1">-SUMIF(BC[],MID(B37,1,3)&amp;"*",bc_2016)</f>
        <v>0</v>
      </c>
      <c r="F37" s="24" t="s">
        <v>43</v>
      </c>
      <c r="G37" s="346"/>
      <c r="H37" s="346"/>
      <c r="I37" s="31">
        <v>5290</v>
      </c>
      <c r="J37" s="76" t="s">
        <v>125</v>
      </c>
      <c r="K37" s="112">
        <f ca="1">SUMIF(BC[],MID(I37,1,3)&amp;"*",bc_2017)</f>
        <v>0</v>
      </c>
      <c r="L37" s="112">
        <f ca="1">SUMIF(BC[],MID(I37,1,3)&amp;"*",bc_2016)</f>
        <v>0</v>
      </c>
      <c r="M37" s="77"/>
      <c r="N37" s="346"/>
      <c r="O37" s="346"/>
      <c r="P37" s="17"/>
      <c r="Q37" s="17"/>
      <c r="R37" s="17"/>
      <c r="S37" s="49"/>
      <c r="T37" s="17"/>
      <c r="U37" s="42"/>
      <c r="V37" s="42"/>
      <c r="W37" s="346"/>
      <c r="X37" s="346"/>
      <c r="Y37" s="31">
        <v>2240</v>
      </c>
      <c r="Z37" s="15" t="s">
        <v>53</v>
      </c>
      <c r="AA37" s="120">
        <f t="shared" ca="1" si="102"/>
        <v>0</v>
      </c>
      <c r="AB37" s="120">
        <f t="shared" ca="1" si="103"/>
        <v>0</v>
      </c>
      <c r="AC37" s="346"/>
      <c r="AD37" s="346"/>
      <c r="AE37" s="31"/>
      <c r="AF37" s="76" t="s">
        <v>18</v>
      </c>
      <c r="AG37" s="112">
        <v>0</v>
      </c>
      <c r="AH37" s="112">
        <v>0</v>
      </c>
      <c r="AI37" s="24"/>
      <c r="AJ37" s="346"/>
      <c r="AK37" s="346"/>
      <c r="AL37" s="17"/>
      <c r="AM37" s="17"/>
      <c r="AN37" s="17"/>
      <c r="AO37" s="49"/>
      <c r="AP37" s="17"/>
      <c r="AQ37" s="42"/>
      <c r="AR37" s="18"/>
      <c r="AS37" s="346"/>
      <c r="AT37" s="346"/>
      <c r="AU37" s="17"/>
      <c r="AV37" s="17"/>
      <c r="AW37" s="17"/>
      <c r="AX37" s="49"/>
      <c r="AY37" s="17"/>
      <c r="AZ37" s="42"/>
      <c r="BA37" s="346"/>
      <c r="BB37" s="346"/>
      <c r="BC37" s="1033"/>
      <c r="BD37" s="1033"/>
      <c r="BE37" s="346"/>
      <c r="BF37" s="346"/>
      <c r="BG37" s="51"/>
      <c r="BH37" s="51"/>
      <c r="BI37" s="51"/>
      <c r="BJ37" s="51"/>
      <c r="BK37" s="51"/>
      <c r="BL37" s="51"/>
      <c r="BM37" s="51"/>
      <c r="BN37" s="51"/>
      <c r="BO37" s="51"/>
      <c r="BP37" s="346"/>
      <c r="BQ37" s="346"/>
      <c r="BR37" s="34">
        <v>15</v>
      </c>
      <c r="BS37" s="11" t="s">
        <v>774</v>
      </c>
      <c r="BT37" s="333">
        <f t="shared" si="129"/>
        <v>0</v>
      </c>
      <c r="BU37" s="333">
        <f t="shared" si="130"/>
        <v>0</v>
      </c>
      <c r="BV37" s="333">
        <f t="shared" si="131"/>
        <v>0</v>
      </c>
      <c r="BW37" s="333">
        <f t="shared" si="132"/>
        <v>0</v>
      </c>
      <c r="BX37" s="333">
        <f t="shared" si="133"/>
        <v>0</v>
      </c>
      <c r="BY37" s="333">
        <f t="shared" si="134"/>
        <v>0</v>
      </c>
      <c r="BZ37" s="333">
        <f t="shared" si="122"/>
        <v>0</v>
      </c>
      <c r="CA37" s="346"/>
      <c r="CB37" s="346"/>
      <c r="CC37" s="346"/>
      <c r="CD37" s="346"/>
      <c r="CE37" s="346"/>
      <c r="CF37" s="346"/>
      <c r="CG37" s="346"/>
      <c r="CH37" s="346"/>
      <c r="CI37" s="346"/>
      <c r="CJ37" s="346"/>
      <c r="CK37" s="346"/>
      <c r="CL37" s="346"/>
      <c r="CM37" s="346"/>
      <c r="CW37" s="346"/>
      <c r="DG37" s="346"/>
      <c r="DH37" s="72">
        <v>4300</v>
      </c>
      <c r="DI37" s="73" t="s">
        <v>119</v>
      </c>
      <c r="DJ37" s="338">
        <f t="shared" si="136"/>
        <v>0</v>
      </c>
      <c r="DK37" s="338">
        <f t="shared" si="137"/>
        <v>0</v>
      </c>
      <c r="DL37" s="338">
        <f t="shared" si="41"/>
        <v>0</v>
      </c>
      <c r="DM37" s="338">
        <f t="shared" si="138"/>
        <v>0</v>
      </c>
      <c r="DN37" s="338">
        <f t="shared" si="139"/>
        <v>0</v>
      </c>
      <c r="DO37" s="338">
        <f t="shared" si="44"/>
        <v>0</v>
      </c>
      <c r="DP37" s="346"/>
      <c r="DQ37" s="346"/>
      <c r="EA37" s="346"/>
      <c r="EB37" s="346"/>
      <c r="EC37" s="17"/>
      <c r="ED37" s="17"/>
      <c r="EE37" s="17"/>
      <c r="EF37" s="95"/>
      <c r="EG37" s="346"/>
      <c r="EH37" s="346"/>
      <c r="EI37" s="67"/>
      <c r="EJ37" s="67"/>
      <c r="EK37" s="90"/>
      <c r="EL37" s="90"/>
      <c r="EM37" s="67"/>
      <c r="EN37" s="67"/>
      <c r="EO37" s="346"/>
      <c r="EP37" s="346"/>
      <c r="EQ37" s="346"/>
      <c r="ER37" s="346"/>
      <c r="ES37" s="346"/>
      <c r="ET37" s="346"/>
      <c r="EU37" s="93"/>
      <c r="EV37" s="93"/>
      <c r="EW37" s="93"/>
      <c r="EX37" s="93"/>
      <c r="EY37" s="93"/>
      <c r="EZ37" s="94"/>
      <c r="FA37" s="94"/>
      <c r="FB37" s="94"/>
    </row>
    <row r="38" spans="1:158">
      <c r="A38" s="346"/>
      <c r="B38" s="31">
        <v>2250</v>
      </c>
      <c r="C38" s="15" t="s">
        <v>363</v>
      </c>
      <c r="D38" s="112">
        <f ca="1">-SUMIF(BC[],MID(B38,1,3)&amp;"*",bc_2017)</f>
        <v>0</v>
      </c>
      <c r="E38" s="112">
        <f ca="1">-SUMIF(BC[],MID(B38,1,3)&amp;"*",bc_2016)</f>
        <v>0</v>
      </c>
      <c r="F38" s="24" t="s">
        <v>45</v>
      </c>
      <c r="G38" s="346"/>
      <c r="H38" s="346"/>
      <c r="I38" s="21">
        <v>5300</v>
      </c>
      <c r="J38" s="61" t="s">
        <v>208</v>
      </c>
      <c r="K38" s="111">
        <f ca="1">SUM(K39:K41)</f>
        <v>0</v>
      </c>
      <c r="L38" s="111">
        <f ca="1">SUM(L39:L41)</f>
        <v>0</v>
      </c>
      <c r="M38" s="77"/>
      <c r="N38" s="346"/>
      <c r="O38" s="346"/>
      <c r="P38" s="17"/>
      <c r="Q38" s="17"/>
      <c r="R38" s="17"/>
      <c r="S38" s="49"/>
      <c r="T38" s="17"/>
      <c r="U38" s="42"/>
      <c r="V38" s="42"/>
      <c r="W38" s="346"/>
      <c r="X38" s="346"/>
      <c r="Y38" s="31">
        <v>2250</v>
      </c>
      <c r="Z38" s="15" t="s">
        <v>54</v>
      </c>
      <c r="AA38" s="120">
        <f t="shared" ca="1" si="102"/>
        <v>0</v>
      </c>
      <c r="AB38" s="120">
        <f t="shared" ca="1" si="103"/>
        <v>0</v>
      </c>
      <c r="AC38" s="346"/>
      <c r="AD38" s="346"/>
      <c r="AE38" s="31"/>
      <c r="AF38" s="76" t="s">
        <v>20</v>
      </c>
      <c r="AG38" s="112">
        <v>0</v>
      </c>
      <c r="AH38" s="112">
        <v>0</v>
      </c>
      <c r="AI38" s="24"/>
      <c r="AJ38" s="346"/>
      <c r="AK38" s="346"/>
      <c r="AL38" s="346"/>
      <c r="AM38" s="346"/>
      <c r="AN38" s="346"/>
      <c r="AO38" s="346"/>
      <c r="AP38" s="346"/>
      <c r="AQ38" s="346"/>
      <c r="AR38" s="346"/>
      <c r="AS38" s="346"/>
      <c r="AT38" s="346"/>
      <c r="AU38" s="17"/>
      <c r="AV38" s="17"/>
      <c r="AW38" s="17"/>
      <c r="AX38" s="49"/>
      <c r="AY38" s="17"/>
      <c r="AZ38" s="42"/>
      <c r="BA38" s="346"/>
      <c r="BB38" s="346"/>
      <c r="BC38" s="17"/>
      <c r="BD38" s="17"/>
      <c r="BE38" s="346"/>
      <c r="BF38" s="346"/>
      <c r="BG38" s="51"/>
      <c r="BH38" s="51"/>
      <c r="BI38" s="51"/>
      <c r="BJ38" s="51"/>
      <c r="BK38" s="51"/>
      <c r="BL38" s="51"/>
      <c r="BM38" s="51"/>
      <c r="BN38" s="51"/>
      <c r="BO38" s="51"/>
      <c r="BP38" s="346"/>
      <c r="BQ38" s="346"/>
      <c r="BR38" s="34">
        <v>16</v>
      </c>
      <c r="BS38" s="11" t="s">
        <v>775</v>
      </c>
      <c r="BT38" s="333">
        <f t="shared" ref="BT38" si="140">SUMIF(pi_cff,MID(BR38,1,5),pi_e)</f>
        <v>0</v>
      </c>
      <c r="BU38" s="333">
        <f t="shared" ref="BU38" si="141">SUMIF(pi_cff,MID(BR38,1,5),pi_m)</f>
        <v>0</v>
      </c>
      <c r="BV38" s="333">
        <f t="shared" ref="BV38" si="142">+BT38+BU38</f>
        <v>0</v>
      </c>
      <c r="BW38" s="333">
        <f t="shared" ref="BW38" si="143">SUMIF(pi_cff,MID(BR38,1,5),pi_d)</f>
        <v>0</v>
      </c>
      <c r="BX38" s="333">
        <f t="shared" ref="BX38" si="144">SUMIF(pi_cff,MID(BR38,1,5),pi_r)</f>
        <v>0</v>
      </c>
      <c r="BY38" s="333">
        <f t="shared" ref="BY38" si="145">+BX38-BT38</f>
        <v>0</v>
      </c>
      <c r="BZ38" s="333">
        <f t="shared" si="122"/>
        <v>0</v>
      </c>
      <c r="CA38" s="346"/>
      <c r="CB38" s="346"/>
      <c r="CC38" s="346"/>
      <c r="CD38" s="346"/>
      <c r="CE38" s="346"/>
      <c r="CF38" s="346"/>
      <c r="CG38" s="346"/>
      <c r="CH38" s="346"/>
      <c r="CI38" s="346"/>
      <c r="CJ38" s="346"/>
      <c r="CK38" s="346"/>
      <c r="CL38" s="346"/>
      <c r="CM38" s="346"/>
      <c r="CW38" s="346"/>
      <c r="DG38" s="346"/>
      <c r="DH38" s="72">
        <v>4400</v>
      </c>
      <c r="DI38" s="73" t="s">
        <v>120</v>
      </c>
      <c r="DJ38" s="338">
        <f t="shared" si="136"/>
        <v>0</v>
      </c>
      <c r="DK38" s="338">
        <f t="shared" si="137"/>
        <v>0</v>
      </c>
      <c r="DL38" s="338">
        <f t="shared" si="41"/>
        <v>0</v>
      </c>
      <c r="DM38" s="338">
        <f t="shared" si="138"/>
        <v>0</v>
      </c>
      <c r="DN38" s="338">
        <f t="shared" si="139"/>
        <v>0</v>
      </c>
      <c r="DO38" s="338">
        <f t="shared" si="44"/>
        <v>0</v>
      </c>
      <c r="DP38" s="346"/>
      <c r="DQ38" s="346"/>
      <c r="EA38" s="346"/>
      <c r="EB38" s="346"/>
      <c r="EC38" s="17"/>
      <c r="ED38" s="17"/>
      <c r="EE38" s="17"/>
      <c r="EF38" s="95"/>
      <c r="EG38" s="346"/>
      <c r="EH38" s="346"/>
      <c r="EI38" s="67"/>
      <c r="EJ38" s="67"/>
      <c r="EK38" s="90"/>
      <c r="EL38" s="90"/>
      <c r="EM38" s="67"/>
      <c r="EN38" s="67"/>
      <c r="EO38" s="346"/>
      <c r="EP38" s="346"/>
      <c r="EQ38" s="346"/>
      <c r="ER38" s="346"/>
      <c r="ES38" s="346"/>
      <c r="ET38" s="346"/>
      <c r="EU38" s="93"/>
      <c r="EV38" s="1042" t="s">
        <v>361</v>
      </c>
      <c r="EW38" s="1042"/>
      <c r="EX38" s="1042"/>
      <c r="EY38" s="1042"/>
      <c r="EZ38" s="1042"/>
      <c r="FA38" s="1042"/>
      <c r="FB38" s="94"/>
    </row>
    <row r="39" spans="1:158">
      <c r="A39" s="346"/>
      <c r="B39" s="31">
        <v>2260</v>
      </c>
      <c r="C39" s="15" t="s">
        <v>55</v>
      </c>
      <c r="D39" s="112">
        <f ca="1">-SUMIF(BC[],MID(B39,1,3)&amp;"*",bc_2017)</f>
        <v>2233972.39</v>
      </c>
      <c r="E39" s="112">
        <f ca="1">-SUMIF(BC[],MID(B39,1,3)&amp;"*",bc_2016)</f>
        <v>2058413.68</v>
      </c>
      <c r="F39" s="24"/>
      <c r="G39" s="346"/>
      <c r="H39" s="346"/>
      <c r="I39" s="31">
        <v>5310</v>
      </c>
      <c r="J39" s="76" t="s">
        <v>126</v>
      </c>
      <c r="K39" s="112">
        <f ca="1">SUMIF(BC[],MID(I39,1,3)&amp;"*",bc_2017)</f>
        <v>0</v>
      </c>
      <c r="L39" s="112">
        <f ca="1">SUMIF(BC[],MID(I39,1,3)&amp;"*",bc_2016)</f>
        <v>0</v>
      </c>
      <c r="M39" s="77"/>
      <c r="N39" s="346"/>
      <c r="O39" s="346"/>
      <c r="P39" s="17"/>
      <c r="Q39" s="17"/>
      <c r="R39" s="17"/>
      <c r="S39" s="49"/>
      <c r="T39" s="17"/>
      <c r="U39" s="42"/>
      <c r="V39" s="42"/>
      <c r="W39" s="346"/>
      <c r="X39" s="346"/>
      <c r="Y39" s="31">
        <v>2260</v>
      </c>
      <c r="Z39" s="15" t="s">
        <v>55</v>
      </c>
      <c r="AA39" s="120">
        <f t="shared" ca="1" si="102"/>
        <v>175558.7100000002</v>
      </c>
      <c r="AB39" s="120">
        <f t="shared" ca="1" si="103"/>
        <v>0</v>
      </c>
      <c r="AC39" s="346"/>
      <c r="AD39" s="346"/>
      <c r="AE39" s="32">
        <v>4600</v>
      </c>
      <c r="AF39" s="76" t="s">
        <v>131</v>
      </c>
      <c r="AG39" s="112">
        <f ca="1">+AA42-AB42</f>
        <v>853461.14000000432</v>
      </c>
      <c r="AH39" s="130">
        <f ca="1">+Impresos!AL39</f>
        <v>3453823.5599999987</v>
      </c>
      <c r="AI39" s="24"/>
      <c r="AJ39" s="346"/>
      <c r="AK39" s="346"/>
      <c r="AL39" s="346"/>
      <c r="AM39" s="346"/>
      <c r="AN39" s="346"/>
      <c r="AO39" s="346"/>
      <c r="AP39" s="346"/>
      <c r="AQ39" s="346"/>
      <c r="AR39" s="346"/>
      <c r="AS39" s="346"/>
      <c r="AT39" s="346"/>
      <c r="AU39" s="17"/>
      <c r="AV39" s="17"/>
      <c r="AW39" s="17"/>
      <c r="AX39" s="49"/>
      <c r="AY39" s="17"/>
      <c r="AZ39" s="42"/>
      <c r="BA39" s="346"/>
      <c r="BB39" s="346"/>
      <c r="BC39" s="17"/>
      <c r="BD39" s="17"/>
      <c r="BE39" s="346"/>
      <c r="BF39" s="346"/>
      <c r="BG39" s="1043" t="s">
        <v>361</v>
      </c>
      <c r="BH39" s="1043"/>
      <c r="BI39" s="1043"/>
      <c r="BJ39" s="1043"/>
      <c r="BK39" s="1043"/>
      <c r="BL39" s="1043"/>
      <c r="BM39" s="1043"/>
      <c r="BN39" s="1043"/>
      <c r="BO39" s="51"/>
      <c r="BP39" s="346"/>
      <c r="BQ39" s="346"/>
      <c r="BR39" s="34">
        <v>17</v>
      </c>
      <c r="BS39" s="11" t="s">
        <v>1583</v>
      </c>
      <c r="BT39" s="333">
        <f>+BT22</f>
        <v>0</v>
      </c>
      <c r="BU39" s="333">
        <f t="shared" ref="BU39:BY39" si="146">+BU22</f>
        <v>0</v>
      </c>
      <c r="BV39" s="333">
        <f t="shared" si="146"/>
        <v>0</v>
      </c>
      <c r="BW39" s="333">
        <f t="shared" si="146"/>
        <v>0</v>
      </c>
      <c r="BX39" s="333">
        <f t="shared" si="146"/>
        <v>0</v>
      </c>
      <c r="BY39" s="333">
        <f t="shared" si="146"/>
        <v>0</v>
      </c>
      <c r="BZ39" s="333">
        <f t="shared" si="122"/>
        <v>0</v>
      </c>
      <c r="CA39" s="346"/>
      <c r="CB39" s="346"/>
      <c r="CC39" s="346"/>
      <c r="CD39" s="346"/>
      <c r="CE39" s="346"/>
      <c r="CF39" s="346"/>
      <c r="CG39" s="346"/>
      <c r="CH39" s="346"/>
      <c r="CI39" s="346"/>
      <c r="CJ39" s="346"/>
      <c r="CK39" s="346"/>
      <c r="CL39" s="346"/>
      <c r="CM39" s="346"/>
      <c r="CW39" s="346"/>
      <c r="DG39" s="346"/>
      <c r="DH39" s="72">
        <v>4500</v>
      </c>
      <c r="DI39" s="73" t="s">
        <v>121</v>
      </c>
      <c r="DJ39" s="338">
        <f t="shared" si="136"/>
        <v>0</v>
      </c>
      <c r="DK39" s="338">
        <f t="shared" si="137"/>
        <v>0</v>
      </c>
      <c r="DL39" s="338">
        <f t="shared" si="41"/>
        <v>0</v>
      </c>
      <c r="DM39" s="338">
        <f t="shared" si="138"/>
        <v>0</v>
      </c>
      <c r="DN39" s="338">
        <f t="shared" si="139"/>
        <v>0</v>
      </c>
      <c r="DO39" s="338">
        <f t="shared" si="44"/>
        <v>0</v>
      </c>
      <c r="DP39" s="346"/>
      <c r="DQ39" s="346"/>
      <c r="DR39" s="1042" t="s">
        <v>361</v>
      </c>
      <c r="DS39" s="1042"/>
      <c r="DT39" s="1042"/>
      <c r="DU39" s="1042"/>
      <c r="DV39" s="1042"/>
      <c r="DW39" s="1042"/>
      <c r="DX39" s="1042"/>
      <c r="DY39" s="1042"/>
      <c r="EA39" s="346"/>
      <c r="EB39" s="346"/>
      <c r="EC39" s="346"/>
      <c r="ED39" s="346"/>
      <c r="EE39" s="346"/>
      <c r="EF39" s="346"/>
      <c r="EG39" s="346"/>
      <c r="EH39" s="346"/>
      <c r="EI39" s="67"/>
      <c r="EJ39" s="67"/>
      <c r="EK39" s="90"/>
      <c r="EL39" s="90"/>
      <c r="EM39" s="67"/>
      <c r="EN39" s="67"/>
      <c r="EO39" s="346"/>
      <c r="EP39" s="346"/>
      <c r="EQ39" s="346"/>
      <c r="ER39" s="346"/>
      <c r="ES39" s="346"/>
      <c r="ET39" s="346"/>
      <c r="EU39" s="95"/>
      <c r="EV39" s="95"/>
      <c r="EW39" s="95"/>
      <c r="EX39" s="95"/>
      <c r="EY39" s="95"/>
      <c r="EZ39" s="96"/>
      <c r="FA39" s="96"/>
      <c r="FB39" s="96"/>
    </row>
    <row r="40" spans="1:158">
      <c r="A40" s="346"/>
      <c r="B40" s="21">
        <v>3000</v>
      </c>
      <c r="C40" s="14" t="s">
        <v>56</v>
      </c>
      <c r="D40" s="111">
        <f ca="1">+D41+D45</f>
        <v>28627655.390000012</v>
      </c>
      <c r="E40" s="111">
        <f ca="1">+E41+E45</f>
        <v>25770683.190000005</v>
      </c>
      <c r="F40" s="43"/>
      <c r="G40" s="346"/>
      <c r="H40" s="346"/>
      <c r="I40" s="31">
        <v>5320</v>
      </c>
      <c r="J40" s="76" t="s">
        <v>59</v>
      </c>
      <c r="K40" s="112">
        <f ca="1">SUMIF(BC[],MID(I40,1,3)&amp;"*",bc_2017)</f>
        <v>0</v>
      </c>
      <c r="L40" s="112">
        <f ca="1">SUMIF(BC[],MID(I40,1,3)&amp;"*",bc_2016)</f>
        <v>0</v>
      </c>
      <c r="M40" s="77"/>
      <c r="N40" s="346"/>
      <c r="O40" s="346"/>
      <c r="P40" s="17"/>
      <c r="Q40" s="17"/>
      <c r="R40" s="17"/>
      <c r="S40" s="49"/>
      <c r="T40" s="17"/>
      <c r="U40" s="42"/>
      <c r="V40" s="42"/>
      <c r="W40" s="346"/>
      <c r="X40" s="346"/>
      <c r="Y40" s="21">
        <v>3000</v>
      </c>
      <c r="Z40" s="14" t="s">
        <v>56</v>
      </c>
      <c r="AA40" s="121">
        <f t="shared" ca="1" si="102"/>
        <v>2856972.2000000067</v>
      </c>
      <c r="AB40" s="121">
        <f t="shared" ca="1" si="103"/>
        <v>0</v>
      </c>
      <c r="AC40" s="346"/>
      <c r="AD40" s="346"/>
      <c r="AE40" s="32">
        <v>900005</v>
      </c>
      <c r="AF40" s="61" t="s">
        <v>113</v>
      </c>
      <c r="AG40" s="128">
        <f ca="1">SUM(AG41:AG43)</f>
        <v>2153605.2299999986</v>
      </c>
      <c r="AH40" s="128">
        <f ca="1">SUM(AH41:AH43)</f>
        <v>2553051.8100000024</v>
      </c>
      <c r="AI40" s="24"/>
      <c r="AJ40" s="346"/>
      <c r="AK40" s="346"/>
      <c r="AL40" s="346"/>
      <c r="AM40" s="346"/>
      <c r="AN40" s="346"/>
      <c r="AO40" s="346"/>
      <c r="AP40" s="346"/>
      <c r="AQ40" s="346"/>
      <c r="AR40" s="346"/>
      <c r="AS40" s="346"/>
      <c r="AT40" s="346"/>
      <c r="AU40" s="17"/>
      <c r="AV40" s="17"/>
      <c r="AW40" s="17"/>
      <c r="AX40" s="49"/>
      <c r="AY40" s="17"/>
      <c r="AZ40" s="42"/>
      <c r="BA40" s="346"/>
      <c r="BB40" s="346"/>
      <c r="BC40" s="17"/>
      <c r="BD40" s="17"/>
      <c r="BE40" s="346"/>
      <c r="BF40" s="346"/>
      <c r="BG40" s="17"/>
      <c r="BH40" s="17"/>
      <c r="BI40" s="17"/>
      <c r="BJ40" s="49"/>
      <c r="BK40" s="17"/>
      <c r="BL40" s="11"/>
      <c r="BM40" s="11"/>
      <c r="BN40" s="11"/>
      <c r="BO40" s="11"/>
      <c r="BP40" s="346"/>
      <c r="BQ40" s="346"/>
      <c r="BR40" s="34"/>
      <c r="BS40" s="12" t="s">
        <v>1582</v>
      </c>
      <c r="BT40" s="335">
        <f>SUM(BT41:BT43)</f>
        <v>0</v>
      </c>
      <c r="BU40" s="335">
        <f t="shared" ref="BU40:BY40" si="147">SUM(BU41:BU43)</f>
        <v>0</v>
      </c>
      <c r="BV40" s="335">
        <f t="shared" si="147"/>
        <v>0</v>
      </c>
      <c r="BW40" s="335">
        <f t="shared" si="147"/>
        <v>0</v>
      </c>
      <c r="BX40" s="335">
        <f t="shared" si="147"/>
        <v>0</v>
      </c>
      <c r="BY40" s="335">
        <f t="shared" si="147"/>
        <v>0</v>
      </c>
      <c r="BZ40" s="335">
        <f t="shared" si="122"/>
        <v>0</v>
      </c>
      <c r="CA40" s="346"/>
      <c r="CB40" s="346"/>
      <c r="CC40" s="346"/>
      <c r="CD40" s="346"/>
      <c r="CE40" s="346"/>
      <c r="CF40" s="346"/>
      <c r="CG40" s="346"/>
      <c r="CH40" s="346"/>
      <c r="CI40" s="346"/>
      <c r="CJ40" s="346"/>
      <c r="CK40" s="346"/>
      <c r="CL40" s="346"/>
      <c r="CM40" s="346"/>
      <c r="CW40" s="346"/>
      <c r="DG40" s="346"/>
      <c r="DH40" s="72">
        <v>4600</v>
      </c>
      <c r="DI40" s="73" t="s">
        <v>264</v>
      </c>
      <c r="DJ40" s="338">
        <f t="shared" si="136"/>
        <v>0</v>
      </c>
      <c r="DK40" s="338">
        <f t="shared" si="137"/>
        <v>0</v>
      </c>
      <c r="DL40" s="338">
        <f t="shared" si="41"/>
        <v>0</v>
      </c>
      <c r="DM40" s="338">
        <f t="shared" si="138"/>
        <v>0</v>
      </c>
      <c r="DN40" s="338">
        <f t="shared" si="139"/>
        <v>0</v>
      </c>
      <c r="DO40" s="338">
        <f t="shared" si="44"/>
        <v>0</v>
      </c>
      <c r="DP40" s="346"/>
      <c r="DQ40" s="346"/>
      <c r="EA40" s="346"/>
      <c r="EB40" s="346"/>
      <c r="EC40" s="346"/>
      <c r="ED40" s="346"/>
      <c r="EE40" s="346"/>
      <c r="EF40" s="346"/>
      <c r="EG40" s="346"/>
      <c r="EH40" s="346"/>
      <c r="EI40" s="346"/>
      <c r="EJ40" s="346"/>
      <c r="EK40" s="346"/>
      <c r="EL40" s="346"/>
      <c r="EM40" s="346"/>
      <c r="EN40" s="346"/>
      <c r="EO40" s="346"/>
      <c r="EP40" s="346"/>
      <c r="EQ40" s="346"/>
      <c r="ER40" s="346"/>
      <c r="ES40" s="346"/>
      <c r="ET40" s="346"/>
      <c r="EU40" s="95"/>
      <c r="EV40" s="95"/>
      <c r="EW40" s="95"/>
      <c r="EX40" s="95"/>
      <c r="EY40" s="95"/>
      <c r="EZ40" s="96"/>
      <c r="FA40" s="96"/>
      <c r="FB40" s="96"/>
    </row>
    <row r="41" spans="1:158">
      <c r="A41" s="346"/>
      <c r="B41" s="21">
        <v>3100</v>
      </c>
      <c r="C41" s="14" t="s">
        <v>57</v>
      </c>
      <c r="D41" s="111">
        <f ca="1">SUM(D42:D44)</f>
        <v>27577726.700000003</v>
      </c>
      <c r="E41" s="111">
        <f ca="1">SUM(E42:E44)</f>
        <v>26724265.559999999</v>
      </c>
      <c r="F41" s="24" t="s">
        <v>58</v>
      </c>
      <c r="G41" s="346"/>
      <c r="H41" s="346"/>
      <c r="I41" s="31">
        <v>5330</v>
      </c>
      <c r="J41" s="76" t="s">
        <v>127</v>
      </c>
      <c r="K41" s="112">
        <f ca="1">SUMIF(BC[],MID(I41,1,3)&amp;"*",bc_2017)</f>
        <v>0</v>
      </c>
      <c r="L41" s="112">
        <f ca="1">SUMIF(BC[],MID(I41,1,3)&amp;"*",bc_2016)</f>
        <v>0</v>
      </c>
      <c r="M41" s="77"/>
      <c r="N41" s="346"/>
      <c r="O41" s="346"/>
      <c r="P41" s="346"/>
      <c r="Q41" s="346"/>
      <c r="R41" s="346"/>
      <c r="S41" s="346"/>
      <c r="T41" s="346"/>
      <c r="U41" s="346"/>
      <c r="V41" s="346"/>
      <c r="W41" s="346"/>
      <c r="X41" s="346"/>
      <c r="Y41" s="21">
        <v>3100</v>
      </c>
      <c r="Z41" s="14" t="s">
        <v>57</v>
      </c>
      <c r="AA41" s="121">
        <f t="shared" ca="1" si="102"/>
        <v>853461.14000000432</v>
      </c>
      <c r="AB41" s="121">
        <f t="shared" ca="1" si="103"/>
        <v>0</v>
      </c>
      <c r="AC41" s="346"/>
      <c r="AD41" s="346"/>
      <c r="AE41" s="31">
        <v>1230</v>
      </c>
      <c r="AF41" s="76" t="s">
        <v>18</v>
      </c>
      <c r="AG41" s="129">
        <f ca="1">+AB16-AA16</f>
        <v>0</v>
      </c>
      <c r="AH41" s="130">
        <f ca="1">+Impresos!AL41</f>
        <v>0</v>
      </c>
      <c r="AI41" s="24" t="s">
        <v>132</v>
      </c>
      <c r="AJ41" s="346"/>
      <c r="AK41" s="346"/>
      <c r="AL41" s="346"/>
      <c r="AM41" s="346"/>
      <c r="AN41" s="346"/>
      <c r="AO41" s="346"/>
      <c r="AP41" s="346"/>
      <c r="AQ41" s="346"/>
      <c r="AR41" s="346"/>
      <c r="AS41" s="346"/>
      <c r="AT41" s="346"/>
      <c r="AU41" s="17"/>
      <c r="AV41" s="17"/>
      <c r="AW41" s="17"/>
      <c r="AX41" s="49"/>
      <c r="AY41" s="17"/>
      <c r="AZ41" s="42"/>
      <c r="BA41" s="346"/>
      <c r="BB41" s="346"/>
      <c r="BC41" s="346"/>
      <c r="BD41" s="346"/>
      <c r="BE41" s="346"/>
      <c r="BF41" s="346"/>
      <c r="BG41" s="17"/>
      <c r="BH41" s="17"/>
      <c r="BI41" s="17"/>
      <c r="BJ41" s="49"/>
      <c r="BK41" s="17"/>
      <c r="BL41" s="11"/>
      <c r="BM41" s="11"/>
      <c r="BN41" s="11"/>
      <c r="BO41" s="11"/>
      <c r="BP41" s="346"/>
      <c r="BQ41" s="346"/>
      <c r="BR41" s="34">
        <v>25</v>
      </c>
      <c r="BS41" s="11" t="s">
        <v>774</v>
      </c>
      <c r="BT41" s="333">
        <f t="shared" si="129"/>
        <v>0</v>
      </c>
      <c r="BU41" s="333">
        <f t="shared" si="130"/>
        <v>0</v>
      </c>
      <c r="BV41" s="333">
        <f t="shared" si="131"/>
        <v>0</v>
      </c>
      <c r="BW41" s="333">
        <f t="shared" si="132"/>
        <v>0</v>
      </c>
      <c r="BX41" s="333">
        <f t="shared" si="133"/>
        <v>0</v>
      </c>
      <c r="BY41" s="333">
        <f t="shared" si="134"/>
        <v>0</v>
      </c>
      <c r="BZ41" s="333">
        <f t="shared" si="122"/>
        <v>0</v>
      </c>
      <c r="CA41" s="346"/>
      <c r="CB41" s="346"/>
      <c r="CC41" s="346"/>
      <c r="CD41" s="346"/>
      <c r="CE41" s="346"/>
      <c r="CF41" s="346"/>
      <c r="CG41" s="346"/>
      <c r="CH41" s="346"/>
      <c r="CI41" s="346"/>
      <c r="CJ41" s="346"/>
      <c r="CK41" s="346"/>
      <c r="CL41" s="346"/>
      <c r="CM41" s="346"/>
      <c r="CW41" s="346"/>
      <c r="DG41" s="346"/>
      <c r="DH41" s="72">
        <v>4700</v>
      </c>
      <c r="DI41" s="73" t="s">
        <v>123</v>
      </c>
      <c r="DJ41" s="338">
        <f t="shared" si="136"/>
        <v>0</v>
      </c>
      <c r="DK41" s="338">
        <f t="shared" si="137"/>
        <v>0</v>
      </c>
      <c r="DL41" s="338">
        <f t="shared" si="41"/>
        <v>0</v>
      </c>
      <c r="DM41" s="338">
        <f t="shared" si="138"/>
        <v>0</v>
      </c>
      <c r="DN41" s="338">
        <f t="shared" si="139"/>
        <v>0</v>
      </c>
      <c r="DO41" s="338">
        <f t="shared" si="44"/>
        <v>0</v>
      </c>
      <c r="DP41" s="346"/>
      <c r="DQ41" s="346"/>
      <c r="EA41" s="346"/>
      <c r="EB41" s="346"/>
      <c r="EC41" s="346"/>
      <c r="ED41" s="346"/>
      <c r="EE41" s="346"/>
      <c r="EF41" s="346"/>
      <c r="EG41" s="346"/>
      <c r="EH41" s="346"/>
      <c r="EI41" s="346"/>
      <c r="EJ41" s="346"/>
      <c r="EK41" s="346"/>
      <c r="EL41" s="346"/>
      <c r="EM41" s="346"/>
      <c r="EN41" s="346"/>
      <c r="EO41" s="346"/>
      <c r="EP41" s="346"/>
      <c r="EQ41" s="346"/>
      <c r="ER41" s="346"/>
      <c r="ES41" s="346"/>
      <c r="ET41" s="346"/>
      <c r="EU41" s="95"/>
      <c r="EV41" s="95"/>
      <c r="EW41" s="95"/>
      <c r="EX41" s="95"/>
      <c r="EY41" s="95"/>
      <c r="EZ41" s="96"/>
      <c r="FA41" s="96"/>
      <c r="FB41" s="96"/>
    </row>
    <row r="42" spans="1:158">
      <c r="A42" s="346"/>
      <c r="B42" s="31">
        <v>3110</v>
      </c>
      <c r="C42" s="15" t="s">
        <v>59</v>
      </c>
      <c r="D42" s="112">
        <f ca="1">-SUMIF(BC[],MID(B42,1,3)&amp;"*",bc_2017)</f>
        <v>27577726.700000003</v>
      </c>
      <c r="E42" s="112">
        <f ca="1">-SUMIF(BC[],MID(B42,1,3)&amp;"*",bc_2016)</f>
        <v>26724265.559999999</v>
      </c>
      <c r="F42" s="24"/>
      <c r="G42" s="346"/>
      <c r="H42" s="346"/>
      <c r="I42" s="21">
        <v>5400</v>
      </c>
      <c r="J42" s="61" t="s">
        <v>209</v>
      </c>
      <c r="K42" s="111">
        <f ca="1">SUM(K43:K47)</f>
        <v>0</v>
      </c>
      <c r="L42" s="111">
        <f ca="1">SUM(L43:L47)</f>
        <v>0</v>
      </c>
      <c r="M42" s="77"/>
      <c r="N42" s="346"/>
      <c r="O42" s="346"/>
      <c r="P42" s="346"/>
      <c r="Q42" s="346"/>
      <c r="R42" s="346"/>
      <c r="S42" s="346"/>
      <c r="T42" s="346"/>
      <c r="U42" s="346"/>
      <c r="V42" s="346"/>
      <c r="W42" s="346"/>
      <c r="X42" s="346"/>
      <c r="Y42" s="31">
        <v>3110</v>
      </c>
      <c r="Z42" s="15" t="s">
        <v>59</v>
      </c>
      <c r="AA42" s="120">
        <f t="shared" ca="1" si="102"/>
        <v>853461.14000000432</v>
      </c>
      <c r="AB42" s="120">
        <f t="shared" ca="1" si="103"/>
        <v>0</v>
      </c>
      <c r="AC42" s="346"/>
      <c r="AD42" s="346"/>
      <c r="AE42" s="31" t="s">
        <v>133</v>
      </c>
      <c r="AF42" s="76" t="s">
        <v>20</v>
      </c>
      <c r="AG42" s="129">
        <f ca="1">+AB17-AA17+AB18-AA18</f>
        <v>2153605.2299999986</v>
      </c>
      <c r="AH42" s="130">
        <f ca="1">+Impresos!AL42</f>
        <v>2553051.8100000024</v>
      </c>
      <c r="AI42" s="24" t="s">
        <v>132</v>
      </c>
      <c r="AJ42" s="346"/>
      <c r="AK42" s="346"/>
      <c r="AL42" s="346"/>
      <c r="AM42" s="346"/>
      <c r="AN42" s="346"/>
      <c r="AO42" s="346"/>
      <c r="AP42" s="346"/>
      <c r="AQ42" s="346"/>
      <c r="AR42" s="346"/>
      <c r="AS42" s="346"/>
      <c r="AT42" s="346"/>
      <c r="AU42" s="17"/>
      <c r="AV42" s="17"/>
      <c r="AW42" s="17"/>
      <c r="AX42" s="49"/>
      <c r="AY42" s="17"/>
      <c r="AZ42" s="42"/>
      <c r="BA42" s="346"/>
      <c r="BB42" s="346"/>
      <c r="BC42" s="346"/>
      <c r="BD42" s="346"/>
      <c r="BE42" s="346"/>
      <c r="BF42" s="346"/>
      <c r="BG42" s="17"/>
      <c r="BH42" s="17"/>
      <c r="BI42" s="17"/>
      <c r="BJ42" s="49"/>
      <c r="BK42" s="17"/>
      <c r="BL42" s="11"/>
      <c r="BM42" s="11"/>
      <c r="BN42" s="11"/>
      <c r="BO42" s="11"/>
      <c r="BP42" s="346"/>
      <c r="BQ42" s="346"/>
      <c r="BR42" s="34">
        <v>26</v>
      </c>
      <c r="BS42" s="11" t="s">
        <v>775</v>
      </c>
      <c r="BT42" s="333">
        <f t="shared" si="129"/>
        <v>0</v>
      </c>
      <c r="BU42" s="333">
        <f t="shared" si="130"/>
        <v>0</v>
      </c>
      <c r="BV42" s="333">
        <f t="shared" si="131"/>
        <v>0</v>
      </c>
      <c r="BW42" s="333">
        <f t="shared" si="132"/>
        <v>0</v>
      </c>
      <c r="BX42" s="333">
        <f t="shared" si="133"/>
        <v>0</v>
      </c>
      <c r="BY42" s="333">
        <f t="shared" si="134"/>
        <v>0</v>
      </c>
      <c r="BZ42" s="333">
        <f t="shared" si="122"/>
        <v>0</v>
      </c>
      <c r="CA42" s="346"/>
      <c r="CB42" s="346"/>
      <c r="CC42" s="346"/>
      <c r="CD42" s="346"/>
      <c r="CE42" s="346"/>
      <c r="CF42" s="346"/>
      <c r="CG42" s="346"/>
      <c r="CH42" s="346"/>
      <c r="CI42" s="346"/>
      <c r="CJ42" s="346"/>
      <c r="CK42" s="346"/>
      <c r="CL42" s="346"/>
      <c r="CM42" s="346"/>
      <c r="CW42" s="346"/>
      <c r="DG42" s="346"/>
      <c r="DH42" s="72">
        <v>4800</v>
      </c>
      <c r="DI42" s="73" t="s">
        <v>124</v>
      </c>
      <c r="DJ42" s="338">
        <f t="shared" si="136"/>
        <v>0</v>
      </c>
      <c r="DK42" s="338">
        <f t="shared" si="137"/>
        <v>0</v>
      </c>
      <c r="DL42" s="338">
        <f t="shared" si="41"/>
        <v>0</v>
      </c>
      <c r="DM42" s="338">
        <f t="shared" si="138"/>
        <v>0</v>
      </c>
      <c r="DN42" s="338">
        <f t="shared" si="139"/>
        <v>0</v>
      </c>
      <c r="DO42" s="338">
        <f t="shared" si="44"/>
        <v>0</v>
      </c>
      <c r="DP42" s="346"/>
      <c r="DQ42" s="346"/>
      <c r="EA42" s="346"/>
      <c r="EB42" s="346"/>
      <c r="EC42" s="346"/>
      <c r="ED42" s="346"/>
      <c r="EE42" s="346"/>
      <c r="EF42" s="346"/>
      <c r="EG42" s="346"/>
      <c r="EH42" s="346"/>
      <c r="EI42" s="346"/>
      <c r="EJ42" s="346"/>
      <c r="EK42" s="346"/>
      <c r="EL42" s="346"/>
      <c r="EM42" s="346"/>
      <c r="EN42" s="346"/>
      <c r="EO42" s="346"/>
      <c r="EP42" s="346"/>
      <c r="EQ42" s="346"/>
      <c r="ER42" s="346"/>
      <c r="ES42" s="346"/>
      <c r="ET42" s="346"/>
      <c r="EU42" s="95"/>
      <c r="EV42" s="95"/>
      <c r="EW42" s="95"/>
      <c r="EX42" s="95"/>
      <c r="EY42" s="95"/>
      <c r="EZ42" s="96"/>
      <c r="FA42" s="96"/>
      <c r="FB42" s="96"/>
    </row>
    <row r="43" spans="1:158">
      <c r="A43" s="346"/>
      <c r="B43" s="31">
        <v>3120</v>
      </c>
      <c r="C43" s="15" t="s">
        <v>60</v>
      </c>
      <c r="D43" s="112">
        <f ca="1">-SUMIF(BC[],MID(B43,1,3)&amp;"*",bc_2017)</f>
        <v>0</v>
      </c>
      <c r="E43" s="112">
        <f ca="1">-SUMIF(BC[],MID(B43,1,3)&amp;"*",bc_2016)</f>
        <v>0</v>
      </c>
      <c r="F43" s="24"/>
      <c r="G43" s="346"/>
      <c r="H43" s="346"/>
      <c r="I43" s="31">
        <v>5410</v>
      </c>
      <c r="J43" s="76" t="s">
        <v>210</v>
      </c>
      <c r="K43" s="112">
        <f ca="1">SUMIF(BC[],MID(I43,1,3)&amp;"*",bc_2017)</f>
        <v>0</v>
      </c>
      <c r="L43" s="112">
        <f ca="1">SUMIF(BC[],MID(I43,1,3)&amp;"*",bc_2016)</f>
        <v>0</v>
      </c>
      <c r="M43" s="77"/>
      <c r="N43" s="346"/>
      <c r="O43" s="346"/>
      <c r="P43" s="346"/>
      <c r="Q43" s="346"/>
      <c r="R43" s="346"/>
      <c r="S43" s="346"/>
      <c r="T43" s="346"/>
      <c r="U43" s="346"/>
      <c r="V43" s="346"/>
      <c r="W43" s="346"/>
      <c r="X43" s="346"/>
      <c r="Y43" s="31">
        <v>3120</v>
      </c>
      <c r="Z43" s="15" t="s">
        <v>60</v>
      </c>
      <c r="AA43" s="120">
        <f t="shared" ca="1" si="102"/>
        <v>0</v>
      </c>
      <c r="AB43" s="120">
        <f t="shared" ca="1" si="103"/>
        <v>0</v>
      </c>
      <c r="AC43" s="346"/>
      <c r="AD43" s="346"/>
      <c r="AE43" s="32">
        <v>4700</v>
      </c>
      <c r="AF43" s="76" t="s">
        <v>134</v>
      </c>
      <c r="AG43" s="112">
        <v>0</v>
      </c>
      <c r="AH43" s="112">
        <v>0</v>
      </c>
      <c r="AI43" s="24"/>
      <c r="AJ43" s="346"/>
      <c r="AK43" s="346"/>
      <c r="AL43" s="346"/>
      <c r="AM43" s="346"/>
      <c r="AN43" s="346"/>
      <c r="AO43" s="346"/>
      <c r="AP43" s="346"/>
      <c r="AQ43" s="346"/>
      <c r="AR43" s="346"/>
      <c r="AS43" s="346"/>
      <c r="AT43" s="346"/>
      <c r="AU43" s="17"/>
      <c r="AV43" s="17"/>
      <c r="AW43" s="17"/>
      <c r="AX43" s="49"/>
      <c r="AY43" s="17"/>
      <c r="AZ43" s="42"/>
      <c r="BA43" s="346"/>
      <c r="BB43" s="346"/>
      <c r="BC43" s="346"/>
      <c r="BD43" s="346"/>
      <c r="BE43" s="346"/>
      <c r="BF43" s="346"/>
      <c r="BG43" s="17"/>
      <c r="BH43" s="17"/>
      <c r="BI43" s="17"/>
      <c r="BJ43" s="49"/>
      <c r="BK43" s="17"/>
      <c r="BL43" s="11"/>
      <c r="BM43" s="11"/>
      <c r="BN43" s="11"/>
      <c r="BO43" s="11"/>
      <c r="BP43" s="346"/>
      <c r="BQ43" s="346"/>
      <c r="BR43" s="428">
        <v>27</v>
      </c>
      <c r="BS43" s="40" t="s">
        <v>1584</v>
      </c>
      <c r="BT43" s="334">
        <f t="shared" si="129"/>
        <v>0</v>
      </c>
      <c r="BU43" s="334">
        <f t="shared" si="130"/>
        <v>0</v>
      </c>
      <c r="BV43" s="334">
        <f t="shared" si="131"/>
        <v>0</v>
      </c>
      <c r="BW43" s="334">
        <f t="shared" si="132"/>
        <v>0</v>
      </c>
      <c r="BX43" s="334">
        <f t="shared" si="133"/>
        <v>0</v>
      </c>
      <c r="BY43" s="334">
        <f t="shared" si="134"/>
        <v>0</v>
      </c>
      <c r="BZ43" s="334">
        <f t="shared" si="122"/>
        <v>0</v>
      </c>
      <c r="CA43" s="346"/>
      <c r="CB43" s="346"/>
      <c r="CC43" s="346"/>
      <c r="CD43" s="346"/>
      <c r="CE43" s="346"/>
      <c r="CF43" s="346"/>
      <c r="CG43" s="346"/>
      <c r="CH43" s="346"/>
      <c r="CI43" s="346"/>
      <c r="CJ43" s="346"/>
      <c r="CK43" s="346"/>
      <c r="CL43" s="346"/>
      <c r="CM43" s="346"/>
      <c r="CW43" s="346"/>
      <c r="DG43" s="346"/>
      <c r="DH43" s="72">
        <v>4900</v>
      </c>
      <c r="DI43" s="73" t="s">
        <v>125</v>
      </c>
      <c r="DJ43" s="338">
        <f t="shared" si="136"/>
        <v>0</v>
      </c>
      <c r="DK43" s="338">
        <f t="shared" si="137"/>
        <v>0</v>
      </c>
      <c r="DL43" s="338">
        <f t="shared" si="41"/>
        <v>0</v>
      </c>
      <c r="DM43" s="338">
        <f t="shared" si="138"/>
        <v>0</v>
      </c>
      <c r="DN43" s="338">
        <f t="shared" si="139"/>
        <v>0</v>
      </c>
      <c r="DO43" s="338">
        <f t="shared" si="44"/>
        <v>0</v>
      </c>
      <c r="DP43" s="346"/>
      <c r="DQ43" s="346"/>
      <c r="EA43" s="346"/>
      <c r="EB43" s="346"/>
      <c r="EC43" s="346"/>
      <c r="ED43" s="346"/>
      <c r="EE43" s="346"/>
      <c r="EF43" s="346"/>
      <c r="EG43" s="346"/>
      <c r="EH43" s="346"/>
      <c r="EI43" s="346"/>
      <c r="EJ43" s="346"/>
      <c r="EK43" s="346"/>
      <c r="EL43" s="346"/>
      <c r="EM43" s="346"/>
      <c r="EN43" s="346"/>
      <c r="EO43" s="346"/>
      <c r="EP43" s="346"/>
      <c r="EQ43" s="346"/>
      <c r="ER43" s="346"/>
      <c r="ES43" s="346"/>
      <c r="ET43" s="346"/>
      <c r="EU43" s="95"/>
      <c r="EV43" s="95"/>
      <c r="EW43" s="95"/>
      <c r="EX43" s="95"/>
      <c r="EY43" s="95"/>
      <c r="EZ43" s="96"/>
      <c r="FA43" s="96"/>
      <c r="FB43" s="96"/>
    </row>
    <row r="44" spans="1:158">
      <c r="A44" s="346"/>
      <c r="B44" s="31">
        <v>3130</v>
      </c>
      <c r="C44" s="15" t="s">
        <v>61</v>
      </c>
      <c r="D44" s="112">
        <f ca="1">-SUMIF(BC[],MID(B44,1,3)&amp;"*",bc_2017)</f>
        <v>0</v>
      </c>
      <c r="E44" s="112">
        <f ca="1">-SUMIF(BC[],MID(B44,1,3)&amp;"*",bc_2016)</f>
        <v>0</v>
      </c>
      <c r="F44" s="24"/>
      <c r="G44" s="346"/>
      <c r="H44" s="346"/>
      <c r="I44" s="31">
        <v>5420</v>
      </c>
      <c r="J44" s="76" t="s">
        <v>211</v>
      </c>
      <c r="K44" s="112">
        <f ca="1">SUMIF(BC[],MID(I44,1,3)&amp;"*",bc_2017)</f>
        <v>0</v>
      </c>
      <c r="L44" s="112">
        <f ca="1">SUMIF(BC[],MID(I44,1,3)&amp;"*",bc_2016)</f>
        <v>0</v>
      </c>
      <c r="M44" s="77"/>
      <c r="N44" s="346"/>
      <c r="O44" s="346"/>
      <c r="P44" s="346"/>
      <c r="Q44" s="346"/>
      <c r="R44" s="346"/>
      <c r="S44" s="346"/>
      <c r="T44" s="346"/>
      <c r="U44" s="346"/>
      <c r="V44" s="346"/>
      <c r="W44" s="346"/>
      <c r="X44" s="346"/>
      <c r="Y44" s="31">
        <v>3130</v>
      </c>
      <c r="Z44" s="15" t="s">
        <v>61</v>
      </c>
      <c r="AA44" s="120">
        <f t="shared" ca="1" si="102"/>
        <v>0</v>
      </c>
      <c r="AB44" s="120">
        <f t="shared" ca="1" si="103"/>
        <v>0</v>
      </c>
      <c r="AC44" s="346"/>
      <c r="AD44" s="346"/>
      <c r="AE44" s="32">
        <v>900006</v>
      </c>
      <c r="AF44" s="61" t="s">
        <v>135</v>
      </c>
      <c r="AG44" s="128">
        <f ca="1">+AG36-AG40</f>
        <v>-1300144.0899999943</v>
      </c>
      <c r="AH44" s="128">
        <f ca="1">+AH36-AH40</f>
        <v>900771.74999999627</v>
      </c>
      <c r="AI44" s="24"/>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17"/>
      <c r="BH44" s="17"/>
      <c r="BI44" s="17"/>
      <c r="BJ44" s="49"/>
      <c r="BK44" s="17"/>
      <c r="BL44" s="11"/>
      <c r="BM44" s="11"/>
      <c r="BN44" s="11"/>
      <c r="BO44" s="11"/>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W44" s="346"/>
      <c r="DG44" s="346"/>
      <c r="DH44" s="341">
        <v>5000</v>
      </c>
      <c r="DI44" s="342" t="s">
        <v>265</v>
      </c>
      <c r="DJ44" s="337">
        <f t="shared" ref="DJ44:DO44" si="148">SUM(DJ45:DJ53)</f>
        <v>1042027.56</v>
      </c>
      <c r="DK44" s="337">
        <f t="shared" si="148"/>
        <v>1675477.6800000002</v>
      </c>
      <c r="DL44" s="337">
        <f t="shared" si="148"/>
        <v>2717505.24</v>
      </c>
      <c r="DM44" s="337">
        <f t="shared" si="148"/>
        <v>2717505.24</v>
      </c>
      <c r="DN44" s="337">
        <f t="shared" si="148"/>
        <v>2717505.24</v>
      </c>
      <c r="DO44" s="337">
        <f t="shared" si="148"/>
        <v>0</v>
      </c>
      <c r="DP44" s="346"/>
      <c r="DQ44" s="346"/>
      <c r="EA44" s="346"/>
      <c r="EB44" s="346"/>
      <c r="EC44" s="346"/>
      <c r="ED44" s="346"/>
      <c r="EE44" s="346"/>
      <c r="EF44" s="346"/>
      <c r="EG44" s="346"/>
      <c r="EH44" s="346"/>
      <c r="EI44" s="346"/>
      <c r="EJ44" s="346"/>
      <c r="EK44" s="346"/>
      <c r="EL44" s="346"/>
      <c r="EM44" s="346"/>
      <c r="EN44" s="346"/>
      <c r="EO44" s="346"/>
      <c r="EP44" s="346"/>
      <c r="EQ44" s="346"/>
      <c r="ER44" s="346"/>
      <c r="ES44" s="346"/>
      <c r="ET44" s="346"/>
      <c r="EU44" s="95"/>
      <c r="EV44" s="95"/>
      <c r="EW44" s="95"/>
      <c r="EX44" s="95"/>
      <c r="EY44" s="95"/>
      <c r="EZ44" s="96"/>
      <c r="FA44" s="96"/>
      <c r="FB44" s="96"/>
    </row>
    <row r="45" spans="1:158">
      <c r="A45" s="346"/>
      <c r="B45" s="21">
        <v>3200</v>
      </c>
      <c r="C45" s="14" t="s">
        <v>62</v>
      </c>
      <c r="D45" s="111">
        <f ca="1">SUM(D46:D50)</f>
        <v>1049928.6900000083</v>
      </c>
      <c r="E45" s="111">
        <f ca="1">SUM(E46:E50)</f>
        <v>-953582.3699999922</v>
      </c>
      <c r="F45" s="24" t="s">
        <v>63</v>
      </c>
      <c r="G45" s="346"/>
      <c r="H45" s="346"/>
      <c r="I45" s="31">
        <v>5430</v>
      </c>
      <c r="J45" s="76" t="s">
        <v>212</v>
      </c>
      <c r="K45" s="112">
        <f ca="1">SUMIF(BC[],MID(I45,1,3)&amp;"*",bc_2017)</f>
        <v>0</v>
      </c>
      <c r="L45" s="112">
        <f ca="1">SUMIF(BC[],MID(I45,1,3)&amp;"*",bc_2016)</f>
        <v>0</v>
      </c>
      <c r="M45" s="77"/>
      <c r="N45" s="346"/>
      <c r="O45" s="346"/>
      <c r="P45" s="346"/>
      <c r="Q45" s="346"/>
      <c r="R45" s="346"/>
      <c r="S45" s="346"/>
      <c r="T45" s="346"/>
      <c r="U45" s="346"/>
      <c r="V45" s="346"/>
      <c r="W45" s="346"/>
      <c r="X45" s="346"/>
      <c r="Y45" s="21">
        <v>3200</v>
      </c>
      <c r="Z45" s="14" t="s">
        <v>62</v>
      </c>
      <c r="AA45" s="121">
        <f t="shared" ca="1" si="102"/>
        <v>2003511.0600000005</v>
      </c>
      <c r="AB45" s="121">
        <f t="shared" ca="1" si="103"/>
        <v>0</v>
      </c>
      <c r="AC45" s="346"/>
      <c r="AD45" s="346"/>
      <c r="AE45" s="36"/>
      <c r="AF45" s="61" t="s">
        <v>136</v>
      </c>
      <c r="AG45" s="147">
        <f ca="1">+AG56</f>
        <v>2743292.7699999944</v>
      </c>
      <c r="AH45" s="147">
        <f ca="1">+AH56</f>
        <v>-1301231.1399999973</v>
      </c>
      <c r="AI45" s="24"/>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17"/>
      <c r="BH45" s="17"/>
      <c r="BI45" s="17"/>
      <c r="BJ45" s="49"/>
      <c r="BK45" s="17"/>
      <c r="BL45" s="11"/>
      <c r="BM45" s="11"/>
      <c r="BN45" s="11"/>
      <c r="BO45" s="11"/>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W45" s="346"/>
      <c r="DG45" s="346"/>
      <c r="DH45" s="72">
        <v>5100</v>
      </c>
      <c r="DI45" s="73" t="s">
        <v>21</v>
      </c>
      <c r="DJ45" s="338">
        <f t="shared" ref="DJ45:DJ53" si="149">SUMIF(PE_COG,MID(DH45,1,2)&amp;"*",PE_A)</f>
        <v>315389.03000000003</v>
      </c>
      <c r="DK45" s="338">
        <f t="shared" ref="DK45:DK53" si="150">SUMIF(PE_COG,MID(DH45,1,2)&amp;"*",PE_M)</f>
        <v>1059539.17</v>
      </c>
      <c r="DL45" s="338">
        <f t="shared" si="41"/>
        <v>1374928.2</v>
      </c>
      <c r="DM45" s="338">
        <f t="shared" ref="DM45:DM53" si="151">SUMIF(PE_COG,MID(DH45,1,2)&amp;"*",PE_D)</f>
        <v>1374928.2</v>
      </c>
      <c r="DN45" s="338">
        <f t="shared" ref="DN45:DN53" si="152">SUMIF(PE_COG,MID(DH45,1,2)&amp;"*",PE_P)</f>
        <v>1374928.2</v>
      </c>
      <c r="DO45" s="338">
        <f t="shared" si="44"/>
        <v>0</v>
      </c>
      <c r="DP45" s="346"/>
      <c r="DQ45" s="346"/>
      <c r="EA45" s="346"/>
      <c r="EB45" s="346"/>
      <c r="EC45" s="346"/>
      <c r="ED45" s="346"/>
      <c r="EE45" s="346"/>
      <c r="EF45" s="346"/>
      <c r="EG45" s="346"/>
      <c r="EH45" s="346"/>
      <c r="EI45" s="346"/>
      <c r="EJ45" s="346"/>
      <c r="EK45" s="346"/>
      <c r="EL45" s="346"/>
      <c r="EM45" s="346"/>
      <c r="EN45" s="346"/>
      <c r="EO45" s="346"/>
      <c r="EP45" s="346"/>
      <c r="EQ45" s="346"/>
      <c r="ER45" s="346"/>
      <c r="ES45" s="346"/>
      <c r="ET45" s="346"/>
      <c r="EU45" s="95"/>
      <c r="EV45" s="95"/>
      <c r="EW45" s="95"/>
      <c r="EX45" s="95"/>
      <c r="EY45" s="95"/>
      <c r="EZ45" s="96"/>
      <c r="FA45" s="96"/>
      <c r="FB45" s="96"/>
    </row>
    <row r="46" spans="1:158">
      <c r="A46" s="346"/>
      <c r="B46" s="31">
        <v>3210</v>
      </c>
      <c r="C46" s="15" t="s">
        <v>64</v>
      </c>
      <c r="D46" s="112">
        <f ca="1">-SUMIF(BC[],MID(B46,1,3)&amp;"*",bc_2017)+K57</f>
        <v>394466.96000000834</v>
      </c>
      <c r="E46" s="112">
        <f ca="1">-SUMIF(BC[],MID(B46,1,3)&amp;"*",bc_2016)+L57</f>
        <v>-1484625.6799999923</v>
      </c>
      <c r="F46" s="24"/>
      <c r="G46" s="346"/>
      <c r="H46" s="346"/>
      <c r="I46" s="31">
        <v>5440</v>
      </c>
      <c r="J46" s="76" t="s">
        <v>213</v>
      </c>
      <c r="K46" s="112">
        <f ca="1">SUMIF(BC[],MID(I46,1,3)&amp;"*",bc_2017)</f>
        <v>0</v>
      </c>
      <c r="L46" s="112">
        <f ca="1">SUMIF(BC[],MID(I46,1,3)&amp;"*",bc_2016)</f>
        <v>0</v>
      </c>
      <c r="M46" s="77"/>
      <c r="N46" s="346"/>
      <c r="O46" s="346"/>
      <c r="P46" s="346"/>
      <c r="Q46" s="346"/>
      <c r="R46" s="346"/>
      <c r="S46" s="346"/>
      <c r="T46" s="346"/>
      <c r="U46" s="346"/>
      <c r="V46" s="346"/>
      <c r="W46" s="346"/>
      <c r="X46" s="346"/>
      <c r="Y46" s="31">
        <v>3210</v>
      </c>
      <c r="Z46" s="15" t="s">
        <v>148</v>
      </c>
      <c r="AA46" s="120">
        <f t="shared" ca="1" si="102"/>
        <v>1879092.6400000006</v>
      </c>
      <c r="AB46" s="120">
        <f t="shared" ca="1" si="103"/>
        <v>0</v>
      </c>
      <c r="AC46" s="346"/>
      <c r="AD46" s="346"/>
      <c r="AE46" s="32">
        <v>900007</v>
      </c>
      <c r="AF46" s="61" t="s">
        <v>101</v>
      </c>
      <c r="AG46" s="128">
        <f ca="1">+AG47+AG50</f>
        <v>2743514.7599999947</v>
      </c>
      <c r="AH46" s="128">
        <f ca="1">+AH47+AH50</f>
        <v>537339.72999999207</v>
      </c>
      <c r="AI46" s="24"/>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17"/>
      <c r="BH46" s="17"/>
      <c r="BI46" s="17"/>
      <c r="BJ46" s="49"/>
      <c r="BK46" s="17"/>
      <c r="BL46" s="11"/>
      <c r="BM46" s="11"/>
      <c r="BN46" s="11"/>
      <c r="BO46" s="11"/>
      <c r="BP46" s="346"/>
      <c r="BQ46" s="346"/>
      <c r="BR46" s="1043" t="s">
        <v>361</v>
      </c>
      <c r="BS46" s="1043"/>
      <c r="BT46" s="1043"/>
      <c r="BU46" s="1043"/>
      <c r="BV46" s="1043"/>
      <c r="BW46" s="1043"/>
      <c r="BX46" s="1043"/>
      <c r="BY46" s="1043"/>
      <c r="BZ46" s="346"/>
      <c r="CA46" s="346"/>
      <c r="CB46" s="346"/>
      <c r="CC46" s="346"/>
      <c r="CD46" s="346"/>
      <c r="CE46" s="346"/>
      <c r="CF46" s="346"/>
      <c r="CG46" s="346"/>
      <c r="CH46" s="346"/>
      <c r="CI46" s="346"/>
      <c r="CJ46" s="346"/>
      <c r="CK46" s="346"/>
      <c r="CL46" s="346"/>
      <c r="CM46" s="346"/>
      <c r="CW46" s="346"/>
      <c r="DG46" s="346"/>
      <c r="DH46" s="72">
        <v>5200</v>
      </c>
      <c r="DI46" s="73" t="s">
        <v>22</v>
      </c>
      <c r="DJ46" s="338">
        <f t="shared" si="149"/>
        <v>0</v>
      </c>
      <c r="DK46" s="338">
        <f t="shared" si="150"/>
        <v>0</v>
      </c>
      <c r="DL46" s="338">
        <f t="shared" si="41"/>
        <v>0</v>
      </c>
      <c r="DM46" s="338">
        <f t="shared" si="151"/>
        <v>0</v>
      </c>
      <c r="DN46" s="338">
        <f t="shared" si="152"/>
        <v>0</v>
      </c>
      <c r="DO46" s="338">
        <f t="shared" si="44"/>
        <v>0</v>
      </c>
      <c r="DP46" s="346"/>
      <c r="DQ46" s="346"/>
      <c r="EA46" s="346"/>
      <c r="EB46" s="346"/>
      <c r="EC46" s="346"/>
      <c r="ED46" s="346"/>
      <c r="EE46" s="346"/>
      <c r="EF46" s="346"/>
      <c r="EG46" s="346"/>
      <c r="EH46" s="346"/>
      <c r="EI46" s="346"/>
      <c r="EJ46" s="346"/>
      <c r="EK46" s="346"/>
      <c r="EL46" s="346"/>
      <c r="EM46" s="346"/>
      <c r="EN46" s="346"/>
      <c r="EO46" s="346"/>
      <c r="EP46" s="346"/>
      <c r="EQ46" s="346"/>
      <c r="ER46" s="346"/>
      <c r="ES46" s="346"/>
      <c r="ET46" s="346"/>
      <c r="EU46" s="95"/>
      <c r="EV46" s="95"/>
      <c r="EW46" s="95"/>
      <c r="EX46" s="95"/>
      <c r="EY46" s="95"/>
      <c r="EZ46" s="96"/>
      <c r="FA46" s="96"/>
      <c r="FB46" s="96"/>
    </row>
    <row r="47" spans="1:158">
      <c r="A47" s="346"/>
      <c r="B47" s="31">
        <v>3220</v>
      </c>
      <c r="C47" s="15" t="s">
        <v>65</v>
      </c>
      <c r="D47" s="112">
        <f ca="1">-SUMIF(BC[],MID(B47,1,3)&amp;"*",bc_2017)</f>
        <v>655461.73</v>
      </c>
      <c r="E47" s="112">
        <f ca="1">-SUMIF(BC[],MID(B47,1,3)&amp;"*",bc_2016)</f>
        <v>531043.31000000006</v>
      </c>
      <c r="F47" s="24"/>
      <c r="G47" s="346"/>
      <c r="H47" s="346"/>
      <c r="I47" s="31">
        <v>5450</v>
      </c>
      <c r="J47" s="76" t="s">
        <v>214</v>
      </c>
      <c r="K47" s="112">
        <f ca="1">SUMIF(BC[],MID(I47,1,3)&amp;"*",bc_2017)</f>
        <v>0</v>
      </c>
      <c r="L47" s="112">
        <f ca="1">SUMIF(BC[],MID(I47,1,3)&amp;"*",bc_2016)</f>
        <v>0</v>
      </c>
      <c r="M47" s="77"/>
      <c r="N47" s="346"/>
      <c r="O47" s="346"/>
      <c r="P47" s="346"/>
      <c r="Q47" s="346"/>
      <c r="R47" s="346"/>
      <c r="S47" s="346"/>
      <c r="T47" s="346"/>
      <c r="U47" s="346"/>
      <c r="V47" s="346"/>
      <c r="W47" s="346"/>
      <c r="X47" s="346"/>
      <c r="Y47" s="31">
        <v>3220</v>
      </c>
      <c r="Z47" s="15" t="s">
        <v>65</v>
      </c>
      <c r="AA47" s="120">
        <f t="shared" ca="1" si="102"/>
        <v>124418.41999999993</v>
      </c>
      <c r="AB47" s="120">
        <f t="shared" ca="1" si="103"/>
        <v>0</v>
      </c>
      <c r="AC47" s="346"/>
      <c r="AD47" s="346"/>
      <c r="AE47" s="52"/>
      <c r="AF47" s="76" t="s">
        <v>137</v>
      </c>
      <c r="AG47" s="129">
        <f>SUM(AG48:AG49)</f>
        <v>0</v>
      </c>
      <c r="AH47" s="129"/>
      <c r="AI47" s="24"/>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17"/>
      <c r="BH47" s="17"/>
      <c r="BI47" s="17"/>
      <c r="BJ47" s="49"/>
      <c r="BK47" s="17"/>
      <c r="BL47" s="11"/>
      <c r="BM47" s="11"/>
      <c r="BN47" s="11"/>
      <c r="BO47" s="11"/>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W47" s="346"/>
      <c r="DG47" s="346"/>
      <c r="DH47" s="72">
        <v>5300</v>
      </c>
      <c r="DI47" s="73" t="s">
        <v>23</v>
      </c>
      <c r="DJ47" s="338">
        <f t="shared" si="149"/>
        <v>0</v>
      </c>
      <c r="DK47" s="338">
        <f t="shared" si="150"/>
        <v>0</v>
      </c>
      <c r="DL47" s="338">
        <f t="shared" si="41"/>
        <v>0</v>
      </c>
      <c r="DM47" s="338">
        <f t="shared" si="151"/>
        <v>0</v>
      </c>
      <c r="DN47" s="338">
        <f t="shared" si="152"/>
        <v>0</v>
      </c>
      <c r="DO47" s="338">
        <f t="shared" si="44"/>
        <v>0</v>
      </c>
      <c r="DP47" s="346"/>
      <c r="DQ47" s="346"/>
      <c r="EA47" s="346"/>
      <c r="EB47" s="346"/>
      <c r="EC47" s="346"/>
      <c r="ED47" s="346"/>
      <c r="EE47" s="346"/>
      <c r="EF47" s="346"/>
      <c r="EG47" s="346"/>
      <c r="EH47" s="346"/>
      <c r="EI47" s="346"/>
      <c r="EJ47" s="346"/>
      <c r="EK47" s="346"/>
      <c r="EL47" s="346"/>
      <c r="EM47" s="346"/>
      <c r="EN47" s="346"/>
      <c r="EO47" s="346"/>
      <c r="EP47" s="346"/>
      <c r="EQ47" s="346"/>
      <c r="ER47" s="346"/>
      <c r="ES47" s="346"/>
      <c r="ET47" s="346"/>
      <c r="EU47" s="95"/>
      <c r="EV47" s="95"/>
      <c r="EW47" s="95"/>
      <c r="EX47" s="95"/>
      <c r="EY47" s="95"/>
      <c r="EZ47" s="96"/>
      <c r="FA47" s="96"/>
      <c r="FB47" s="96"/>
    </row>
    <row r="48" spans="1:158">
      <c r="A48" s="346"/>
      <c r="B48" s="31">
        <v>3230</v>
      </c>
      <c r="C48" s="15" t="s">
        <v>66</v>
      </c>
      <c r="D48" s="112">
        <f ca="1">-SUMIF(BC[],MID(B48,1,3)&amp;"*",bc_2017)</f>
        <v>0</v>
      </c>
      <c r="E48" s="112">
        <f ca="1">-SUMIF(BC[],MID(B48,1,3)&amp;"*",bc_2016)</f>
        <v>0</v>
      </c>
      <c r="F48" s="24"/>
      <c r="G48" s="346"/>
      <c r="H48" s="346"/>
      <c r="I48" s="21">
        <v>5500</v>
      </c>
      <c r="J48" s="61" t="s">
        <v>215</v>
      </c>
      <c r="K48" s="111">
        <f ca="1">SUM(K49:K54)</f>
        <v>2531067.35</v>
      </c>
      <c r="L48" s="111">
        <f ca="1">SUM(L49:L54)</f>
        <v>2390566.8499999996</v>
      </c>
      <c r="M48" s="77"/>
      <c r="N48" s="346"/>
      <c r="O48" s="346"/>
      <c r="P48" s="346"/>
      <c r="Q48" s="346"/>
      <c r="R48" s="346"/>
      <c r="S48" s="346"/>
      <c r="T48" s="346"/>
      <c r="U48" s="346"/>
      <c r="V48" s="346"/>
      <c r="W48" s="346"/>
      <c r="X48" s="346"/>
      <c r="Y48" s="31">
        <v>3230</v>
      </c>
      <c r="Z48" s="15" t="s">
        <v>66</v>
      </c>
      <c r="AA48" s="120">
        <f t="shared" ca="1" si="102"/>
        <v>0</v>
      </c>
      <c r="AB48" s="120">
        <f t="shared" ca="1" si="103"/>
        <v>0</v>
      </c>
      <c r="AC48" s="346"/>
      <c r="AD48" s="346"/>
      <c r="AE48" s="31">
        <v>2233</v>
      </c>
      <c r="AF48" s="76" t="s">
        <v>138</v>
      </c>
      <c r="AG48" s="112">
        <v>0</v>
      </c>
      <c r="AH48" s="112">
        <v>0</v>
      </c>
      <c r="AI48" s="24"/>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17"/>
      <c r="BH48" s="17"/>
      <c r="BI48" s="17"/>
      <c r="BJ48" s="49"/>
      <c r="BK48" s="17"/>
      <c r="BL48" s="11"/>
      <c r="BM48" s="11"/>
      <c r="BN48" s="11"/>
      <c r="BO48" s="11"/>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W48" s="346"/>
      <c r="DG48" s="346"/>
      <c r="DH48" s="72">
        <v>5400</v>
      </c>
      <c r="DI48" s="73" t="s">
        <v>24</v>
      </c>
      <c r="DJ48" s="338">
        <f t="shared" si="149"/>
        <v>666567.59</v>
      </c>
      <c r="DK48" s="338">
        <f t="shared" si="150"/>
        <v>456930.41000000015</v>
      </c>
      <c r="DL48" s="338">
        <f t="shared" si="41"/>
        <v>1123498</v>
      </c>
      <c r="DM48" s="338">
        <f t="shared" si="151"/>
        <v>1123498</v>
      </c>
      <c r="DN48" s="338">
        <f t="shared" si="152"/>
        <v>1123498</v>
      </c>
      <c r="DO48" s="338">
        <f t="shared" si="44"/>
        <v>0</v>
      </c>
      <c r="DP48" s="346"/>
      <c r="DQ48" s="346"/>
      <c r="EA48" s="346"/>
      <c r="EB48" s="346"/>
      <c r="EC48" s="346"/>
      <c r="ED48" s="346"/>
      <c r="EE48" s="346"/>
      <c r="EF48" s="346"/>
      <c r="EG48" s="346"/>
      <c r="EH48" s="346"/>
      <c r="EI48" s="346"/>
      <c r="EJ48" s="346"/>
      <c r="EK48" s="346"/>
      <c r="EL48" s="346"/>
      <c r="EM48" s="346"/>
      <c r="EN48" s="346"/>
      <c r="EO48" s="346"/>
      <c r="EP48" s="346"/>
      <c r="EQ48" s="346"/>
      <c r="ER48" s="346"/>
      <c r="ES48" s="346"/>
      <c r="ET48" s="346"/>
      <c r="EU48" s="95"/>
      <c r="EV48" s="95"/>
      <c r="EW48" s="95"/>
      <c r="EX48" s="95"/>
      <c r="EY48" s="95"/>
      <c r="EZ48" s="96"/>
      <c r="FA48" s="96"/>
      <c r="FB48" s="96"/>
    </row>
    <row r="49" spans="1:158">
      <c r="A49" s="346"/>
      <c r="B49" s="31">
        <v>3240</v>
      </c>
      <c r="C49" s="15" t="s">
        <v>67</v>
      </c>
      <c r="D49" s="112">
        <f ca="1">-SUMIF(BC[],MID(B49,1,3)&amp;"*",bc_2017)</f>
        <v>0</v>
      </c>
      <c r="E49" s="112">
        <f ca="1">-SUMIF(BC[],MID(B49,1,3)&amp;"*",bc_2016)</f>
        <v>0</v>
      </c>
      <c r="F49" s="24"/>
      <c r="G49" s="346"/>
      <c r="H49" s="346"/>
      <c r="I49" s="31">
        <v>5510</v>
      </c>
      <c r="J49" s="76" t="s">
        <v>216</v>
      </c>
      <c r="K49" s="112">
        <f ca="1">SUMIF(BC[],MID(I49,1,3)&amp;"*",bc_2017)</f>
        <v>2531067.35</v>
      </c>
      <c r="L49" s="112">
        <f ca="1">SUMIF(BC[],MID(I49,1,3)&amp;"*",bc_2016)</f>
        <v>2390566.8499999996</v>
      </c>
      <c r="M49" s="77"/>
      <c r="N49" s="346"/>
      <c r="O49" s="346"/>
      <c r="P49" s="346"/>
      <c r="Q49" s="346"/>
      <c r="R49" s="346"/>
      <c r="S49" s="346"/>
      <c r="T49" s="346"/>
      <c r="U49" s="346"/>
      <c r="V49" s="346"/>
      <c r="W49" s="346"/>
      <c r="X49" s="346"/>
      <c r="Y49" s="31">
        <v>3240</v>
      </c>
      <c r="Z49" s="15" t="s">
        <v>67</v>
      </c>
      <c r="AA49" s="120">
        <f t="shared" ca="1" si="102"/>
        <v>0</v>
      </c>
      <c r="AB49" s="120">
        <f t="shared" ca="1" si="103"/>
        <v>0</v>
      </c>
      <c r="AC49" s="346"/>
      <c r="AD49" s="346"/>
      <c r="AE49" s="53">
        <v>2234</v>
      </c>
      <c r="AF49" s="76" t="s">
        <v>139</v>
      </c>
      <c r="AG49" s="112">
        <v>0</v>
      </c>
      <c r="AH49" s="112">
        <v>0</v>
      </c>
      <c r="AI49" s="24"/>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W49" s="346"/>
      <c r="DG49" s="346"/>
      <c r="DH49" s="72">
        <v>5500</v>
      </c>
      <c r="DI49" s="73" t="s">
        <v>25</v>
      </c>
      <c r="DJ49" s="338">
        <f t="shared" si="149"/>
        <v>0</v>
      </c>
      <c r="DK49" s="338">
        <f t="shared" si="150"/>
        <v>0</v>
      </c>
      <c r="DL49" s="338">
        <f t="shared" si="41"/>
        <v>0</v>
      </c>
      <c r="DM49" s="338">
        <f t="shared" si="151"/>
        <v>0</v>
      </c>
      <c r="DN49" s="338">
        <f t="shared" si="152"/>
        <v>0</v>
      </c>
      <c r="DO49" s="338">
        <f t="shared" si="44"/>
        <v>0</v>
      </c>
      <c r="DP49" s="346"/>
      <c r="DQ49" s="346"/>
      <c r="EA49" s="346"/>
      <c r="EB49" s="346"/>
      <c r="EC49" s="346"/>
      <c r="ED49" s="346"/>
      <c r="EE49" s="346"/>
      <c r="EF49" s="346"/>
      <c r="EG49" s="346"/>
      <c r="EH49" s="346"/>
      <c r="EI49" s="346"/>
      <c r="EJ49" s="346"/>
      <c r="EK49" s="346"/>
      <c r="EL49" s="346"/>
      <c r="EM49" s="346"/>
      <c r="EN49" s="346"/>
      <c r="EO49" s="346"/>
      <c r="EP49" s="346"/>
      <c r="EQ49" s="346"/>
      <c r="ER49" s="346"/>
      <c r="ES49" s="346"/>
      <c r="ET49" s="346"/>
      <c r="EU49" s="95"/>
      <c r="EV49" s="95"/>
      <c r="EW49" s="95"/>
      <c r="EX49" s="95"/>
      <c r="EY49" s="95"/>
      <c r="EZ49" s="96"/>
      <c r="FA49" s="96"/>
      <c r="FB49" s="96"/>
    </row>
    <row r="50" spans="1:158">
      <c r="A50" s="346"/>
      <c r="B50" s="31">
        <v>3250</v>
      </c>
      <c r="C50" s="15" t="s">
        <v>68</v>
      </c>
      <c r="D50" s="112">
        <f ca="1">-SUMIF(BC[],MID(B50,1,3)&amp;"*",bc_2017)</f>
        <v>0</v>
      </c>
      <c r="E50" s="112">
        <f ca="1">-SUMIF(BC[],MID(B50,1,3)&amp;"*",bc_2016)</f>
        <v>0</v>
      </c>
      <c r="F50" s="24"/>
      <c r="G50" s="346"/>
      <c r="H50" s="346"/>
      <c r="I50" s="31">
        <v>5520</v>
      </c>
      <c r="J50" s="76" t="s">
        <v>217</v>
      </c>
      <c r="K50" s="112">
        <f ca="1">SUMIF(BC[],MID(I50,1,3)&amp;"*",bc_2017)</f>
        <v>0</v>
      </c>
      <c r="L50" s="112">
        <f ca="1">SUMIF(BC[],MID(I50,1,3)&amp;"*",bc_2016)</f>
        <v>0</v>
      </c>
      <c r="M50" s="77"/>
      <c r="N50" s="346"/>
      <c r="O50" s="346"/>
      <c r="P50" s="346"/>
      <c r="Q50" s="346"/>
      <c r="R50" s="346"/>
      <c r="S50" s="346"/>
      <c r="T50" s="346"/>
      <c r="U50" s="346"/>
      <c r="V50" s="346"/>
      <c r="W50" s="346"/>
      <c r="X50" s="346"/>
      <c r="Y50" s="31">
        <v>3250</v>
      </c>
      <c r="Z50" s="15" t="s">
        <v>68</v>
      </c>
      <c r="AA50" s="120">
        <f t="shared" ca="1" si="102"/>
        <v>0</v>
      </c>
      <c r="AB50" s="120">
        <f t="shared" ca="1" si="103"/>
        <v>0</v>
      </c>
      <c r="AC50" s="346"/>
      <c r="AD50" s="346"/>
      <c r="AE50" s="54">
        <v>4800</v>
      </c>
      <c r="AF50" s="76" t="s">
        <v>140</v>
      </c>
      <c r="AG50" s="130">
        <f ca="1">SUM(AA7:AA12)+SUM(AA14:AA15)+SUM(AA19:AA22)+SUM(AA25:AA32)+SUM(AA34:AA39)+SUM(AA43:AA44)+SUM(AA46:AA50)+SUM(AA52:AA53)-K57-K48</f>
        <v>2743514.7599999947</v>
      </c>
      <c r="AH50" s="130">
        <f ca="1">+Impresos!AL50</f>
        <v>537339.72999999207</v>
      </c>
      <c r="AI50" s="24"/>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W50" s="346"/>
      <c r="DG50" s="346"/>
      <c r="DH50" s="72">
        <v>5600</v>
      </c>
      <c r="DI50" s="73" t="s">
        <v>26</v>
      </c>
      <c r="DJ50" s="338">
        <f t="shared" si="149"/>
        <v>0</v>
      </c>
      <c r="DK50" s="338">
        <f t="shared" si="150"/>
        <v>93663.739999999991</v>
      </c>
      <c r="DL50" s="338">
        <f t="shared" si="41"/>
        <v>93663.739999999991</v>
      </c>
      <c r="DM50" s="338">
        <f t="shared" si="151"/>
        <v>93663.739999999991</v>
      </c>
      <c r="DN50" s="338">
        <f t="shared" si="152"/>
        <v>93663.739999999991</v>
      </c>
      <c r="DO50" s="338">
        <f t="shared" si="44"/>
        <v>0</v>
      </c>
      <c r="DP50" s="346"/>
      <c r="DQ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row>
    <row r="51" spans="1:158">
      <c r="A51" s="346"/>
      <c r="B51" s="21">
        <v>3300</v>
      </c>
      <c r="C51" s="14" t="s">
        <v>149</v>
      </c>
      <c r="D51" s="111">
        <f ca="1">SUM(D52:D53)</f>
        <v>0</v>
      </c>
      <c r="E51" s="111">
        <f ca="1">SUM(E52:E53)</f>
        <v>0</v>
      </c>
      <c r="F51" s="24"/>
      <c r="G51" s="346"/>
      <c r="H51" s="346"/>
      <c r="I51" s="31">
        <v>5530</v>
      </c>
      <c r="J51" s="76" t="s">
        <v>218</v>
      </c>
      <c r="K51" s="112">
        <f ca="1">SUMIF(BC[],MID(I51,1,3)&amp;"*",bc_2017)</f>
        <v>0</v>
      </c>
      <c r="L51" s="112">
        <f ca="1">SUMIF(BC[],MID(I51,1,3)&amp;"*",bc_2016)</f>
        <v>0</v>
      </c>
      <c r="M51" s="77"/>
      <c r="N51" s="346"/>
      <c r="O51" s="346"/>
      <c r="P51" s="346"/>
      <c r="Q51" s="346"/>
      <c r="R51" s="346"/>
      <c r="S51" s="346"/>
      <c r="T51" s="346"/>
      <c r="U51" s="346"/>
      <c r="V51" s="346"/>
      <c r="W51" s="346"/>
      <c r="X51" s="346"/>
      <c r="Y51" s="21">
        <v>3300</v>
      </c>
      <c r="Z51" s="14" t="s">
        <v>149</v>
      </c>
      <c r="AA51" s="121">
        <f t="shared" ca="1" si="102"/>
        <v>0</v>
      </c>
      <c r="AB51" s="121">
        <f t="shared" ca="1" si="103"/>
        <v>0</v>
      </c>
      <c r="AC51" s="346"/>
      <c r="AD51" s="346"/>
      <c r="AE51" s="54">
        <v>900008</v>
      </c>
      <c r="AF51" s="61" t="s">
        <v>113</v>
      </c>
      <c r="AG51" s="128">
        <f ca="1">+AG52+AG55</f>
        <v>221.98999999999796</v>
      </c>
      <c r="AH51" s="128">
        <f ca="1">+AH52+AH55</f>
        <v>1838570.8699999894</v>
      </c>
      <c r="AI51" s="24"/>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W51" s="346"/>
      <c r="DG51" s="346"/>
      <c r="DH51" s="72">
        <v>5700</v>
      </c>
      <c r="DI51" s="73" t="s">
        <v>27</v>
      </c>
      <c r="DJ51" s="338">
        <f t="shared" si="149"/>
        <v>0</v>
      </c>
      <c r="DK51" s="338">
        <f t="shared" si="150"/>
        <v>0</v>
      </c>
      <c r="DL51" s="338">
        <f t="shared" si="41"/>
        <v>0</v>
      </c>
      <c r="DM51" s="338">
        <f t="shared" si="151"/>
        <v>0</v>
      </c>
      <c r="DN51" s="338">
        <f t="shared" si="152"/>
        <v>0</v>
      </c>
      <c r="DO51" s="338">
        <f t="shared" si="44"/>
        <v>0</v>
      </c>
      <c r="DP51" s="346"/>
      <c r="DQ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row>
    <row r="52" spans="1:158">
      <c r="A52" s="346"/>
      <c r="B52" s="31">
        <v>3310</v>
      </c>
      <c r="C52" s="15" t="s">
        <v>69</v>
      </c>
      <c r="D52" s="112">
        <f ca="1">-SUMIF(BC[],MID(B52,1,3)&amp;"*",bc_2017)</f>
        <v>0</v>
      </c>
      <c r="E52" s="112">
        <f ca="1">-SUMIF(BC[],MID(B52,1,3)&amp;"*",bc_2016)</f>
        <v>0</v>
      </c>
      <c r="F52" s="24"/>
      <c r="G52" s="346"/>
      <c r="H52" s="346"/>
      <c r="I52" s="31">
        <v>5540</v>
      </c>
      <c r="J52" s="76" t="s">
        <v>219</v>
      </c>
      <c r="K52" s="112">
        <f ca="1">SUMIF(BC[],MID(I52,1,3)&amp;"*",bc_2017)</f>
        <v>0</v>
      </c>
      <c r="L52" s="112">
        <f ca="1">SUMIF(BC[],MID(I52,1,3)&amp;"*",bc_2016)</f>
        <v>0</v>
      </c>
      <c r="M52" s="77"/>
      <c r="N52" s="346"/>
      <c r="O52" s="346"/>
      <c r="P52" s="346"/>
      <c r="Q52" s="346"/>
      <c r="R52" s="346"/>
      <c r="S52" s="346"/>
      <c r="T52" s="346"/>
      <c r="U52" s="346"/>
      <c r="V52" s="346"/>
      <c r="W52" s="346"/>
      <c r="X52" s="346"/>
      <c r="Y52" s="31">
        <v>3310</v>
      </c>
      <c r="Z52" s="15" t="s">
        <v>69</v>
      </c>
      <c r="AA52" s="120">
        <f t="shared" ca="1" si="102"/>
        <v>0</v>
      </c>
      <c r="AB52" s="120">
        <f t="shared" ca="1" si="103"/>
        <v>0</v>
      </c>
      <c r="AC52" s="346"/>
      <c r="AD52" s="346"/>
      <c r="AE52" s="53"/>
      <c r="AF52" s="76" t="s">
        <v>141</v>
      </c>
      <c r="AG52" s="129">
        <f>SUM(AG53:AG54)</f>
        <v>0</v>
      </c>
      <c r="AH52" s="129"/>
      <c r="AI52" s="24"/>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W52" s="346"/>
      <c r="DG52" s="346"/>
      <c r="DH52" s="72">
        <v>5800</v>
      </c>
      <c r="DI52" s="73" t="s">
        <v>266</v>
      </c>
      <c r="DJ52" s="338">
        <f t="shared" si="149"/>
        <v>0</v>
      </c>
      <c r="DK52" s="338">
        <f t="shared" si="150"/>
        <v>0</v>
      </c>
      <c r="DL52" s="338">
        <f t="shared" si="41"/>
        <v>0</v>
      </c>
      <c r="DM52" s="338">
        <f t="shared" si="151"/>
        <v>0</v>
      </c>
      <c r="DN52" s="338">
        <f t="shared" si="152"/>
        <v>0</v>
      </c>
      <c r="DO52" s="338">
        <f t="shared" si="44"/>
        <v>0</v>
      </c>
      <c r="DP52" s="346"/>
      <c r="DQ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row>
    <row r="53" spans="1:158">
      <c r="A53" s="346"/>
      <c r="B53" s="55">
        <v>3320</v>
      </c>
      <c r="C53" s="16" t="s">
        <v>70</v>
      </c>
      <c r="D53" s="113">
        <f ca="1">-SUMIF(BC[],MID(B53,1,3)&amp;"*",bc_2017)</f>
        <v>0</v>
      </c>
      <c r="E53" s="113">
        <f ca="1">-SUMIF(BC[],MID(B53,1,3)&amp;"*",bc_2016)</f>
        <v>0</v>
      </c>
      <c r="F53" s="56"/>
      <c r="G53" s="346"/>
      <c r="H53" s="346"/>
      <c r="I53" s="31">
        <v>5550</v>
      </c>
      <c r="J53" s="15" t="s">
        <v>220</v>
      </c>
      <c r="K53" s="112">
        <f ca="1">SUMIF(BC[],MID(I53,1,3)&amp;"*",bc_2017)</f>
        <v>0</v>
      </c>
      <c r="L53" s="112">
        <f ca="1">SUMIF(BC[],MID(I53,1,3)&amp;"*",bc_2016)</f>
        <v>0</v>
      </c>
      <c r="M53" s="77"/>
      <c r="N53" s="346"/>
      <c r="O53" s="346"/>
      <c r="P53" s="346"/>
      <c r="Q53" s="346"/>
      <c r="R53" s="346"/>
      <c r="S53" s="346"/>
      <c r="T53" s="346"/>
      <c r="U53" s="346"/>
      <c r="V53" s="346"/>
      <c r="W53" s="346"/>
      <c r="X53" s="346"/>
      <c r="Y53" s="55">
        <v>3320</v>
      </c>
      <c r="Z53" s="16" t="s">
        <v>70</v>
      </c>
      <c r="AA53" s="122">
        <f t="shared" ca="1" si="102"/>
        <v>0</v>
      </c>
      <c r="AB53" s="122">
        <f t="shared" ca="1" si="103"/>
        <v>0</v>
      </c>
      <c r="AC53" s="346"/>
      <c r="AD53" s="346"/>
      <c r="AE53" s="31">
        <v>2131</v>
      </c>
      <c r="AF53" s="76" t="s">
        <v>138</v>
      </c>
      <c r="AG53" s="112">
        <v>0</v>
      </c>
      <c r="AH53" s="112">
        <v>0</v>
      </c>
      <c r="AI53" s="24"/>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W53" s="346"/>
      <c r="DG53" s="346"/>
      <c r="DH53" s="72">
        <v>5900</v>
      </c>
      <c r="DI53" s="73" t="s">
        <v>28</v>
      </c>
      <c r="DJ53" s="338">
        <f t="shared" si="149"/>
        <v>60070.94</v>
      </c>
      <c r="DK53" s="338">
        <f t="shared" si="150"/>
        <v>65344.359999999986</v>
      </c>
      <c r="DL53" s="338">
        <f t="shared" si="41"/>
        <v>125415.29999999999</v>
      </c>
      <c r="DM53" s="338">
        <f t="shared" si="151"/>
        <v>125415.3</v>
      </c>
      <c r="DN53" s="338">
        <f t="shared" si="152"/>
        <v>125415.3</v>
      </c>
      <c r="DO53" s="338">
        <f t="shared" si="44"/>
        <v>0</v>
      </c>
      <c r="DP53" s="346"/>
      <c r="DQ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row>
    <row r="54" spans="1:158">
      <c r="A54" s="346"/>
      <c r="B54" s="148"/>
      <c r="C54" s="148"/>
      <c r="D54" s="117">
        <f ca="1">IF(D4-D23-D40=0,"",D4-D23-D40)</f>
        <v>-1.862645149230957E-8</v>
      </c>
      <c r="E54" s="117" t="str">
        <f ca="1">IF(E4-E23-E40=0,"",E4-E23-E40)</f>
        <v/>
      </c>
      <c r="F54" s="148"/>
      <c r="G54" s="346"/>
      <c r="H54" s="346"/>
      <c r="I54" s="31">
        <v>5590</v>
      </c>
      <c r="J54" s="15" t="s">
        <v>221</v>
      </c>
      <c r="K54" s="112">
        <f ca="1">SUMIF(BC[],MID(I54,1,3)&amp;"*",bc_2017)</f>
        <v>0</v>
      </c>
      <c r="L54" s="112">
        <f ca="1">SUMIF(BC[],MID(I54,1,3)&amp;"*",bc_2016)</f>
        <v>0</v>
      </c>
      <c r="M54" s="77"/>
      <c r="N54" s="346"/>
      <c r="O54" s="346"/>
      <c r="P54" s="346"/>
      <c r="Q54" s="346"/>
      <c r="R54" s="346"/>
      <c r="S54" s="346"/>
      <c r="T54" s="346"/>
      <c r="U54" s="346"/>
      <c r="V54" s="346"/>
      <c r="W54" s="346"/>
      <c r="X54" s="346"/>
      <c r="Y54" s="57"/>
      <c r="Z54" s="357"/>
      <c r="AA54" s="124">
        <f ca="1">+AB4-AA4+AB23-AA23+AB40-AA40</f>
        <v>-1.6763806343078613E-8</v>
      </c>
      <c r="AB54" s="357"/>
      <c r="AC54" s="346"/>
      <c r="AD54" s="346"/>
      <c r="AE54" s="53">
        <v>2132</v>
      </c>
      <c r="AF54" s="76" t="s">
        <v>139</v>
      </c>
      <c r="AG54" s="112">
        <v>0</v>
      </c>
      <c r="AH54" s="112">
        <v>0</v>
      </c>
      <c r="AI54" s="24"/>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W54" s="346"/>
      <c r="DG54" s="346"/>
      <c r="DH54" s="341">
        <v>6000</v>
      </c>
      <c r="DI54" s="342" t="s">
        <v>222</v>
      </c>
      <c r="DJ54" s="337">
        <f t="shared" ref="DJ54:DO54" si="153">SUM(DJ55:DJ57)</f>
        <v>0</v>
      </c>
      <c r="DK54" s="337">
        <f t="shared" si="153"/>
        <v>0</v>
      </c>
      <c r="DL54" s="337">
        <f t="shared" si="153"/>
        <v>0</v>
      </c>
      <c r="DM54" s="337">
        <f t="shared" si="153"/>
        <v>0</v>
      </c>
      <c r="DN54" s="337">
        <f t="shared" si="153"/>
        <v>0</v>
      </c>
      <c r="DO54" s="337">
        <f t="shared" si="153"/>
        <v>0</v>
      </c>
      <c r="DP54" s="346"/>
      <c r="DQ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row>
    <row r="55" spans="1:158">
      <c r="A55" s="346"/>
      <c r="B55" s="148"/>
      <c r="C55" s="148"/>
      <c r="D55" s="106"/>
      <c r="E55" s="106"/>
      <c r="F55" s="148"/>
      <c r="G55" s="346"/>
      <c r="H55" s="346"/>
      <c r="I55" s="21">
        <v>5600</v>
      </c>
      <c r="J55" s="14" t="s">
        <v>222</v>
      </c>
      <c r="K55" s="111">
        <f ca="1">SUM(K56)</f>
        <v>0</v>
      </c>
      <c r="L55" s="111">
        <f ca="1">SUM(L56)</f>
        <v>0</v>
      </c>
      <c r="M55" s="77"/>
      <c r="N55" s="346"/>
      <c r="O55" s="346"/>
      <c r="P55" s="346"/>
      <c r="Q55" s="346"/>
      <c r="R55" s="346"/>
      <c r="S55" s="346"/>
      <c r="T55" s="346"/>
      <c r="U55" s="346"/>
      <c r="V55" s="346"/>
      <c r="W55" s="346"/>
      <c r="X55" s="346"/>
      <c r="Y55" s="357"/>
      <c r="Z55" s="357"/>
      <c r="AA55" s="123"/>
      <c r="AB55" s="357"/>
      <c r="AC55" s="346"/>
      <c r="AD55" s="346"/>
      <c r="AE55" s="54">
        <v>4900</v>
      </c>
      <c r="AF55" s="76" t="s">
        <v>142</v>
      </c>
      <c r="AG55" s="130">
        <f ca="1">SUM(AB7:AB12)+SUM(AB14:AB15)+SUM(AB20:AB22)+SUM(AB25:AB32)+SUM(AB34:AB39)+SUM(AB43:AB44)+SUM(AB46:AB50)+SUM(AB52:AB53)</f>
        <v>221.98999999999796</v>
      </c>
      <c r="AH55" s="130">
        <f ca="1">+Impresos!AL55</f>
        <v>1838570.8699999894</v>
      </c>
      <c r="AI55" s="24"/>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W55" s="346"/>
      <c r="DG55" s="346"/>
      <c r="DH55" s="72">
        <v>6100</v>
      </c>
      <c r="DI55" s="73" t="s">
        <v>267</v>
      </c>
      <c r="DJ55" s="338">
        <f>SUMIF(PE_COG,MID(DH55,1,2)&amp;"*",PE_A)</f>
        <v>0</v>
      </c>
      <c r="DK55" s="338">
        <f>SUMIF(PE_COG,MID(DH55,1,2)&amp;"*",PE_M)</f>
        <v>0</v>
      </c>
      <c r="DL55" s="338">
        <f t="shared" si="41"/>
        <v>0</v>
      </c>
      <c r="DM55" s="338">
        <f>SUMIF(PE_COG,MID(DH55,1,2)&amp;"*",PE_D)</f>
        <v>0</v>
      </c>
      <c r="DN55" s="338">
        <f>SUMIF(PE_COG,MID(DH55,1,2)&amp;"*",PE_P)</f>
        <v>0</v>
      </c>
      <c r="DO55" s="338">
        <f t="shared" si="44"/>
        <v>0</v>
      </c>
      <c r="DP55" s="346"/>
      <c r="DQ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row>
    <row r="56" spans="1:158">
      <c r="A56" s="346"/>
      <c r="B56" s="1044" t="s">
        <v>361</v>
      </c>
      <c r="C56" s="1044"/>
      <c r="D56" s="1044"/>
      <c r="E56" s="1044"/>
      <c r="F56" s="1044"/>
      <c r="G56" s="346"/>
      <c r="H56" s="346"/>
      <c r="I56" s="31">
        <v>5610</v>
      </c>
      <c r="J56" s="15" t="s">
        <v>223</v>
      </c>
      <c r="K56" s="112">
        <f ca="1">SUMIF(BC[],MID(I56,1,3)&amp;"*",bc_2017)</f>
        <v>0</v>
      </c>
      <c r="L56" s="112">
        <f ca="1">SUMIF(BC[],MID(I56,1,3)&amp;"*",bc_2016)</f>
        <v>0</v>
      </c>
      <c r="M56" s="77"/>
      <c r="N56" s="346"/>
      <c r="O56" s="346"/>
      <c r="P56" s="346"/>
      <c r="Q56" s="346"/>
      <c r="R56" s="346"/>
      <c r="S56" s="346"/>
      <c r="T56" s="346"/>
      <c r="U56" s="346"/>
      <c r="V56" s="346"/>
      <c r="W56" s="346"/>
      <c r="X56" s="346"/>
      <c r="Y56" s="1044" t="s">
        <v>361</v>
      </c>
      <c r="Z56" s="1044"/>
      <c r="AA56" s="1044"/>
      <c r="AB56" s="1044"/>
      <c r="AC56" s="346"/>
      <c r="AD56" s="346"/>
      <c r="AE56" s="32">
        <v>900009</v>
      </c>
      <c r="AF56" s="14" t="s">
        <v>143</v>
      </c>
      <c r="AG56" s="132">
        <f ca="1">+AG46-AG51</f>
        <v>2743292.7699999944</v>
      </c>
      <c r="AH56" s="132">
        <f ca="1">+AH46-AH51</f>
        <v>-1301231.1399999973</v>
      </c>
      <c r="AI56" s="24"/>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W56" s="346"/>
      <c r="DG56" s="346"/>
      <c r="DH56" s="72">
        <v>6200</v>
      </c>
      <c r="DI56" s="73" t="s">
        <v>268</v>
      </c>
      <c r="DJ56" s="338">
        <f>SUMIF(PE_COG,MID(DH56,1,2)&amp;"*",PE_A)</f>
        <v>0</v>
      </c>
      <c r="DK56" s="338">
        <f>SUMIF(PE_COG,MID(DH56,1,2)&amp;"*",PE_M)</f>
        <v>0</v>
      </c>
      <c r="DL56" s="338">
        <f t="shared" si="41"/>
        <v>0</v>
      </c>
      <c r="DM56" s="338">
        <f>SUMIF(PE_COG,MID(DH56,1,2)&amp;"*",PE_D)</f>
        <v>0</v>
      </c>
      <c r="DN56" s="338">
        <f>SUMIF(PE_COG,MID(DH56,1,2)&amp;"*",PE_P)</f>
        <v>0</v>
      </c>
      <c r="DO56" s="338">
        <f t="shared" si="44"/>
        <v>0</v>
      </c>
      <c r="DP56" s="346"/>
      <c r="DQ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row>
    <row r="57" spans="1:158">
      <c r="A57" s="346"/>
      <c r="B57" s="1044"/>
      <c r="C57" s="1044"/>
      <c r="D57" s="1044"/>
      <c r="E57" s="1044"/>
      <c r="F57" s="1044"/>
      <c r="G57" s="346"/>
      <c r="H57" s="346"/>
      <c r="I57" s="59">
        <v>3210</v>
      </c>
      <c r="J57" s="86" t="s">
        <v>224</v>
      </c>
      <c r="K57" s="116">
        <f ca="1">+K4-K23</f>
        <v>394466.96000000834</v>
      </c>
      <c r="L57" s="116">
        <f ca="1">+L4-L23</f>
        <v>-1484625.6799999923</v>
      </c>
      <c r="M57" s="97"/>
      <c r="N57" s="346"/>
      <c r="O57" s="346"/>
      <c r="P57" s="346"/>
      <c r="Q57" s="346"/>
      <c r="R57" s="346"/>
      <c r="S57" s="346"/>
      <c r="T57" s="346"/>
      <c r="U57" s="346"/>
      <c r="V57" s="346"/>
      <c r="W57" s="346"/>
      <c r="X57" s="346"/>
      <c r="Y57" s="1044"/>
      <c r="Z57" s="1044"/>
      <c r="AA57" s="1044"/>
      <c r="AB57" s="1044"/>
      <c r="AC57" s="346"/>
      <c r="AD57" s="346"/>
      <c r="AE57" s="32">
        <v>9000010</v>
      </c>
      <c r="AF57" s="14" t="s">
        <v>144</v>
      </c>
      <c r="AG57" s="111">
        <f ca="1">+AG34+AG44+AG56</f>
        <v>4368682.9900000021</v>
      </c>
      <c r="AH57" s="111">
        <f ca="1">+AH34+AH44+AH56</f>
        <v>505481.78000000073</v>
      </c>
      <c r="AI57" s="24"/>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W57" s="346"/>
      <c r="DG57" s="346"/>
      <c r="DH57" s="72">
        <v>6300</v>
      </c>
      <c r="DI57" s="73" t="s">
        <v>269</v>
      </c>
      <c r="DJ57" s="338">
        <f>SUMIF(PE_COG,MID(DH57,1,2)&amp;"*",PE_A)</f>
        <v>0</v>
      </c>
      <c r="DK57" s="338">
        <f>SUMIF(PE_COG,MID(DH57,1,2)&amp;"*",PE_M)</f>
        <v>0</v>
      </c>
      <c r="DL57" s="338">
        <f t="shared" si="41"/>
        <v>0</v>
      </c>
      <c r="DM57" s="338">
        <f>SUMIF(PE_COG,MID(DH57,1,2)&amp;"*",PE_D)</f>
        <v>0</v>
      </c>
      <c r="DN57" s="338">
        <f>SUMIF(PE_COG,MID(DH57,1,2)&amp;"*",PE_P)</f>
        <v>0</v>
      </c>
      <c r="DO57" s="338">
        <f t="shared" si="44"/>
        <v>0</v>
      </c>
      <c r="DP57" s="346"/>
      <c r="DQ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row>
    <row r="58" spans="1:158">
      <c r="A58" s="346"/>
      <c r="B58" s="17"/>
      <c r="C58" s="17"/>
      <c r="D58" s="107"/>
      <c r="E58" s="107"/>
      <c r="F58" s="58"/>
      <c r="G58" s="346"/>
      <c r="H58" s="346"/>
      <c r="I58" s="60"/>
      <c r="J58" s="14"/>
      <c r="K58" s="62"/>
      <c r="L58" s="62"/>
      <c r="M58" s="61"/>
      <c r="N58" s="346"/>
      <c r="O58" s="346"/>
      <c r="P58" s="346"/>
      <c r="Q58" s="346"/>
      <c r="R58" s="346"/>
      <c r="S58" s="346"/>
      <c r="T58" s="346"/>
      <c r="U58" s="346"/>
      <c r="V58" s="346"/>
      <c r="W58" s="346"/>
      <c r="X58" s="346"/>
      <c r="Y58" s="17"/>
      <c r="AA58" s="126"/>
      <c r="AB58" s="126"/>
      <c r="AC58" s="346"/>
      <c r="AD58" s="346"/>
      <c r="AE58" s="32">
        <v>9000011</v>
      </c>
      <c r="AF58" s="14" t="s">
        <v>145</v>
      </c>
      <c r="AG58" s="112">
        <f ca="1">SUMIF(BC[],"111*",bc_2016)</f>
        <v>11324165.710000001</v>
      </c>
      <c r="AH58" s="112">
        <f ca="1">SUMIF(BC[],"111*",bc_2015)</f>
        <v>10818683.93</v>
      </c>
      <c r="AI58" s="24" t="s">
        <v>146</v>
      </c>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W58" s="346"/>
      <c r="DG58" s="346"/>
      <c r="DH58" s="341">
        <v>7000</v>
      </c>
      <c r="DI58" s="342" t="s">
        <v>270</v>
      </c>
      <c r="DJ58" s="337">
        <f t="shared" ref="DJ58:DO58" si="154">SUM(DJ59:DJ65)</f>
        <v>1937510.53</v>
      </c>
      <c r="DK58" s="337">
        <f t="shared" si="154"/>
        <v>733023.78</v>
      </c>
      <c r="DL58" s="337">
        <f t="shared" si="154"/>
        <v>2670534.31</v>
      </c>
      <c r="DM58" s="337">
        <f t="shared" si="154"/>
        <v>0</v>
      </c>
      <c r="DN58" s="337">
        <f t="shared" si="154"/>
        <v>0</v>
      </c>
      <c r="DO58" s="337">
        <f t="shared" si="154"/>
        <v>2670534.31</v>
      </c>
      <c r="DP58" s="346"/>
      <c r="DQ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row>
    <row r="59" spans="1:158">
      <c r="A59" s="346"/>
      <c r="B59" s="17"/>
      <c r="C59" s="17"/>
      <c r="D59" s="107"/>
      <c r="E59" s="107"/>
      <c r="F59" s="58"/>
      <c r="G59" s="346"/>
      <c r="H59" s="346"/>
      <c r="I59" s="44"/>
      <c r="J59" s="44"/>
      <c r="K59" s="47"/>
      <c r="L59" s="47"/>
      <c r="M59" s="44"/>
      <c r="N59" s="346"/>
      <c r="O59" s="346"/>
      <c r="P59" s="346"/>
      <c r="Q59" s="346"/>
      <c r="R59" s="346"/>
      <c r="S59" s="346"/>
      <c r="T59" s="346"/>
      <c r="U59" s="346"/>
      <c r="V59" s="346"/>
      <c r="W59" s="346"/>
      <c r="X59" s="346"/>
      <c r="Y59" s="17"/>
      <c r="AA59" s="126"/>
      <c r="AB59" s="126"/>
      <c r="AC59" s="346"/>
      <c r="AD59" s="346"/>
      <c r="AE59" s="48">
        <v>9000012</v>
      </c>
      <c r="AF59" s="86" t="s">
        <v>147</v>
      </c>
      <c r="AG59" s="113">
        <f ca="1">SUMIF(BC[],"111*",bc_2017)</f>
        <v>15692848.699999999</v>
      </c>
      <c r="AH59" s="113">
        <f ca="1">SUMIF(BC[],"111*",bc_2016)</f>
        <v>11324165.710000001</v>
      </c>
      <c r="AI59" s="56" t="s">
        <v>146</v>
      </c>
      <c r="AJ59" s="346"/>
      <c r="AK59" s="346"/>
      <c r="AL59" s="346"/>
      <c r="AM59" s="346"/>
      <c r="AN59" s="346"/>
      <c r="AO59" s="346"/>
      <c r="AP59" s="346"/>
      <c r="AQ59" s="346"/>
      <c r="AR59" s="346"/>
      <c r="AS59" s="346"/>
      <c r="AT59" s="346"/>
      <c r="AU59" s="346"/>
      <c r="AV59" s="346"/>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W59" s="346"/>
      <c r="DG59" s="346"/>
      <c r="DH59" s="72">
        <v>7100</v>
      </c>
      <c r="DI59" s="73" t="s">
        <v>271</v>
      </c>
      <c r="DJ59" s="338">
        <f t="shared" ref="DJ59:DJ65" si="155">SUMIF(PE_COG,MID(DH59,1,2)&amp;"*",PE_A)</f>
        <v>0</v>
      </c>
      <c r="DK59" s="338">
        <f t="shared" ref="DK59:DK65" si="156">SUMIF(PE_COG,MID(DH59,1,2)&amp;"*",PE_M)</f>
        <v>0</v>
      </c>
      <c r="DL59" s="338">
        <f t="shared" si="41"/>
        <v>0</v>
      </c>
      <c r="DM59" s="338">
        <f t="shared" ref="DM59:DM65" si="157">SUMIF(PE_COG,MID(DH59,1,2)&amp;"*",PE_D)</f>
        <v>0</v>
      </c>
      <c r="DN59" s="338">
        <f t="shared" ref="DN59:DN65" si="158">SUMIF(PE_COG,MID(DH59,1,2)&amp;"*",PE_P)</f>
        <v>0</v>
      </c>
      <c r="DO59" s="338">
        <f t="shared" si="44"/>
        <v>0</v>
      </c>
      <c r="DP59" s="346"/>
      <c r="DQ59" s="346"/>
      <c r="EA59" s="346"/>
      <c r="EB59" s="346"/>
      <c r="EC59" s="346"/>
      <c r="ED59" s="346"/>
      <c r="EE59" s="346"/>
      <c r="EF59" s="346"/>
      <c r="EG59" s="346"/>
      <c r="EH59" s="346"/>
      <c r="EI59" s="346"/>
      <c r="EJ59" s="346"/>
      <c r="EK59" s="346"/>
      <c r="EL59" s="346"/>
      <c r="EM59" s="346"/>
      <c r="EN59" s="346"/>
      <c r="EO59" s="346"/>
      <c r="EP59" s="346"/>
      <c r="EQ59" s="346"/>
      <c r="ER59" s="346"/>
      <c r="ES59" s="346"/>
      <c r="ET59" s="346"/>
      <c r="EU59" s="346"/>
      <c r="EV59" s="346"/>
      <c r="EW59" s="346"/>
      <c r="EX59" s="346"/>
      <c r="EY59" s="346"/>
      <c r="EZ59" s="346"/>
      <c r="FA59" s="346"/>
      <c r="FB59" s="346"/>
    </row>
    <row r="60" spans="1:158">
      <c r="A60" s="346"/>
      <c r="B60" s="17"/>
      <c r="C60" s="17"/>
      <c r="D60" s="107"/>
      <c r="E60" s="107"/>
      <c r="F60" s="58"/>
      <c r="G60" s="346"/>
      <c r="H60" s="346"/>
      <c r="I60" s="1044" t="s">
        <v>361</v>
      </c>
      <c r="J60" s="1044"/>
      <c r="K60" s="1044"/>
      <c r="L60" s="1044"/>
      <c r="M60" s="1044"/>
      <c r="N60" s="346"/>
      <c r="O60" s="346"/>
      <c r="P60" s="346"/>
      <c r="Q60" s="346"/>
      <c r="R60" s="346"/>
      <c r="S60" s="346"/>
      <c r="T60" s="346"/>
      <c r="U60" s="346"/>
      <c r="V60" s="346"/>
      <c r="W60" s="346"/>
      <c r="X60" s="346"/>
      <c r="Y60" s="17"/>
      <c r="AA60" s="126"/>
      <c r="AB60" s="126"/>
      <c r="AC60" s="346"/>
      <c r="AD60" s="346"/>
      <c r="AE60" s="44"/>
      <c r="AF60" s="44"/>
      <c r="AG60" s="127">
        <f ca="1">+AG59-AG58-AG57</f>
        <v>0</v>
      </c>
      <c r="AH60" s="127">
        <f ca="1">+AH59-AH58-AH57</f>
        <v>4.6566128730773926E-10</v>
      </c>
      <c r="AI60" s="44"/>
      <c r="AJ60" s="346"/>
      <c r="AK60" s="346"/>
      <c r="AL60" s="346"/>
      <c r="AM60" s="346"/>
      <c r="AN60" s="346"/>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W60" s="346"/>
      <c r="DG60" s="346"/>
      <c r="DH60" s="72">
        <v>7200</v>
      </c>
      <c r="DI60" s="73" t="s">
        <v>272</v>
      </c>
      <c r="DJ60" s="338">
        <f t="shared" si="155"/>
        <v>0</v>
      </c>
      <c r="DK60" s="338">
        <f t="shared" si="156"/>
        <v>0</v>
      </c>
      <c r="DL60" s="338">
        <f t="shared" si="41"/>
        <v>0</v>
      </c>
      <c r="DM60" s="338">
        <f t="shared" si="157"/>
        <v>0</v>
      </c>
      <c r="DN60" s="338">
        <f t="shared" si="158"/>
        <v>0</v>
      </c>
      <c r="DO60" s="338">
        <f t="shared" si="44"/>
        <v>0</v>
      </c>
      <c r="DP60" s="346"/>
      <c r="DQ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row>
    <row r="61" spans="1:158">
      <c r="A61" s="346"/>
      <c r="B61" s="17"/>
      <c r="C61" s="17"/>
      <c r="D61" s="107"/>
      <c r="E61" s="107"/>
      <c r="F61" s="58"/>
      <c r="G61" s="346"/>
      <c r="H61" s="346"/>
      <c r="I61" s="1044"/>
      <c r="J61" s="1044"/>
      <c r="K61" s="1044"/>
      <c r="L61" s="1044"/>
      <c r="M61" s="1044"/>
      <c r="N61" s="346"/>
      <c r="O61" s="346"/>
      <c r="P61" s="346"/>
      <c r="Q61" s="346"/>
      <c r="R61" s="346"/>
      <c r="S61" s="346"/>
      <c r="T61" s="346"/>
      <c r="U61" s="346"/>
      <c r="V61" s="346"/>
      <c r="W61" s="346"/>
      <c r="X61" s="346"/>
      <c r="Y61" s="17"/>
      <c r="AA61" s="126"/>
      <c r="AB61" s="126"/>
      <c r="AC61" s="346"/>
      <c r="AD61" s="346"/>
      <c r="AE61" s="44"/>
      <c r="AF61" s="44"/>
      <c r="AG61" s="44"/>
      <c r="AH61" s="44"/>
      <c r="AI61" s="44"/>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W61" s="346"/>
      <c r="DG61" s="346"/>
      <c r="DH61" s="72">
        <v>7300</v>
      </c>
      <c r="DI61" s="73" t="s">
        <v>273</v>
      </c>
      <c r="DJ61" s="338">
        <f t="shared" si="155"/>
        <v>0</v>
      </c>
      <c r="DK61" s="338">
        <f t="shared" si="156"/>
        <v>0</v>
      </c>
      <c r="DL61" s="338">
        <f t="shared" si="41"/>
        <v>0</v>
      </c>
      <c r="DM61" s="338">
        <f t="shared" si="157"/>
        <v>0</v>
      </c>
      <c r="DN61" s="338">
        <f t="shared" si="158"/>
        <v>0</v>
      </c>
      <c r="DO61" s="338">
        <f t="shared" si="44"/>
        <v>0</v>
      </c>
      <c r="DP61" s="346"/>
      <c r="DQ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row>
    <row r="62" spans="1:158">
      <c r="A62" s="346"/>
      <c r="B62" s="17"/>
      <c r="C62" s="17"/>
      <c r="D62" s="107"/>
      <c r="E62" s="107"/>
      <c r="F62" s="58"/>
      <c r="G62" s="346"/>
      <c r="H62" s="346"/>
      <c r="I62" s="17"/>
      <c r="J62" s="17"/>
      <c r="K62" s="17"/>
      <c r="L62" s="17"/>
      <c r="M62" s="17"/>
      <c r="N62" s="346"/>
      <c r="O62" s="346"/>
      <c r="P62" s="346"/>
      <c r="Q62" s="346"/>
      <c r="R62" s="346"/>
      <c r="S62" s="346"/>
      <c r="T62" s="346"/>
      <c r="U62" s="346"/>
      <c r="V62" s="346"/>
      <c r="W62" s="346"/>
      <c r="X62" s="346"/>
      <c r="Y62" s="17"/>
      <c r="AA62" s="49"/>
      <c r="AB62" s="49"/>
      <c r="AC62" s="346"/>
      <c r="AD62" s="346"/>
      <c r="AE62" s="1042" t="s">
        <v>362</v>
      </c>
      <c r="AF62" s="1042"/>
      <c r="AG62" s="1042"/>
      <c r="AH62" s="1042"/>
      <c r="AI62" s="1042"/>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W62" s="346"/>
      <c r="DG62" s="346"/>
      <c r="DH62" s="72">
        <v>7400</v>
      </c>
      <c r="DI62" s="73" t="s">
        <v>274</v>
      </c>
      <c r="DJ62" s="338">
        <f t="shared" si="155"/>
        <v>0</v>
      </c>
      <c r="DK62" s="338">
        <f t="shared" si="156"/>
        <v>0</v>
      </c>
      <c r="DL62" s="338">
        <f t="shared" si="41"/>
        <v>0</v>
      </c>
      <c r="DM62" s="338">
        <f t="shared" si="157"/>
        <v>0</v>
      </c>
      <c r="DN62" s="338">
        <f t="shared" si="158"/>
        <v>0</v>
      </c>
      <c r="DO62" s="338">
        <f t="shared" si="44"/>
        <v>0</v>
      </c>
      <c r="DP62" s="346"/>
      <c r="DQ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row>
    <row r="63" spans="1:158">
      <c r="A63" s="346"/>
      <c r="B63" s="17"/>
      <c r="C63" s="17"/>
      <c r="D63" s="107"/>
      <c r="E63" s="107"/>
      <c r="F63" s="58"/>
      <c r="G63" s="346"/>
      <c r="H63" s="346"/>
      <c r="I63" s="17"/>
      <c r="J63" s="17"/>
      <c r="K63" s="17"/>
      <c r="L63" s="17"/>
      <c r="M63" s="17"/>
      <c r="N63" s="346"/>
      <c r="O63" s="346"/>
      <c r="P63" s="346"/>
      <c r="Q63" s="346"/>
      <c r="R63" s="346"/>
      <c r="S63" s="346"/>
      <c r="T63" s="346"/>
      <c r="U63" s="346"/>
      <c r="V63" s="346"/>
      <c r="W63" s="346"/>
      <c r="X63" s="346"/>
      <c r="Y63" s="17"/>
      <c r="AA63" s="49"/>
      <c r="AB63" s="49"/>
      <c r="AC63" s="346"/>
      <c r="AD63" s="346"/>
      <c r="AE63" s="17"/>
      <c r="AF63" s="17"/>
      <c r="AG63" s="17"/>
      <c r="AH63" s="17"/>
      <c r="AI63" s="17"/>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W63" s="346"/>
      <c r="DG63" s="346"/>
      <c r="DH63" s="72">
        <v>7500</v>
      </c>
      <c r="DI63" s="73" t="s">
        <v>275</v>
      </c>
      <c r="DJ63" s="338">
        <f t="shared" si="155"/>
        <v>0</v>
      </c>
      <c r="DK63" s="338">
        <f t="shared" si="156"/>
        <v>0</v>
      </c>
      <c r="DL63" s="338">
        <f t="shared" si="41"/>
        <v>0</v>
      </c>
      <c r="DM63" s="338">
        <f t="shared" si="157"/>
        <v>0</v>
      </c>
      <c r="DN63" s="338">
        <f t="shared" si="158"/>
        <v>0</v>
      </c>
      <c r="DO63" s="338">
        <f t="shared" si="44"/>
        <v>0</v>
      </c>
      <c r="DP63" s="346"/>
      <c r="DQ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row>
    <row r="64" spans="1:158">
      <c r="A64" s="346"/>
      <c r="B64" s="17"/>
      <c r="C64" s="17"/>
      <c r="D64" s="107"/>
      <c r="E64" s="107"/>
      <c r="F64" s="58"/>
      <c r="G64" s="346"/>
      <c r="H64" s="346"/>
      <c r="I64" s="17"/>
      <c r="J64" s="17"/>
      <c r="K64" s="17"/>
      <c r="L64" s="17"/>
      <c r="M64" s="17"/>
      <c r="N64" s="346"/>
      <c r="O64" s="346"/>
      <c r="P64" s="346"/>
      <c r="Q64" s="346"/>
      <c r="R64" s="346"/>
      <c r="S64" s="346"/>
      <c r="T64" s="346"/>
      <c r="U64" s="346"/>
      <c r="V64" s="346"/>
      <c r="W64" s="346"/>
      <c r="X64" s="346"/>
      <c r="Y64" s="17"/>
      <c r="AA64" s="126"/>
      <c r="AB64" s="126"/>
      <c r="AC64" s="346"/>
      <c r="AD64" s="346"/>
      <c r="AE64" s="17"/>
      <c r="AF64" s="17"/>
      <c r="AG64" s="17"/>
      <c r="AH64" s="17"/>
      <c r="AI64" s="17"/>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W64" s="346"/>
      <c r="DG64" s="346"/>
      <c r="DH64" s="72">
        <v>7600</v>
      </c>
      <c r="DI64" s="73" t="s">
        <v>276</v>
      </c>
      <c r="DJ64" s="338">
        <f t="shared" si="155"/>
        <v>0</v>
      </c>
      <c r="DK64" s="338">
        <f t="shared" si="156"/>
        <v>0</v>
      </c>
      <c r="DL64" s="338">
        <f t="shared" si="41"/>
        <v>0</v>
      </c>
      <c r="DM64" s="338">
        <f t="shared" si="157"/>
        <v>0</v>
      </c>
      <c r="DN64" s="338">
        <f t="shared" si="158"/>
        <v>0</v>
      </c>
      <c r="DO64" s="338">
        <f t="shared" si="44"/>
        <v>0</v>
      </c>
      <c r="DP64" s="346"/>
      <c r="DQ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row>
    <row r="65" spans="1:158">
      <c r="A65" s="346"/>
      <c r="B65" s="17"/>
      <c r="C65" s="17"/>
      <c r="D65" s="107"/>
      <c r="E65" s="107"/>
      <c r="F65" s="58"/>
      <c r="G65" s="346"/>
      <c r="H65" s="346"/>
      <c r="I65" s="17"/>
      <c r="J65" s="17"/>
      <c r="K65" s="17"/>
      <c r="L65" s="17"/>
      <c r="M65" s="17"/>
      <c r="N65" s="346"/>
      <c r="O65" s="346"/>
      <c r="P65" s="346"/>
      <c r="Q65" s="346"/>
      <c r="R65" s="346"/>
      <c r="S65" s="346"/>
      <c r="T65" s="346"/>
      <c r="U65" s="346"/>
      <c r="V65" s="346"/>
      <c r="W65" s="346"/>
      <c r="X65" s="346"/>
      <c r="Y65" s="17"/>
      <c r="Z65" s="17"/>
      <c r="AA65" s="17"/>
      <c r="AB65" s="49"/>
      <c r="AC65" s="346"/>
      <c r="AD65" s="346"/>
      <c r="AE65" s="17"/>
      <c r="AF65" s="17"/>
      <c r="AG65" s="17"/>
      <c r="AH65" s="17"/>
      <c r="AI65" s="17"/>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6"/>
      <c r="CG65" s="346"/>
      <c r="CH65" s="346"/>
      <c r="CI65" s="346"/>
      <c r="CJ65" s="346"/>
      <c r="CK65" s="346"/>
      <c r="CL65" s="346"/>
      <c r="CM65" s="346"/>
      <c r="CW65" s="346"/>
      <c r="DG65" s="346"/>
      <c r="DH65" s="72">
        <v>7900</v>
      </c>
      <c r="DI65" s="73" t="s">
        <v>277</v>
      </c>
      <c r="DJ65" s="338">
        <f t="shared" si="155"/>
        <v>1937510.53</v>
      </c>
      <c r="DK65" s="338">
        <f t="shared" si="156"/>
        <v>733023.78</v>
      </c>
      <c r="DL65" s="338">
        <f t="shared" si="41"/>
        <v>2670534.31</v>
      </c>
      <c r="DM65" s="338">
        <f t="shared" si="157"/>
        <v>0</v>
      </c>
      <c r="DN65" s="338">
        <f t="shared" si="158"/>
        <v>0</v>
      </c>
      <c r="DO65" s="338">
        <f t="shared" si="44"/>
        <v>2670534.31</v>
      </c>
      <c r="DP65" s="346"/>
      <c r="DQ65" s="346"/>
      <c r="EA65" s="346"/>
      <c r="EB65" s="346"/>
      <c r="EC65" s="346"/>
      <c r="ED65" s="346"/>
      <c r="EE65" s="346"/>
      <c r="EF65" s="346"/>
      <c r="EG65" s="346"/>
      <c r="EH65" s="346"/>
      <c r="EI65" s="346"/>
      <c r="EJ65" s="346"/>
      <c r="EK65" s="346"/>
      <c r="EL65" s="346"/>
      <c r="EM65" s="346"/>
      <c r="EN65" s="346"/>
      <c r="EO65" s="346"/>
      <c r="EP65" s="346"/>
      <c r="EQ65" s="346"/>
      <c r="ER65" s="346"/>
      <c r="ES65" s="346"/>
      <c r="ET65" s="346"/>
      <c r="EU65" s="346"/>
      <c r="EV65" s="346"/>
      <c r="EW65" s="346"/>
      <c r="EX65" s="346"/>
      <c r="EY65" s="346"/>
      <c r="EZ65" s="346"/>
      <c r="FA65" s="346"/>
      <c r="FB65" s="346"/>
    </row>
    <row r="66" spans="1:158">
      <c r="A66" s="346"/>
      <c r="B66" s="17"/>
      <c r="C66" s="17"/>
      <c r="D66" s="107"/>
      <c r="E66" s="107"/>
      <c r="F66" s="58"/>
      <c r="G66" s="346"/>
      <c r="H66" s="346"/>
      <c r="I66" s="17"/>
      <c r="J66" s="17"/>
      <c r="K66" s="17"/>
      <c r="L66" s="17"/>
      <c r="M66" s="17"/>
      <c r="N66" s="346"/>
      <c r="O66" s="346"/>
      <c r="P66" s="346"/>
      <c r="Q66" s="346"/>
      <c r="R66" s="346"/>
      <c r="S66" s="346"/>
      <c r="T66" s="346"/>
      <c r="U66" s="346"/>
      <c r="V66" s="346"/>
      <c r="W66" s="346"/>
      <c r="X66" s="346"/>
      <c r="Y66" s="17"/>
      <c r="Z66" s="17"/>
      <c r="AA66" s="126"/>
      <c r="AB66" s="49"/>
      <c r="AC66" s="346"/>
      <c r="AD66" s="346"/>
      <c r="AE66" s="17"/>
      <c r="AF66" s="17"/>
      <c r="AG66" s="17"/>
      <c r="AH66" s="17"/>
      <c r="AI66" s="17"/>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W66" s="346"/>
      <c r="DG66" s="346"/>
      <c r="DH66" s="341">
        <v>8000</v>
      </c>
      <c r="DI66" s="342" t="s">
        <v>208</v>
      </c>
      <c r="DJ66" s="337">
        <f t="shared" ref="DJ66:DO66" si="159">SUM(DJ67:DJ69)</f>
        <v>0</v>
      </c>
      <c r="DK66" s="337">
        <f t="shared" si="159"/>
        <v>0</v>
      </c>
      <c r="DL66" s="337">
        <f t="shared" si="159"/>
        <v>0</v>
      </c>
      <c r="DM66" s="337">
        <f t="shared" si="159"/>
        <v>0</v>
      </c>
      <c r="DN66" s="337">
        <f t="shared" si="159"/>
        <v>0</v>
      </c>
      <c r="DO66" s="337">
        <f t="shared" si="159"/>
        <v>0</v>
      </c>
      <c r="DP66" s="346"/>
      <c r="DQ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row>
    <row r="67" spans="1:158">
      <c r="A67" s="346"/>
      <c r="B67" s="18"/>
      <c r="C67" s="18"/>
      <c r="D67" s="109"/>
      <c r="E67" s="109"/>
      <c r="F67" s="58"/>
      <c r="G67" s="346"/>
      <c r="H67" s="346"/>
      <c r="I67" s="17"/>
      <c r="J67" s="17"/>
      <c r="K67" s="17"/>
      <c r="L67" s="17"/>
      <c r="M67" s="17"/>
      <c r="N67" s="346"/>
      <c r="O67" s="346"/>
      <c r="P67" s="346"/>
      <c r="Q67" s="346"/>
      <c r="R67" s="346"/>
      <c r="S67" s="346"/>
      <c r="T67" s="346"/>
      <c r="U67" s="346"/>
      <c r="V67" s="346"/>
      <c r="W67" s="346"/>
      <c r="X67" s="346"/>
      <c r="Y67" s="346"/>
      <c r="Z67" s="346"/>
      <c r="AA67" s="126"/>
      <c r="AB67" s="346"/>
      <c r="AC67" s="346"/>
      <c r="AD67" s="346"/>
      <c r="AE67" s="17"/>
      <c r="AF67" s="17"/>
      <c r="AG67" s="17"/>
      <c r="AH67" s="17"/>
      <c r="AI67" s="17"/>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W67" s="346"/>
      <c r="DG67" s="346"/>
      <c r="DH67" s="72">
        <v>8100</v>
      </c>
      <c r="DI67" s="73" t="s">
        <v>126</v>
      </c>
      <c r="DJ67" s="338">
        <f>SUMIF(PE_COG,MID(DH67,1,2)&amp;"*",PE_A)</f>
        <v>0</v>
      </c>
      <c r="DK67" s="338">
        <f>SUMIF(PE_COG,MID(DH67,1,2)&amp;"*",PE_M)</f>
        <v>0</v>
      </c>
      <c r="DL67" s="338">
        <f t="shared" si="41"/>
        <v>0</v>
      </c>
      <c r="DM67" s="338">
        <f>SUMIF(PE_COG,MID(DH67,1,2)&amp;"*",PE_D)</f>
        <v>0</v>
      </c>
      <c r="DN67" s="338">
        <f>SUMIF(PE_COG,MID(DH67,1,2)&amp;"*",PE_P)</f>
        <v>0</v>
      </c>
      <c r="DO67" s="338">
        <f t="shared" si="44"/>
        <v>0</v>
      </c>
      <c r="DP67" s="346"/>
      <c r="DQ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row>
    <row r="68" spans="1:158">
      <c r="A68" s="346"/>
      <c r="B68" s="18"/>
      <c r="C68" s="18"/>
      <c r="D68" s="109"/>
      <c r="E68" s="109"/>
      <c r="F68" s="58"/>
      <c r="G68" s="346"/>
      <c r="H68" s="346"/>
      <c r="I68" s="17"/>
      <c r="J68" s="17"/>
      <c r="K68" s="17"/>
      <c r="L68" s="17"/>
      <c r="M68" s="17"/>
      <c r="N68" s="346"/>
      <c r="O68" s="346"/>
      <c r="P68" s="346"/>
      <c r="Q68" s="346"/>
      <c r="R68" s="346"/>
      <c r="S68" s="346"/>
      <c r="T68" s="346"/>
      <c r="U68" s="346"/>
      <c r="V68" s="346"/>
      <c r="W68" s="346"/>
      <c r="X68" s="346"/>
      <c r="Y68" s="346"/>
      <c r="Z68" s="346"/>
      <c r="AA68" s="126"/>
      <c r="AB68" s="346"/>
      <c r="AC68" s="346"/>
      <c r="AD68" s="346"/>
      <c r="AE68" s="17"/>
      <c r="AF68" s="17"/>
      <c r="AG68" s="17"/>
      <c r="AH68" s="17"/>
      <c r="AI68" s="17"/>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CA68" s="346"/>
      <c r="CB68" s="346"/>
      <c r="CC68" s="346"/>
      <c r="CD68" s="346"/>
      <c r="CE68" s="346"/>
      <c r="CF68" s="346"/>
      <c r="CG68" s="346"/>
      <c r="CH68" s="346"/>
      <c r="CI68" s="346"/>
      <c r="CJ68" s="346"/>
      <c r="CK68" s="346"/>
      <c r="CL68" s="346"/>
      <c r="CM68" s="346"/>
      <c r="CW68" s="346"/>
      <c r="DG68" s="346"/>
      <c r="DH68" s="72">
        <v>8300</v>
      </c>
      <c r="DI68" s="73" t="s">
        <v>59</v>
      </c>
      <c r="DJ68" s="338">
        <f>SUMIF(PE_COG,MID(DH68,1,2)&amp;"*",PE_A)</f>
        <v>0</v>
      </c>
      <c r="DK68" s="338">
        <f>SUMIF(PE_COG,MID(DH68,1,2)&amp;"*",PE_M)</f>
        <v>0</v>
      </c>
      <c r="DL68" s="338">
        <f t="shared" si="41"/>
        <v>0</v>
      </c>
      <c r="DM68" s="338">
        <f>SUMIF(PE_COG,MID(DH68,1,2)&amp;"*",PE_D)</f>
        <v>0</v>
      </c>
      <c r="DN68" s="338">
        <f>SUMIF(PE_COG,MID(DH68,1,2)&amp;"*",PE_P)</f>
        <v>0</v>
      </c>
      <c r="DO68" s="338">
        <f t="shared" si="44"/>
        <v>0</v>
      </c>
      <c r="DP68" s="346"/>
      <c r="DQ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row>
    <row r="69" spans="1:158">
      <c r="A69" s="346"/>
      <c r="B69" s="346"/>
      <c r="C69" s="346"/>
      <c r="D69" s="349"/>
      <c r="E69" s="349"/>
      <c r="F69" s="346"/>
      <c r="G69" s="346"/>
      <c r="H69" s="346"/>
      <c r="I69" s="17"/>
      <c r="J69" s="17"/>
      <c r="K69" s="17"/>
      <c r="L69" s="17"/>
      <c r="M69" s="17"/>
      <c r="N69" s="346"/>
      <c r="O69" s="346"/>
      <c r="P69" s="346"/>
      <c r="Q69" s="346"/>
      <c r="R69" s="346"/>
      <c r="S69" s="346"/>
      <c r="T69" s="346"/>
      <c r="U69" s="346"/>
      <c r="V69" s="346"/>
      <c r="W69" s="346"/>
      <c r="X69" s="346"/>
      <c r="Y69" s="346"/>
      <c r="Z69" s="346"/>
      <c r="AA69" s="126"/>
      <c r="AB69" s="346"/>
      <c r="AC69" s="346"/>
      <c r="AD69" s="346"/>
      <c r="AE69" s="17"/>
      <c r="AF69" s="17"/>
      <c r="AG69" s="17"/>
      <c r="AH69" s="17"/>
      <c r="AI69" s="17"/>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CA69" s="346"/>
      <c r="CB69" s="346"/>
      <c r="CC69" s="346"/>
      <c r="CD69" s="346"/>
      <c r="CE69" s="346"/>
      <c r="CF69" s="346"/>
      <c r="CG69" s="346"/>
      <c r="CH69" s="346"/>
      <c r="CI69" s="346"/>
      <c r="CJ69" s="346"/>
      <c r="CK69" s="346"/>
      <c r="CL69" s="346"/>
      <c r="CM69" s="346"/>
      <c r="CW69" s="346"/>
      <c r="DG69" s="346"/>
      <c r="DH69" s="72">
        <v>8500</v>
      </c>
      <c r="DI69" s="73" t="s">
        <v>127</v>
      </c>
      <c r="DJ69" s="338">
        <f>SUMIF(PE_COG,MID(DH69,1,2)&amp;"*",PE_A)</f>
        <v>0</v>
      </c>
      <c r="DK69" s="338">
        <f>SUMIF(PE_COG,MID(DH69,1,2)&amp;"*",PE_M)</f>
        <v>0</v>
      </c>
      <c r="DL69" s="338">
        <f t="shared" si="41"/>
        <v>0</v>
      </c>
      <c r="DM69" s="338">
        <f>SUMIF(PE_COG,MID(DH69,1,2)&amp;"*",PE_D)</f>
        <v>0</v>
      </c>
      <c r="DN69" s="338">
        <f>SUMIF(PE_COG,MID(DH69,1,2)&amp;"*",PE_P)</f>
        <v>0</v>
      </c>
      <c r="DO69" s="338">
        <f t="shared" si="44"/>
        <v>0</v>
      </c>
      <c r="DP69" s="346"/>
      <c r="DQ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row>
    <row r="70" spans="1:158">
      <c r="A70" s="346"/>
      <c r="B70" s="346"/>
      <c r="C70" s="346"/>
      <c r="D70" s="349"/>
      <c r="E70" s="349"/>
      <c r="F70" s="346"/>
      <c r="G70" s="346"/>
      <c r="H70" s="346"/>
      <c r="I70" s="17"/>
      <c r="J70" s="17"/>
      <c r="K70" s="17"/>
      <c r="L70" s="17"/>
      <c r="M70" s="17"/>
      <c r="N70" s="346"/>
      <c r="O70" s="346"/>
      <c r="P70" s="346"/>
      <c r="Q70" s="346"/>
      <c r="R70" s="346"/>
      <c r="S70" s="346"/>
      <c r="T70" s="346"/>
      <c r="U70" s="346"/>
      <c r="V70" s="346"/>
      <c r="W70" s="346"/>
      <c r="X70" s="346"/>
      <c r="Y70" s="346"/>
      <c r="Z70" s="346"/>
      <c r="AA70" s="126"/>
      <c r="AB70" s="346"/>
      <c r="AC70" s="346"/>
      <c r="AD70" s="346"/>
      <c r="AE70" s="17"/>
      <c r="AF70" s="17"/>
      <c r="AG70" s="17"/>
      <c r="AH70" s="17"/>
      <c r="AI70" s="17"/>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CA70" s="346"/>
      <c r="CB70" s="346"/>
      <c r="CL70" s="346"/>
      <c r="CM70" s="346"/>
      <c r="CW70" s="346"/>
      <c r="DG70" s="346"/>
      <c r="DH70" s="341">
        <v>9000</v>
      </c>
      <c r="DI70" s="342" t="s">
        <v>80</v>
      </c>
      <c r="DJ70" s="337">
        <f t="shared" ref="DJ70:DO70" si="160">SUM(DJ71:DJ77)</f>
        <v>0</v>
      </c>
      <c r="DK70" s="337">
        <f t="shared" si="160"/>
        <v>0</v>
      </c>
      <c r="DL70" s="337">
        <f t="shared" si="160"/>
        <v>0</v>
      </c>
      <c r="DM70" s="337">
        <f t="shared" si="160"/>
        <v>0</v>
      </c>
      <c r="DN70" s="337">
        <f t="shared" si="160"/>
        <v>0</v>
      </c>
      <c r="DO70" s="337">
        <f t="shared" si="160"/>
        <v>0</v>
      </c>
      <c r="DP70" s="346"/>
      <c r="DQ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row>
    <row r="71" spans="1:158">
      <c r="A71" s="346"/>
      <c r="B71" s="346"/>
      <c r="C71" s="346"/>
      <c r="D71" s="349"/>
      <c r="E71" s="349"/>
      <c r="F71" s="346"/>
      <c r="G71" s="346"/>
      <c r="H71" s="346"/>
      <c r="I71" s="346"/>
      <c r="J71" s="346"/>
      <c r="K71" s="346"/>
      <c r="L71" s="346"/>
      <c r="M71" s="346"/>
      <c r="N71" s="346"/>
      <c r="O71" s="346"/>
      <c r="P71" s="346"/>
      <c r="Q71" s="346"/>
      <c r="R71" s="346"/>
      <c r="S71" s="346"/>
      <c r="T71" s="346"/>
      <c r="U71" s="346"/>
      <c r="V71" s="346"/>
      <c r="W71" s="346"/>
      <c r="X71" s="346"/>
      <c r="Y71" s="346"/>
      <c r="Z71" s="346"/>
      <c r="AA71" s="126"/>
      <c r="AB71" s="346"/>
      <c r="AC71" s="346"/>
      <c r="AD71" s="346"/>
      <c r="AE71" s="17"/>
      <c r="AF71" s="17"/>
      <c r="AG71" s="17"/>
      <c r="AH71" s="17"/>
      <c r="AI71" s="17"/>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CA71" s="346"/>
      <c r="CB71" s="346"/>
      <c r="CL71" s="346"/>
      <c r="CM71" s="346"/>
      <c r="CW71" s="346"/>
      <c r="DG71" s="346"/>
      <c r="DH71" s="72">
        <v>9100</v>
      </c>
      <c r="DI71" s="73" t="s">
        <v>278</v>
      </c>
      <c r="DJ71" s="338">
        <f t="shared" ref="DJ71:DJ77" si="161">SUMIF(PE_COG,MID(DH71,1,2)&amp;"*",PE_A)</f>
        <v>0</v>
      </c>
      <c r="DK71" s="338">
        <f t="shared" ref="DK71:DK77" si="162">SUMIF(PE_COG,MID(DH71,1,2)&amp;"*",PE_M)</f>
        <v>0</v>
      </c>
      <c r="DL71" s="338">
        <f t="shared" ref="DL71:DL77" si="163">+DJ71+DK71</f>
        <v>0</v>
      </c>
      <c r="DM71" s="338">
        <f t="shared" ref="DM71:DM77" si="164">SUMIF(PE_COG,MID(DH71,1,2)&amp;"*",PE_D)</f>
        <v>0</v>
      </c>
      <c r="DN71" s="338">
        <f t="shared" ref="DN71:DN77" si="165">SUMIF(PE_COG,MID(DH71,1,2)&amp;"*",PE_P)</f>
        <v>0</v>
      </c>
      <c r="DO71" s="338">
        <f t="shared" ref="DO71:DO77" si="166">+DL71-DM71</f>
        <v>0</v>
      </c>
      <c r="DP71" s="346"/>
      <c r="DQ71" s="346"/>
      <c r="EA71" s="346"/>
      <c r="EB71" s="346"/>
      <c r="EC71" s="346"/>
      <c r="ED71" s="346"/>
      <c r="EE71" s="346"/>
      <c r="EF71" s="346"/>
      <c r="EG71" s="346"/>
      <c r="EH71" s="346"/>
      <c r="EI71" s="346"/>
      <c r="EJ71" s="346"/>
      <c r="EK71" s="346"/>
      <c r="EL71" s="346"/>
      <c r="EM71" s="346"/>
      <c r="EN71" s="346"/>
      <c r="EO71" s="346"/>
      <c r="EP71" s="346"/>
      <c r="EQ71" s="346"/>
      <c r="ER71" s="346"/>
      <c r="ES71" s="346"/>
      <c r="ET71" s="346"/>
      <c r="EU71" s="346"/>
      <c r="EV71" s="346"/>
      <c r="EW71" s="346"/>
      <c r="EX71" s="346"/>
      <c r="EY71" s="346"/>
      <c r="EZ71" s="346"/>
      <c r="FA71" s="346"/>
      <c r="FB71" s="346"/>
    </row>
    <row r="72" spans="1:158">
      <c r="A72" s="346"/>
      <c r="B72" s="346"/>
      <c r="C72" s="346"/>
      <c r="D72" s="349"/>
      <c r="E72" s="349"/>
      <c r="F72" s="346"/>
      <c r="G72" s="346"/>
      <c r="H72" s="346"/>
      <c r="I72" s="346"/>
      <c r="J72" s="346"/>
      <c r="K72" s="346"/>
      <c r="L72" s="346"/>
      <c r="M72" s="346"/>
      <c r="N72" s="346"/>
      <c r="O72" s="346"/>
      <c r="P72" s="346"/>
      <c r="Q72" s="346"/>
      <c r="R72" s="346"/>
      <c r="S72" s="346"/>
      <c r="T72" s="346"/>
      <c r="U72" s="346"/>
      <c r="V72" s="346"/>
      <c r="W72" s="346"/>
      <c r="X72" s="346"/>
      <c r="Y72" s="346"/>
      <c r="Z72" s="346"/>
      <c r="AA72" s="126"/>
      <c r="AB72" s="346"/>
      <c r="AC72" s="346"/>
      <c r="AD72" s="346"/>
      <c r="AE72" s="17"/>
      <c r="AF72" s="17"/>
      <c r="AG72" s="17"/>
      <c r="AH72" s="17"/>
      <c r="AI72" s="17"/>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CA72" s="346"/>
      <c r="CB72" s="346"/>
      <c r="CL72" s="346"/>
      <c r="CM72" s="346"/>
      <c r="CW72" s="346"/>
      <c r="DG72" s="346"/>
      <c r="DH72" s="72">
        <v>9200</v>
      </c>
      <c r="DI72" s="73" t="s">
        <v>210</v>
      </c>
      <c r="DJ72" s="338">
        <f t="shared" si="161"/>
        <v>0</v>
      </c>
      <c r="DK72" s="338">
        <f t="shared" si="162"/>
        <v>0</v>
      </c>
      <c r="DL72" s="338">
        <f t="shared" si="163"/>
        <v>0</v>
      </c>
      <c r="DM72" s="338">
        <f t="shared" si="164"/>
        <v>0</v>
      </c>
      <c r="DN72" s="338">
        <f t="shared" si="165"/>
        <v>0</v>
      </c>
      <c r="DO72" s="338">
        <f t="shared" si="166"/>
        <v>0</v>
      </c>
      <c r="DP72" s="346"/>
      <c r="DQ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row>
    <row r="73" spans="1:158">
      <c r="A73" s="346"/>
      <c r="B73" s="346"/>
      <c r="C73" s="346"/>
      <c r="D73" s="349"/>
      <c r="E73" s="349"/>
      <c r="F73" s="346"/>
      <c r="G73" s="346"/>
      <c r="H73" s="346"/>
      <c r="I73" s="346"/>
      <c r="J73" s="346"/>
      <c r="K73" s="346"/>
      <c r="L73" s="346"/>
      <c r="M73" s="346"/>
      <c r="N73" s="346"/>
      <c r="O73" s="346"/>
      <c r="P73" s="346"/>
      <c r="Q73" s="346"/>
      <c r="R73" s="346"/>
      <c r="S73" s="346"/>
      <c r="T73" s="346"/>
      <c r="U73" s="346"/>
      <c r="V73" s="346"/>
      <c r="W73" s="346"/>
      <c r="X73" s="346"/>
      <c r="Y73" s="346"/>
      <c r="Z73" s="346"/>
      <c r="AA73" s="350"/>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CA73" s="346"/>
      <c r="CB73" s="346"/>
      <c r="CL73" s="346"/>
      <c r="CM73" s="346"/>
      <c r="CW73" s="346"/>
      <c r="DG73" s="346"/>
      <c r="DH73" s="72">
        <v>9300</v>
      </c>
      <c r="DI73" s="73" t="s">
        <v>211</v>
      </c>
      <c r="DJ73" s="338">
        <f t="shared" si="161"/>
        <v>0</v>
      </c>
      <c r="DK73" s="338">
        <f t="shared" si="162"/>
        <v>0</v>
      </c>
      <c r="DL73" s="338">
        <f t="shared" si="163"/>
        <v>0</v>
      </c>
      <c r="DM73" s="338">
        <f t="shared" si="164"/>
        <v>0</v>
      </c>
      <c r="DN73" s="338">
        <f t="shared" si="165"/>
        <v>0</v>
      </c>
      <c r="DO73" s="338">
        <f t="shared" si="166"/>
        <v>0</v>
      </c>
      <c r="DP73" s="346"/>
      <c r="DQ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row>
    <row r="74" spans="1:158">
      <c r="A74" s="346"/>
      <c r="B74" s="346"/>
      <c r="C74" s="346"/>
      <c r="D74" s="349"/>
      <c r="E74" s="349"/>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CA74" s="346"/>
      <c r="CB74" s="346"/>
      <c r="CL74" s="346"/>
      <c r="CM74" s="346"/>
      <c r="CW74" s="346"/>
      <c r="DG74" s="346"/>
      <c r="DH74" s="72">
        <v>9400</v>
      </c>
      <c r="DI74" s="73" t="s">
        <v>212</v>
      </c>
      <c r="DJ74" s="338">
        <f t="shared" si="161"/>
        <v>0</v>
      </c>
      <c r="DK74" s="338">
        <f t="shared" si="162"/>
        <v>0</v>
      </c>
      <c r="DL74" s="338">
        <f t="shared" si="163"/>
        <v>0</v>
      </c>
      <c r="DM74" s="338">
        <f t="shared" si="164"/>
        <v>0</v>
      </c>
      <c r="DN74" s="338">
        <f t="shared" si="165"/>
        <v>0</v>
      </c>
      <c r="DO74" s="338">
        <f t="shared" si="166"/>
        <v>0</v>
      </c>
      <c r="DP74" s="346"/>
      <c r="DQ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row>
    <row r="75" spans="1:158">
      <c r="A75" s="346"/>
      <c r="B75" s="346"/>
      <c r="C75" s="346"/>
      <c r="D75" s="349"/>
      <c r="E75" s="349"/>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CA75" s="346"/>
      <c r="CB75" s="346"/>
      <c r="CL75" s="346"/>
      <c r="CM75" s="346"/>
      <c r="CW75" s="346"/>
      <c r="DG75" s="346"/>
      <c r="DH75" s="72">
        <v>9500</v>
      </c>
      <c r="DI75" s="73" t="s">
        <v>213</v>
      </c>
      <c r="DJ75" s="338">
        <f t="shared" si="161"/>
        <v>0</v>
      </c>
      <c r="DK75" s="338">
        <f t="shared" si="162"/>
        <v>0</v>
      </c>
      <c r="DL75" s="338">
        <f t="shared" si="163"/>
        <v>0</v>
      </c>
      <c r="DM75" s="338">
        <f t="shared" si="164"/>
        <v>0</v>
      </c>
      <c r="DN75" s="338">
        <f t="shared" si="165"/>
        <v>0</v>
      </c>
      <c r="DO75" s="338">
        <f t="shared" si="166"/>
        <v>0</v>
      </c>
      <c r="DP75" s="346"/>
      <c r="DQ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row>
    <row r="76" spans="1:158">
      <c r="A76" s="346"/>
      <c r="B76" s="346"/>
      <c r="C76" s="346"/>
      <c r="D76" s="349"/>
      <c r="E76" s="349"/>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c r="BB76" s="346"/>
      <c r="BC76" s="346"/>
      <c r="BD76" s="346"/>
      <c r="BE76" s="346"/>
      <c r="BF76" s="346"/>
      <c r="BG76" s="346"/>
      <c r="BH76" s="346"/>
      <c r="BI76" s="346"/>
      <c r="BJ76" s="346"/>
      <c r="BK76" s="346"/>
      <c r="BL76" s="346"/>
      <c r="BM76" s="346"/>
      <c r="BN76" s="346"/>
      <c r="BO76" s="346"/>
      <c r="BP76" s="346"/>
      <c r="BQ76" s="346"/>
      <c r="CA76" s="346"/>
      <c r="CB76" s="346"/>
      <c r="CL76" s="346"/>
      <c r="CM76" s="346"/>
      <c r="CW76" s="346"/>
      <c r="DG76" s="346"/>
      <c r="DH76" s="72">
        <v>9600</v>
      </c>
      <c r="DI76" s="73" t="s">
        <v>214</v>
      </c>
      <c r="DJ76" s="338">
        <f t="shared" si="161"/>
        <v>0</v>
      </c>
      <c r="DK76" s="338">
        <f t="shared" si="162"/>
        <v>0</v>
      </c>
      <c r="DL76" s="338">
        <f t="shared" si="163"/>
        <v>0</v>
      </c>
      <c r="DM76" s="338">
        <f t="shared" si="164"/>
        <v>0</v>
      </c>
      <c r="DN76" s="338">
        <f t="shared" si="165"/>
        <v>0</v>
      </c>
      <c r="DO76" s="338">
        <f t="shared" si="166"/>
        <v>0</v>
      </c>
      <c r="DP76" s="346"/>
      <c r="DQ76" s="346"/>
      <c r="EA76" s="346"/>
      <c r="EB76" s="346"/>
      <c r="EC76" s="346"/>
      <c r="ED76" s="346"/>
      <c r="EE76" s="346"/>
      <c r="EF76" s="346"/>
      <c r="EG76" s="346"/>
      <c r="EH76" s="346"/>
      <c r="EI76" s="346"/>
      <c r="EJ76" s="346"/>
      <c r="EK76" s="346"/>
      <c r="EL76" s="346"/>
      <c r="EM76" s="346"/>
      <c r="EN76" s="346"/>
      <c r="EO76" s="346"/>
      <c r="EP76" s="346"/>
      <c r="EQ76" s="346"/>
      <c r="ER76" s="346"/>
      <c r="ES76" s="346"/>
      <c r="ET76" s="346"/>
      <c r="EU76" s="346"/>
      <c r="EV76" s="346"/>
      <c r="EW76" s="346"/>
      <c r="EX76" s="346"/>
      <c r="EY76" s="346"/>
      <c r="EZ76" s="346"/>
      <c r="FA76" s="346"/>
      <c r="FB76" s="346"/>
    </row>
    <row r="77" spans="1:158">
      <c r="A77" s="346"/>
      <c r="B77" s="346"/>
      <c r="C77" s="346"/>
      <c r="D77" s="349"/>
      <c r="E77" s="349"/>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346"/>
      <c r="BC77" s="346"/>
      <c r="BD77" s="346"/>
      <c r="BE77" s="346"/>
      <c r="BF77" s="346"/>
      <c r="BG77" s="346"/>
      <c r="BH77" s="346"/>
      <c r="BI77" s="346"/>
      <c r="BJ77" s="346"/>
      <c r="BK77" s="346"/>
      <c r="BL77" s="346"/>
      <c r="BM77" s="346"/>
      <c r="BN77" s="346"/>
      <c r="BO77" s="346"/>
      <c r="BP77" s="346"/>
      <c r="BQ77" s="346"/>
      <c r="CA77" s="346"/>
      <c r="CB77" s="346"/>
      <c r="CL77" s="346"/>
      <c r="CM77" s="346"/>
      <c r="CW77" s="346"/>
      <c r="DG77" s="346"/>
      <c r="DH77" s="98">
        <v>9900</v>
      </c>
      <c r="DI77" s="92" t="s">
        <v>279</v>
      </c>
      <c r="DJ77" s="339">
        <f t="shared" si="161"/>
        <v>0</v>
      </c>
      <c r="DK77" s="339">
        <f t="shared" si="162"/>
        <v>0</v>
      </c>
      <c r="DL77" s="339">
        <f t="shared" si="163"/>
        <v>0</v>
      </c>
      <c r="DM77" s="339">
        <f t="shared" si="164"/>
        <v>0</v>
      </c>
      <c r="DN77" s="339">
        <f t="shared" si="165"/>
        <v>0</v>
      </c>
      <c r="DO77" s="339">
        <f t="shared" si="166"/>
        <v>0</v>
      </c>
      <c r="DP77" s="346"/>
      <c r="DQ77" s="346"/>
      <c r="EA77" s="346"/>
      <c r="EB77" s="346"/>
      <c r="EC77" s="346"/>
      <c r="ED77" s="346"/>
      <c r="EE77" s="346"/>
      <c r="EF77" s="346"/>
      <c r="EG77" s="346"/>
      <c r="EH77" s="346"/>
      <c r="EI77" s="346"/>
      <c r="EJ77" s="346"/>
      <c r="EK77" s="346"/>
      <c r="EL77" s="346"/>
      <c r="EM77" s="346"/>
      <c r="EN77" s="346"/>
      <c r="EO77" s="346"/>
      <c r="EP77" s="346"/>
      <c r="EQ77" s="346"/>
      <c r="ER77" s="346"/>
      <c r="ES77" s="346"/>
      <c r="ET77" s="346"/>
      <c r="EU77" s="346"/>
      <c r="EV77" s="346"/>
      <c r="EW77" s="346"/>
      <c r="EX77" s="346"/>
      <c r="EY77" s="346"/>
      <c r="EZ77" s="346"/>
      <c r="FA77" s="346"/>
      <c r="FB77" s="346"/>
    </row>
    <row r="78" spans="1:158">
      <c r="A78" s="346"/>
      <c r="B78" s="346"/>
      <c r="C78" s="346"/>
      <c r="D78" s="349"/>
      <c r="E78" s="349"/>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46"/>
      <c r="AY78" s="346"/>
      <c r="AZ78" s="346"/>
      <c r="BA78" s="346"/>
      <c r="BB78" s="346"/>
      <c r="BC78" s="346"/>
      <c r="BD78" s="346"/>
      <c r="BE78" s="346"/>
      <c r="BF78" s="346"/>
      <c r="BG78" s="346"/>
      <c r="BH78" s="346"/>
      <c r="BI78" s="346"/>
      <c r="BJ78" s="346"/>
      <c r="BK78" s="346"/>
      <c r="BL78" s="346"/>
      <c r="BM78" s="346"/>
      <c r="BN78" s="346"/>
      <c r="BO78" s="346"/>
      <c r="BP78" s="346"/>
      <c r="BQ78" s="346"/>
      <c r="CA78" s="346"/>
      <c r="CB78" s="346"/>
      <c r="CL78" s="346"/>
      <c r="CM78" s="346"/>
      <c r="CW78" s="346"/>
      <c r="DG78" s="346"/>
      <c r="DH78" s="99"/>
      <c r="DI78" s="75"/>
      <c r="DJ78" s="100"/>
      <c r="DK78" s="100"/>
      <c r="DL78" s="100"/>
      <c r="DM78" s="100"/>
      <c r="DN78" s="100"/>
      <c r="DO78" s="100"/>
      <c r="DP78" s="346"/>
      <c r="DQ78" s="346"/>
      <c r="EA78" s="346"/>
      <c r="EB78" s="346"/>
      <c r="EC78" s="346"/>
      <c r="ED78" s="346"/>
      <c r="EE78" s="346"/>
      <c r="EF78" s="346"/>
      <c r="EG78" s="346"/>
      <c r="EH78" s="346"/>
      <c r="EI78" s="346"/>
      <c r="EJ78" s="346"/>
      <c r="EK78" s="346"/>
      <c r="EL78" s="346"/>
      <c r="EM78" s="346"/>
      <c r="EN78" s="346"/>
      <c r="EO78" s="346"/>
      <c r="EP78" s="346"/>
      <c r="EQ78" s="346"/>
      <c r="ER78" s="346"/>
      <c r="ES78" s="346"/>
      <c r="ET78" s="346"/>
      <c r="EU78" s="346"/>
      <c r="EV78" s="346"/>
      <c r="EW78" s="346"/>
      <c r="EX78" s="346"/>
      <c r="EY78" s="346"/>
      <c r="EZ78" s="346"/>
      <c r="FA78" s="346"/>
      <c r="FB78" s="346"/>
    </row>
    <row r="79" spans="1:158">
      <c r="A79" s="346"/>
      <c r="B79" s="346"/>
      <c r="C79" s="346"/>
      <c r="D79" s="349"/>
      <c r="E79" s="349"/>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6"/>
      <c r="BH79" s="346"/>
      <c r="BI79" s="346"/>
      <c r="BJ79" s="346"/>
      <c r="BK79" s="346"/>
      <c r="BL79" s="346"/>
      <c r="BM79" s="346"/>
      <c r="BN79" s="346"/>
      <c r="BO79" s="346"/>
      <c r="BP79" s="346"/>
      <c r="BQ79" s="346"/>
      <c r="CA79" s="346"/>
      <c r="CB79" s="346"/>
      <c r="CL79" s="346"/>
      <c r="CM79" s="346"/>
      <c r="CW79" s="346"/>
      <c r="DG79" s="346"/>
      <c r="DH79" s="99"/>
      <c r="DI79" s="75"/>
      <c r="DJ79" s="100"/>
      <c r="DK79" s="100"/>
      <c r="DL79" s="100"/>
      <c r="DM79" s="100"/>
      <c r="DN79" s="100"/>
      <c r="DO79" s="100"/>
      <c r="DP79" s="346"/>
      <c r="DQ79" s="346"/>
      <c r="EA79" s="346"/>
      <c r="EB79" s="346"/>
      <c r="EC79" s="346"/>
      <c r="ED79" s="346"/>
      <c r="EE79" s="346"/>
      <c r="EF79" s="346"/>
      <c r="EG79" s="346"/>
      <c r="EH79" s="346"/>
      <c r="EI79" s="346"/>
      <c r="EJ79" s="346"/>
      <c r="EK79" s="346"/>
      <c r="EL79" s="346"/>
      <c r="EM79" s="346"/>
      <c r="EN79" s="346"/>
      <c r="EO79" s="346"/>
      <c r="EP79" s="346"/>
      <c r="EQ79" s="346"/>
      <c r="ER79" s="346"/>
      <c r="ES79" s="346"/>
      <c r="ET79" s="346"/>
      <c r="EU79" s="346"/>
      <c r="EV79" s="346"/>
      <c r="EW79" s="346"/>
      <c r="EX79" s="346"/>
      <c r="EY79" s="346"/>
      <c r="EZ79" s="346"/>
      <c r="FA79" s="346"/>
      <c r="FB79" s="346"/>
    </row>
    <row r="80" spans="1:158">
      <c r="A80" s="346"/>
      <c r="B80" s="346"/>
      <c r="C80" s="346"/>
      <c r="D80" s="349"/>
      <c r="E80" s="349"/>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CA80" s="346"/>
      <c r="CB80" s="346"/>
      <c r="CL80" s="346"/>
      <c r="CM80" s="346"/>
      <c r="CW80" s="346"/>
      <c r="DG80" s="346"/>
      <c r="DH80" s="1042" t="s">
        <v>361</v>
      </c>
      <c r="DI80" s="1042"/>
      <c r="DJ80" s="1042"/>
      <c r="DK80" s="1042"/>
      <c r="DL80" s="1042"/>
      <c r="DM80" s="1042"/>
      <c r="DN80" s="1042"/>
      <c r="DO80" s="1042"/>
      <c r="DP80" s="346"/>
      <c r="DQ80" s="346"/>
      <c r="EA80" s="346"/>
      <c r="EB80" s="346"/>
      <c r="EC80" s="346"/>
      <c r="ED80" s="346"/>
      <c r="EE80" s="346"/>
      <c r="EF80" s="346"/>
      <c r="EG80" s="346"/>
      <c r="EH80" s="346"/>
      <c r="EI80" s="346"/>
      <c r="EJ80" s="346"/>
      <c r="EK80" s="346"/>
      <c r="EL80" s="346"/>
      <c r="EM80" s="346"/>
      <c r="EN80" s="346"/>
      <c r="EO80" s="346"/>
      <c r="EP80" s="346"/>
      <c r="EQ80" s="346"/>
      <c r="ER80" s="346"/>
      <c r="ES80" s="346"/>
      <c r="ET80" s="346"/>
      <c r="EU80" s="346"/>
      <c r="EV80" s="346"/>
      <c r="EW80" s="346"/>
      <c r="EX80" s="346"/>
      <c r="EY80" s="346"/>
      <c r="EZ80" s="346"/>
      <c r="FA80" s="346"/>
      <c r="FB80" s="346"/>
    </row>
    <row r="81" spans="1:158">
      <c r="A81" s="346"/>
      <c r="B81" s="346"/>
      <c r="C81" s="346"/>
      <c r="D81" s="349"/>
      <c r="E81" s="349"/>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CA81" s="346"/>
      <c r="CB81" s="346"/>
      <c r="CL81" s="346"/>
      <c r="CM81" s="346"/>
      <c r="CW81" s="346"/>
      <c r="DG81" s="346"/>
      <c r="DH81" s="17"/>
      <c r="DI81" s="17"/>
      <c r="DJ81" s="17"/>
      <c r="DK81" s="49"/>
      <c r="DL81" s="17"/>
      <c r="DM81" s="101"/>
      <c r="DN81" s="101"/>
      <c r="DO81" s="101"/>
      <c r="DP81" s="346"/>
      <c r="DQ81" s="346"/>
      <c r="EA81" s="346"/>
      <c r="EB81" s="346"/>
      <c r="EC81" s="346"/>
      <c r="ED81" s="346"/>
      <c r="EE81" s="346"/>
      <c r="EF81" s="346"/>
      <c r="EG81" s="346"/>
      <c r="EH81" s="346"/>
      <c r="EI81" s="346"/>
      <c r="EJ81" s="346"/>
      <c r="EK81" s="346"/>
      <c r="EL81" s="346"/>
      <c r="EM81" s="346"/>
      <c r="EN81" s="346"/>
      <c r="EO81" s="346"/>
      <c r="EP81" s="346"/>
      <c r="EQ81" s="346"/>
      <c r="ER81" s="346"/>
      <c r="ES81" s="346"/>
      <c r="ET81" s="346"/>
      <c r="EU81" s="346"/>
      <c r="EV81" s="346"/>
      <c r="EW81" s="346"/>
      <c r="EX81" s="346"/>
      <c r="EY81" s="346"/>
      <c r="EZ81" s="346"/>
      <c r="FA81" s="346"/>
      <c r="FB81" s="346"/>
    </row>
    <row r="82" spans="1:158">
      <c r="A82" s="346"/>
      <c r="B82" s="346"/>
      <c r="C82" s="346"/>
      <c r="D82" s="349"/>
      <c r="E82" s="349"/>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c r="CA82" s="346"/>
      <c r="CB82" s="346"/>
      <c r="CL82" s="346"/>
      <c r="CM82" s="346"/>
      <c r="CW82" s="346"/>
      <c r="DG82" s="346"/>
      <c r="DH82" s="17"/>
      <c r="DI82" s="17"/>
      <c r="DJ82" s="17"/>
      <c r="DK82" s="49"/>
      <c r="DL82" s="17"/>
      <c r="DM82" s="101"/>
      <c r="DN82" s="101"/>
      <c r="DO82" s="101"/>
      <c r="DP82" s="346"/>
      <c r="DQ82" s="346"/>
      <c r="EA82" s="346"/>
      <c r="EB82" s="346"/>
      <c r="EC82" s="346"/>
      <c r="ED82" s="346"/>
      <c r="EE82" s="346"/>
      <c r="EF82" s="346"/>
      <c r="EG82" s="346"/>
      <c r="EH82" s="346"/>
      <c r="EI82" s="346"/>
      <c r="EJ82" s="346"/>
      <c r="EK82" s="346"/>
      <c r="EL82" s="346"/>
      <c r="EM82" s="346"/>
      <c r="EN82" s="346"/>
      <c r="EO82" s="346"/>
      <c r="EP82" s="346"/>
      <c r="EQ82" s="346"/>
      <c r="ER82" s="346"/>
      <c r="ES82" s="346"/>
      <c r="ET82" s="346"/>
      <c r="EU82" s="346"/>
      <c r="EV82" s="346"/>
      <c r="EW82" s="346"/>
      <c r="EX82" s="346"/>
      <c r="EY82" s="346"/>
      <c r="EZ82" s="346"/>
      <c r="FA82" s="346"/>
      <c r="FB82" s="346"/>
    </row>
    <row r="83" spans="1:158">
      <c r="A83" s="346"/>
      <c r="B83" s="346"/>
      <c r="C83" s="346"/>
      <c r="D83" s="349"/>
      <c r="E83" s="349"/>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346"/>
      <c r="BP83" s="346"/>
      <c r="BQ83" s="346"/>
      <c r="CA83" s="346"/>
      <c r="CB83" s="346"/>
      <c r="CL83" s="346"/>
      <c r="CM83" s="346"/>
      <c r="CW83" s="346"/>
      <c r="DG83" s="346"/>
      <c r="DH83" s="17"/>
      <c r="DI83" s="17"/>
      <c r="DJ83" s="17"/>
      <c r="DK83" s="49"/>
      <c r="DL83" s="17"/>
      <c r="DM83" s="101"/>
      <c r="DN83" s="101"/>
      <c r="DO83" s="101"/>
      <c r="DP83" s="346"/>
      <c r="DQ83" s="346"/>
      <c r="EA83" s="346"/>
      <c r="EB83" s="346"/>
      <c r="EC83" s="346"/>
      <c r="ED83" s="346"/>
      <c r="EE83" s="346"/>
      <c r="EF83" s="346"/>
      <c r="EG83" s="346"/>
      <c r="EH83" s="346"/>
      <c r="EI83" s="346"/>
      <c r="EJ83" s="346"/>
      <c r="EK83" s="346"/>
      <c r="EL83" s="346"/>
      <c r="EM83" s="346"/>
      <c r="EN83" s="346"/>
      <c r="EO83" s="346"/>
      <c r="EP83" s="346"/>
      <c r="EQ83" s="346"/>
      <c r="ER83" s="346"/>
      <c r="ES83" s="346"/>
      <c r="ET83" s="346"/>
      <c r="EU83" s="346"/>
      <c r="EV83" s="346"/>
      <c r="EW83" s="346"/>
      <c r="EX83" s="346"/>
      <c r="EY83" s="346"/>
      <c r="EZ83" s="346"/>
      <c r="FA83" s="346"/>
      <c r="FB83" s="346"/>
    </row>
    <row r="84" spans="1:158">
      <c r="A84" s="346"/>
      <c r="B84" s="346"/>
      <c r="C84" s="346"/>
      <c r="D84" s="349"/>
      <c r="E84" s="349"/>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c r="CA84" s="346"/>
      <c r="CB84" s="346"/>
      <c r="CL84" s="346"/>
      <c r="CM84" s="346"/>
      <c r="CW84" s="346"/>
      <c r="DG84" s="346"/>
      <c r="DH84" s="17"/>
      <c r="DI84" s="17"/>
      <c r="DJ84" s="17"/>
      <c r="DK84" s="49"/>
      <c r="DL84" s="17"/>
      <c r="DM84" s="101"/>
      <c r="DN84" s="101"/>
      <c r="DO84" s="101"/>
      <c r="DP84" s="346"/>
      <c r="DQ84" s="346"/>
      <c r="EA84" s="346"/>
      <c r="EB84" s="346"/>
      <c r="EC84" s="346"/>
      <c r="ED84" s="346"/>
      <c r="EE84" s="346"/>
      <c r="EF84" s="346"/>
      <c r="EG84" s="346"/>
      <c r="EH84" s="346"/>
      <c r="EI84" s="346"/>
      <c r="EJ84" s="346"/>
      <c r="EK84" s="346"/>
      <c r="EL84" s="346"/>
      <c r="EM84" s="346"/>
      <c r="EN84" s="346"/>
      <c r="EO84" s="346"/>
      <c r="EP84" s="346"/>
      <c r="EQ84" s="346"/>
      <c r="ER84" s="346"/>
      <c r="ES84" s="346"/>
      <c r="ET84" s="346"/>
      <c r="EU84" s="346"/>
      <c r="EV84" s="346"/>
      <c r="EW84" s="346"/>
      <c r="EX84" s="346"/>
      <c r="EY84" s="346"/>
      <c r="EZ84" s="346"/>
      <c r="FA84" s="346"/>
      <c r="FB84" s="346"/>
    </row>
    <row r="85" spans="1:158">
      <c r="A85" s="346"/>
      <c r="B85" s="346"/>
      <c r="C85" s="346"/>
      <c r="D85" s="349"/>
      <c r="E85" s="349"/>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P85" s="346"/>
      <c r="BQ85" s="346"/>
      <c r="CA85" s="346"/>
      <c r="CB85" s="346"/>
      <c r="CL85" s="346"/>
      <c r="CM85" s="346"/>
      <c r="CW85" s="346"/>
      <c r="DG85" s="346"/>
      <c r="DH85" s="17"/>
      <c r="DI85" s="17"/>
      <c r="DJ85" s="17"/>
      <c r="DK85" s="49"/>
      <c r="DL85" s="17"/>
      <c r="DM85" s="101"/>
      <c r="DN85" s="101"/>
      <c r="DO85" s="101"/>
      <c r="DP85" s="346"/>
      <c r="DQ85" s="346"/>
      <c r="EA85" s="346"/>
      <c r="EB85" s="346"/>
      <c r="EC85" s="346"/>
      <c r="ED85" s="346"/>
      <c r="EE85" s="346"/>
      <c r="EF85" s="346"/>
      <c r="EG85" s="346"/>
      <c r="EH85" s="346"/>
      <c r="EI85" s="346"/>
      <c r="EJ85" s="346"/>
      <c r="EK85" s="346"/>
      <c r="EL85" s="346"/>
      <c r="EM85" s="346"/>
      <c r="EN85" s="346"/>
      <c r="EO85" s="346"/>
      <c r="EP85" s="346"/>
      <c r="EQ85" s="346"/>
      <c r="ER85" s="346"/>
      <c r="ES85" s="346"/>
      <c r="ET85" s="346"/>
      <c r="EU85" s="346"/>
      <c r="EV85" s="346"/>
      <c r="EW85" s="346"/>
      <c r="EX85" s="346"/>
      <c r="EY85" s="346"/>
      <c r="EZ85" s="346"/>
      <c r="FA85" s="346"/>
      <c r="FB85" s="346"/>
    </row>
    <row r="86" spans="1:158">
      <c r="A86" s="346"/>
      <c r="B86" s="346"/>
      <c r="C86" s="346"/>
      <c r="D86" s="349"/>
      <c r="E86" s="349"/>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P86" s="346"/>
      <c r="BQ86" s="346"/>
      <c r="CA86" s="346"/>
      <c r="CB86" s="346"/>
      <c r="CL86" s="346"/>
      <c r="CM86" s="346"/>
      <c r="CW86" s="346"/>
      <c r="DG86" s="346"/>
      <c r="DH86" s="17"/>
      <c r="DI86" s="17"/>
      <c r="DJ86" s="17"/>
      <c r="DK86" s="49"/>
      <c r="DL86" s="17"/>
      <c r="DM86" s="101"/>
      <c r="DN86" s="101"/>
      <c r="DO86" s="101"/>
      <c r="DP86" s="346"/>
      <c r="DQ86" s="346"/>
      <c r="EA86" s="346"/>
      <c r="EB86" s="346"/>
      <c r="EC86" s="346"/>
      <c r="ED86" s="346"/>
      <c r="EE86" s="346"/>
      <c r="EF86" s="346"/>
      <c r="EG86" s="346"/>
      <c r="EH86" s="346"/>
      <c r="EI86" s="346"/>
      <c r="EJ86" s="346"/>
      <c r="EK86" s="346"/>
      <c r="EL86" s="346"/>
      <c r="EM86" s="346"/>
      <c r="EN86" s="346"/>
      <c r="EO86" s="346"/>
      <c r="EP86" s="346"/>
      <c r="EQ86" s="346"/>
      <c r="ER86" s="346"/>
      <c r="ES86" s="346"/>
      <c r="ET86" s="346"/>
      <c r="EU86" s="346"/>
      <c r="EV86" s="346"/>
      <c r="EW86" s="346"/>
      <c r="EX86" s="346"/>
      <c r="EY86" s="346"/>
      <c r="EZ86" s="346"/>
      <c r="FA86" s="346"/>
      <c r="FB86" s="346"/>
    </row>
    <row r="87" spans="1:158">
      <c r="A87" s="346"/>
      <c r="B87" s="346"/>
      <c r="C87" s="346"/>
      <c r="D87" s="349"/>
      <c r="E87" s="349"/>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P87" s="346"/>
      <c r="BQ87" s="346"/>
      <c r="CA87" s="346"/>
      <c r="CB87" s="346"/>
      <c r="CL87" s="346"/>
      <c r="CM87" s="346"/>
      <c r="CW87" s="346"/>
      <c r="DG87" s="346"/>
      <c r="DH87" s="17"/>
      <c r="DI87" s="17"/>
      <c r="DJ87" s="17"/>
      <c r="DK87" s="49"/>
      <c r="DL87" s="17"/>
      <c r="DM87" s="101"/>
      <c r="DN87" s="101"/>
      <c r="DO87" s="101"/>
      <c r="DP87" s="346"/>
      <c r="DQ87" s="346"/>
      <c r="EA87" s="346"/>
      <c r="EB87" s="346"/>
      <c r="EC87" s="346"/>
      <c r="ED87" s="346"/>
      <c r="EE87" s="346"/>
      <c r="EF87" s="346"/>
      <c r="EG87" s="346"/>
      <c r="EH87" s="346"/>
      <c r="EI87" s="346"/>
      <c r="EJ87" s="346"/>
      <c r="EK87" s="346"/>
      <c r="EL87" s="346"/>
      <c r="EM87" s="346"/>
      <c r="EN87" s="346"/>
      <c r="EO87" s="346"/>
      <c r="EP87" s="346"/>
      <c r="EQ87" s="346"/>
      <c r="ER87" s="346"/>
      <c r="ES87" s="346"/>
      <c r="ET87" s="346"/>
      <c r="EU87" s="346"/>
      <c r="EV87" s="346"/>
      <c r="EW87" s="346"/>
      <c r="EX87" s="346"/>
      <c r="EY87" s="346"/>
      <c r="EZ87" s="346"/>
      <c r="FA87" s="346"/>
      <c r="FB87" s="346"/>
    </row>
    <row r="88" spans="1:158">
      <c r="A88" s="346"/>
      <c r="B88" s="346"/>
      <c r="C88" s="346"/>
      <c r="D88" s="349"/>
      <c r="E88" s="349"/>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P88" s="346"/>
      <c r="BQ88" s="346"/>
      <c r="CA88" s="346"/>
      <c r="CB88" s="346"/>
      <c r="CL88" s="346"/>
      <c r="CM88" s="346"/>
      <c r="CW88" s="346"/>
      <c r="DG88" s="346"/>
      <c r="DH88" s="17"/>
      <c r="DI88" s="17"/>
      <c r="DJ88" s="17"/>
      <c r="DK88" s="49"/>
      <c r="DL88" s="17"/>
      <c r="DM88" s="101"/>
      <c r="DN88" s="101"/>
      <c r="DO88" s="101"/>
      <c r="DP88" s="346"/>
      <c r="DQ88" s="346"/>
      <c r="EA88" s="346"/>
      <c r="EB88" s="346"/>
      <c r="EC88" s="346"/>
      <c r="ED88" s="346"/>
      <c r="EE88" s="346"/>
      <c r="EF88" s="346"/>
      <c r="EG88" s="346"/>
      <c r="EH88" s="346"/>
      <c r="EI88" s="346"/>
      <c r="EJ88" s="346"/>
      <c r="EK88" s="346"/>
      <c r="EL88" s="346"/>
      <c r="EM88" s="346"/>
      <c r="EN88" s="346"/>
      <c r="EO88" s="346"/>
      <c r="EP88" s="346"/>
      <c r="EQ88" s="346"/>
      <c r="ER88" s="346"/>
      <c r="ES88" s="346"/>
      <c r="ET88" s="346"/>
      <c r="EU88" s="346"/>
      <c r="EV88" s="346"/>
      <c r="EW88" s="346"/>
      <c r="EX88" s="346"/>
      <c r="EY88" s="346"/>
      <c r="EZ88" s="346"/>
      <c r="FA88" s="346"/>
      <c r="FB88" s="346"/>
    </row>
    <row r="89" spans="1:158">
      <c r="A89" s="346"/>
      <c r="B89" s="346"/>
      <c r="C89" s="346"/>
      <c r="D89" s="349"/>
      <c r="E89" s="349"/>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P89" s="346"/>
      <c r="BQ89" s="346"/>
      <c r="CA89" s="346"/>
      <c r="CB89" s="346"/>
      <c r="CL89" s="346"/>
      <c r="CM89" s="346"/>
      <c r="CW89" s="346"/>
      <c r="DG89" s="346"/>
      <c r="DH89" s="17"/>
      <c r="DI89" s="17"/>
      <c r="DJ89" s="17"/>
      <c r="DK89" s="49"/>
      <c r="DL89" s="17"/>
      <c r="DM89" s="101"/>
      <c r="DN89" s="101"/>
      <c r="DO89" s="101"/>
      <c r="DP89" s="346"/>
      <c r="DQ89" s="346"/>
      <c r="EA89" s="346"/>
      <c r="EB89" s="346"/>
      <c r="EC89" s="346"/>
      <c r="ED89" s="346"/>
      <c r="EE89" s="346"/>
      <c r="EF89" s="346"/>
      <c r="EG89" s="346"/>
      <c r="EH89" s="346"/>
      <c r="EI89" s="346"/>
      <c r="EJ89" s="346"/>
      <c r="EK89" s="346"/>
      <c r="EL89" s="346"/>
      <c r="EM89" s="346"/>
      <c r="EN89" s="346"/>
      <c r="EO89" s="346"/>
      <c r="EP89" s="346"/>
      <c r="EQ89" s="346"/>
      <c r="ER89" s="346"/>
      <c r="ES89" s="346"/>
      <c r="ET89" s="346"/>
      <c r="EU89" s="346"/>
      <c r="EV89" s="346"/>
      <c r="EW89" s="346"/>
      <c r="EX89" s="346"/>
      <c r="EY89" s="346"/>
      <c r="EZ89" s="346"/>
      <c r="FA89" s="346"/>
      <c r="FB89" s="346"/>
    </row>
    <row r="90" spans="1:158">
      <c r="P90" s="346"/>
      <c r="Q90" s="346"/>
      <c r="R90" s="346"/>
      <c r="S90" s="346"/>
      <c r="T90" s="346"/>
      <c r="U90" s="346"/>
      <c r="V90" s="346"/>
      <c r="AL90" s="346"/>
      <c r="AM90" s="346"/>
      <c r="AN90" s="346"/>
      <c r="AO90" s="346"/>
      <c r="AP90" s="346"/>
      <c r="AQ90" s="346"/>
      <c r="AR90" s="346"/>
      <c r="AU90" s="346"/>
      <c r="AV90" s="346"/>
      <c r="AW90" s="346"/>
      <c r="AX90" s="346"/>
      <c r="AY90" s="346"/>
      <c r="AZ90" s="346"/>
      <c r="DH90" s="17"/>
      <c r="DI90" s="17"/>
      <c r="DJ90" s="17"/>
      <c r="DK90" s="49"/>
      <c r="DL90" s="17"/>
      <c r="DM90" s="101"/>
      <c r="DN90" s="101"/>
      <c r="DO90" s="101"/>
      <c r="EU90" s="346"/>
      <c r="EV90" s="346"/>
      <c r="EW90" s="346"/>
      <c r="EX90" s="346"/>
      <c r="EY90" s="346"/>
      <c r="EZ90" s="346"/>
      <c r="FA90" s="346"/>
      <c r="FB90" s="346"/>
    </row>
    <row r="91" spans="1:158">
      <c r="P91" s="346"/>
      <c r="Q91" s="346"/>
      <c r="R91" s="346"/>
      <c r="S91" s="346"/>
      <c r="T91" s="346"/>
      <c r="U91" s="346"/>
      <c r="V91" s="346"/>
      <c r="AL91" s="346"/>
      <c r="AM91" s="346"/>
      <c r="AN91" s="346"/>
      <c r="AO91" s="346"/>
      <c r="AP91" s="346"/>
      <c r="AQ91" s="346"/>
      <c r="AR91" s="346"/>
      <c r="AU91" s="346"/>
      <c r="AV91" s="346"/>
      <c r="AW91" s="346"/>
      <c r="AX91" s="346"/>
      <c r="AY91" s="346"/>
      <c r="AZ91" s="346"/>
    </row>
    <row r="92" spans="1:158">
      <c r="P92" s="346"/>
      <c r="Q92" s="346"/>
      <c r="R92" s="346"/>
      <c r="S92" s="346"/>
      <c r="T92" s="346"/>
      <c r="U92" s="346"/>
      <c r="V92" s="346"/>
    </row>
  </sheetData>
  <protectedRanges>
    <protectedRange sqref="DH78:DO90 DR39:DY39 CX12:DE12 CN18:CU18" name="Rango1"/>
    <protectedRange sqref="DJ5:DO5" name="Rango1_2"/>
    <protectedRange sqref="EV31:FB31 EV7:FB7 EV10:FB10 EU20:EV22 EV19:FB19 EU24:EV25 EV23:FB23 EU27:EV30 EV26:FB26 EU36:FB49 EU8:EV9 EU11:EV18 EU32:EV35" name="Rango1_1"/>
    <protectedRange sqref="EW5:FB6" name="Rango1_2_1"/>
    <protectedRange sqref="DT4:DY4" name="Rango1_2_2"/>
  </protectedRanges>
  <mergeCells count="121">
    <mergeCell ref="EC29:EF30"/>
    <mergeCell ref="DR39:DY39"/>
    <mergeCell ref="CX12:DE12"/>
    <mergeCell ref="CN18:CU18"/>
    <mergeCell ref="BZ29:BZ30"/>
    <mergeCell ref="BS29:BS30"/>
    <mergeCell ref="BT29:BT30"/>
    <mergeCell ref="BU29:BU30"/>
    <mergeCell ref="BV29:BV30"/>
    <mergeCell ref="BW29:BW30"/>
    <mergeCell ref="BX29:BX30"/>
    <mergeCell ref="BZ3:BZ4"/>
    <mergeCell ref="BT3:BT4"/>
    <mergeCell ref="BU3:BU4"/>
    <mergeCell ref="BV3:BV4"/>
    <mergeCell ref="BW3:BW4"/>
    <mergeCell ref="BX3:BX4"/>
    <mergeCell ref="BY3:BY4"/>
    <mergeCell ref="BJ3:BJ4"/>
    <mergeCell ref="BK3:BK4"/>
    <mergeCell ref="BL3:BL4"/>
    <mergeCell ref="AE62:AI62"/>
    <mergeCell ref="DH80:DO80"/>
    <mergeCell ref="CC2:CK2"/>
    <mergeCell ref="CC3:CC4"/>
    <mergeCell ref="CD3:CD4"/>
    <mergeCell ref="CE3:CE4"/>
    <mergeCell ref="CF3:CF4"/>
    <mergeCell ref="CG3:CG4"/>
    <mergeCell ref="CH3:CH4"/>
    <mergeCell ref="CI3:CI4"/>
    <mergeCell ref="AU33:AZ34"/>
    <mergeCell ref="BM3:BM4"/>
    <mergeCell ref="BN3:BN4"/>
    <mergeCell ref="BO3:BO4"/>
    <mergeCell ref="DH3:DH4"/>
    <mergeCell ref="DI3:DI4"/>
    <mergeCell ref="DJ3:DJ4"/>
    <mergeCell ref="CJ3:CJ4"/>
    <mergeCell ref="CK3:CK4"/>
    <mergeCell ref="BR3:BR4"/>
    <mergeCell ref="BS3:BS4"/>
    <mergeCell ref="BG3:BG4"/>
    <mergeCell ref="BH3:BH4"/>
    <mergeCell ref="BI3:BI4"/>
    <mergeCell ref="EV38:FA38"/>
    <mergeCell ref="BG39:BN39"/>
    <mergeCell ref="B56:F57"/>
    <mergeCell ref="Y56:AB57"/>
    <mergeCell ref="I60:M61"/>
    <mergeCell ref="CC24:CJ24"/>
    <mergeCell ref="BR26:BZ28"/>
    <mergeCell ref="BR29:BR30"/>
    <mergeCell ref="BN25:BN26"/>
    <mergeCell ref="BO25:BO26"/>
    <mergeCell ref="AL27:AR27"/>
    <mergeCell ref="EJ29:EL30"/>
    <mergeCell ref="P30:V30"/>
    <mergeCell ref="BM25:BM26"/>
    <mergeCell ref="BL25:BL26"/>
    <mergeCell ref="BK25:BK26"/>
    <mergeCell ref="BJ25:BJ26"/>
    <mergeCell ref="BI25:BI26"/>
    <mergeCell ref="BH25:BH26"/>
    <mergeCell ref="BG25:BG26"/>
    <mergeCell ref="BG22:BO24"/>
    <mergeCell ref="BY29:BY30"/>
    <mergeCell ref="BC36:BD37"/>
    <mergeCell ref="BR46:BY46"/>
    <mergeCell ref="FB3:FB4"/>
    <mergeCell ref="EO18:ER19"/>
    <mergeCell ref="EV3:EV4"/>
    <mergeCell ref="EW3:EW4"/>
    <mergeCell ref="EX3:EX4"/>
    <mergeCell ref="EY3:EY4"/>
    <mergeCell ref="EZ3:EZ4"/>
    <mergeCell ref="FA3:FA4"/>
    <mergeCell ref="DK3:DK4"/>
    <mergeCell ref="DL3:DL4"/>
    <mergeCell ref="DM3:DM4"/>
    <mergeCell ref="DN3:DN4"/>
    <mergeCell ref="DO3:DO4"/>
    <mergeCell ref="EU3:EU4"/>
    <mergeCell ref="P3:P6"/>
    <mergeCell ref="Q3:Q6"/>
    <mergeCell ref="R3:R6"/>
    <mergeCell ref="S3:S6"/>
    <mergeCell ref="T3:T6"/>
    <mergeCell ref="U3:U6"/>
    <mergeCell ref="V3:V6"/>
    <mergeCell ref="AL3:AL5"/>
    <mergeCell ref="AU2:AZ2"/>
    <mergeCell ref="AU3:AU5"/>
    <mergeCell ref="AV3:AV5"/>
    <mergeCell ref="AW3:AW5"/>
    <mergeCell ref="AX3:AX5"/>
    <mergeCell ref="AY3:AY5"/>
    <mergeCell ref="AZ3:AZ5"/>
    <mergeCell ref="AM3:AM5"/>
    <mergeCell ref="AN3:AN5"/>
    <mergeCell ref="AO3:AO5"/>
    <mergeCell ref="AP3:AP5"/>
    <mergeCell ref="AQ3:AQ5"/>
    <mergeCell ref="AR3:AR5"/>
    <mergeCell ref="B2:F2"/>
    <mergeCell ref="I2:M2"/>
    <mergeCell ref="P2:V2"/>
    <mergeCell ref="Y2:AB2"/>
    <mergeCell ref="AE2:AI2"/>
    <mergeCell ref="AL2:AR2"/>
    <mergeCell ref="CN2:CU2"/>
    <mergeCell ref="EO2:ER2"/>
    <mergeCell ref="EU2:FB2"/>
    <mergeCell ref="BC2:BD2"/>
    <mergeCell ref="BG2:BO2"/>
    <mergeCell ref="DH2:DO2"/>
    <mergeCell ref="EB2:EF2"/>
    <mergeCell ref="EI2:EL2"/>
    <mergeCell ref="BR2:BZ2"/>
    <mergeCell ref="DR2:DY2"/>
    <mergeCell ref="CX2:DE2"/>
  </mergeCells>
  <dataValidations count="48">
    <dataValidation allowBlank="1" showInputMessage="1" showErrorMessage="1" prompt="Modificado menos devengado" sqref="FB3 CU3 CU65538 CU131074 CU196610 CU262146 CU327682 CU393218 CU458754 CU524290 CU589826 CU655362 CU720898 CU786434 CU851970 CU917506 CU983042 DE983036 DE65532 DE131068 DE196604 DE262140 DE327676 DE393212 DE458748 DE524284 DE589820 DE655356 DE720892 DE786428 DE851964 DE917500 DE3 DY983036 DY65532 DY131068 DY196604 DY262140 DY327676 DY393212 DY458748 DY524284 DY589820 DY655356 DY720892 DY786428 DY851964 DY917500 DY3"/>
    <dataValidation allowBlank="1" showInputMessage="1" showErrorMessage="1" prompt="Clasificación Programática de acuerdo al emitido por el CONAC (DOF 8-ago-13)." sqref="EU3"/>
    <dataValidation allowBlank="1" showInputMessage="1" showErrorMessage="1" prompt="Para Ingresos se reportan los ingresos recaudados; para egresos se reportan los egresos pagados." sqref="ER3"/>
    <dataValidation allowBlank="1" showInputMessage="1" showErrorMessage="1" prompt="Son los importes que se aprueban anualmente en la Ley de Ingresos, o en el Presupuesto de Egresos." sqref="EP3"/>
    <dataValidation allowBlank="1" showInputMessage="1" showErrorMessage="1" prompt="Para los ingresos los &quot;abonos&quot; del devengado. Es el momento contable que se realiza cuando existe jurídicamente el derecho de cobro. Para los egresos los &quot;cargos&quot; del devengado. Este momento contable refleja el reconocimiento de una obligación de pago." sqref="EQ3"/>
    <dataValidation allowBlank="1" showInputMessage="1" showErrorMessage="1" prompt="Los cargos acumulados de enero al trimentre/anual correspondiente de la infomación financiera/cuenta pública. Corresponde con la cuenta 9200 Intereses de la deuda pública de la columna pagados del EAEPE de la hoja COG." sqref="EL3"/>
    <dataValidation allowBlank="1" showInputMessage="1" showErrorMessage="1" prompt="Los cargos acumulados de enero al trimestre/anual correspondiente de la infomación financiera/cuenta pública. Corresponde con la cuenta 9200 Intereses de la deuda pública de la columna devengado del EAEPE de la hoja COG." sqref="EK3"/>
    <dataValidation allowBlank="1" showInputMessage="1" showErrorMessage="1" prompt="Diferencia entre el uso del financiamiento y las amortizaciones efectuadas de las obligaciones constitutivas de deuda pública, durante el período que se informa." sqref="EF3"/>
    <dataValidation allowBlank="1" showInputMessage="1" showErrorMessage="1" prompt="Pagos efectuadas de las obligaciones constitutivas de deuda pública, durante el período que se informa." sqref="EE3"/>
    <dataValidation allowBlank="1" showInputMessage="1" showErrorMessage="1" prompt="El uso del financiamiento, durante el período que se informa." sqref="ED3"/>
    <dataValidation allowBlank="1" showInputMessage="1" showErrorMessage="1" prompt="Refleja las asignaciones presupuestarias anuales comprometidas en el Presupuesto de Egresos." sqref="DJ3 EW3 CP3 CP65538 CP131074 CP196610 CP262146 CP327682 CP393218 CP458754 CP524290 CP589826 CP655362 CP720898 CP786434 CP851970 CP917506 CP983042 CZ983036 CZ65532 CZ131068 CZ196604 CZ262140 CZ327676 CZ393212 CZ458748 CZ524284 CZ589820 CZ655356 CZ720892 CZ786428 CZ851964 CZ917500 CZ3 DT983036 DT65532 DT131068 DT196604 DT262140 DT327676 DT393212 DT458748 DT524284 DT589820 DT655356 DT720892 DT786428 DT851964 DT917500 DT3"/>
    <dataValidation allowBlank="1" showInputMessage="1" showErrorMessage="1" prompt="Es el momento que refleja la asignación presupuestaria que resulta de incorporar; en su caso, las adecuaciones presupuestarias al presupuesto aprobado." sqref="DL3 EY3 CR3 CR65538 CR131074 CR196610 CR262146 CR327682 CR393218 CR458754 CR524290 CR589826 CR655362 CR720898 CR786434 CR851970 CR917506 CR983042 DB983036 DB65532 DB131068 DB196604 DB262140 DB327676 DB393212 DB458748 DB524284 DB589820 DB655356 DB720892 DB786428 DB851964 DB917500 DB3 DV983036 DV65532 DV131068 DV196604 DV262140 DV327676 DV393212 DV458748 DV524284 DV589820 DV655356 DV720892 DV786428 DV851964 DV917500 DV3"/>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DM3 EZ3 CS3 CS65538 CS131074 CS196610 CS262146 CS327682 CS393218 CS458754 CS524290 CS589826 CS655362 CS720898 CS786434 CS851970 CS917506 CS983042 DC983036 DC65532 DC131068 DC196604 DC262140 DC327676 DC393212 DC458748 DC524284 DC589820 DC655356 DC720892 DC786428 DC851964 DC917500 DC3 DW983036 DW65532 DW131068 DW196604 DW262140 DW327676 DW393212 DW458748 DW524284 DW589820 DW655356 DW720892 DW786428 DW851964 DW917500 DW3"/>
    <dataValidation allowBlank="1" showInputMessage="1" showErrorMessage="1" prompt="Es el momento que refleja la cancelación total o parcial de las obligaciones de pago, que se concreta mediante el desembolso de efectivo o cualquier otro medio de pago." sqref="DN3 FA3 CT3 CT65538 CT131074 CT196610 CT262146 CT327682 CT393218 CT458754 CT524290 CT589826 CT655362 CT720898 CT786434 CT851970 CT917506 CT983042 DD983036 DD65532 DD131068 DD196604 DD262140 DD327676 DD393212 DD458748 DD524284 DD589820 DD655356 DD720892 DD786428 DD851964 DD917500 DD3 DX983036 DX65532 DX131068 DX196604 DX262140 DX327676 DX393212 DX458748 DX524284 DX589820 DX655356 DX720892 DX786428 DX851964 DX917500 DX3"/>
    <dataValidation allowBlank="1" showInputMessage="1" showErrorMessage="1" prompt="Modificado menos Devengado" sqref="DO3"/>
    <dataValidation allowBlank="1" showInputMessage="1" showErrorMessage="1" prompt="Refleja las modificaciones realizadas al Presupuesto Aprobado" sqref="DK3 EX3 CQ3 CQ65538 CQ131074 CQ196610 CQ262146 CQ327682 CQ393218 CQ458754 CQ524290 CQ589826 CQ655362 CQ720898 CQ786434 CQ851970 CQ917506 CQ983042 DA983036 DA65532 DA131068 DA196604 DA262140 DA327676 DA393212 DA458748 DA524284 DA589820 DA655356 DA720892 DA786428 DA851964 DA917500 DA3 DU983036 DU65532 DU131068 DU196604 DU262140 DU327676 DU393212 DU458748 DU524284 DU589820 DU655356 DU720892 DU786428 DU851964 DU917500 DU3"/>
    <dataValidation allowBlank="1" showInputMessage="1" showErrorMessage="1" prompt="Para el llenado de este formato se debe utilizar a nivel de Capítulo y Concepto el Clasificador por Objeto del Gasto aprobado por el CONAC." sqref="DH3"/>
    <dataValidation allowBlank="1" showInputMessage="1" showErrorMessage="1" prompt="Son los importes que se aprueban anualmente en la Ley de Ingresos, e incluyen los Impuestos, Cuotas y Aportaciones de Seguridad Social, Contribuciones de Mejoras, Derechos, Productos, Aprovechamientos..." sqref="BI3 BI25 CE3 BT29 BT3"/>
    <dataValidation allowBlank="1" showInputMessage="1" showErrorMessage="1" prompt="Momento contable que refleja la asignación presupuestaria en lo relativo a la  Ley de Ingresos que resulte de incorporar en su caso, las modificaciones al ingreso estimado, previstas en la ley de ingresos." sqref="BK3 BK25 CG3 BV29 BV3"/>
    <dataValidation allowBlank="1" showInputMessage="1" showErrorMessage="1" prompt="Las modificaciones realizadas al Pronóstico de Ingresos " sqref="BJ3 BJ25 CF3 BU29 BU3"/>
    <dataValidation allowBlank="1" showInputMessage="1" showErrorMessage="1" prompt="En esta columna debe registrarse los &quot;abonos&quot; del recaudado. Es el momento contable que refleja el cobro en efectivo o cualquier otro medio de pago de los impuestos, cuotas y aportaciones de seguridad social, contribuciones de mejoras, derechos..._x000a_" sqref="BM3 BM25 CI3 BX29 BX3"/>
    <dataValidation allowBlank="1" showInputMessage="1" showErrorMessage="1" prompt="En esta columna debe registrarse los &quot;abonos&quot; del devengado. Es el momento contable que se realiza cuando existe jurídicamente el derecho de cobro de los impuestos, cuotas y aportaciones de seguridad social, contribuciones de mejoras, derechos..." sqref="BL3 BL25 CH3 BW29 BW3"/>
    <dataValidation allowBlank="1" showInputMessage="1" showErrorMessage="1" prompt="Se refiere al nombre que se asigna a cada uno de los desagregados que se señalan." sqref="EO3 BH3 BH25 DI3 EV3 CD3 BS29 BS3 CO3 CO65538 CO131074 CO196610 CO262146 CO327682 CO393218 CO458754 CO524290 CO589826 CO655362 CO720898 CO786434 CO851970 CO917506 CO983042 CY983036 CY65532 CY131068 CY196604 CY262140 CY327676 CY393212 CY458748 CY524284 CY589820 CY655356 CY720892 CY786428 CY851964 CY917500 CY3 DS983036 DS65532 DS131068 DS196604 DS262140 DS327676 DS393212 DS458748 DS524284 DS589820 DS655356 DS720892 DS786428 DS851964 DS917500 DS3"/>
    <dataValidation allowBlank="1" showInputMessage="1" showErrorMessage="1" prompt="Recaudado menos estimado" sqref="BN3 BN25 CJ3 BY29 BY3"/>
    <dataValidation allowBlank="1" showInputMessage="1" showErrorMessage="1" prompt="Sólo aplica cuando el importe de la columna de diferencia sea mayor a cero" sqref="BO3 BO25 CK3 BZ29 BZ3"/>
    <dataValidation allowBlank="1" showInputMessage="1" showErrorMessage="1" prompt="Se refiere al código asignado por el CONAC de acuerdo a la estructura del Clasificador por Rubros de Ingreso. (DOF-2-ene-13). A dos dígitos." sqref="BG3 BG25 CC3 BR29 BR3"/>
    <dataValidation allowBlank="1" showInputMessage="1" showErrorMessage="1" prompt="Descripción del pasivo contingente." sqref="BD3"/>
    <dataValidation allowBlank="1" showInputMessage="1" showErrorMessage="1" prompt="El tipo de pasivo contingente." sqref="BC3"/>
    <dataValidation allowBlank="1" showInputMessage="1" showErrorMessage="1" prompt="Representa el nombre del país o institución con la cual se contrató el financiamiento." sqref="AX3"/>
    <dataValidation allowBlank="1" showInputMessage="1" showErrorMessage="1" prompt="Representa la divisa en la cual fue contratado el financiamiento." sqref="AW3"/>
    <dataValidation allowBlank="1" showInputMessage="1" showErrorMessage="1" prompt="Representa el saldo final del período inmediato anterior. ( saldo del 31 de diciembre)." sqref="AY3"/>
    <dataValidation allowBlank="1" showInputMessage="1" showErrorMessage="1" prompt="Corresponde al número de cuenta al 4° nivel del Plan de Cuentas emitido por el CONAC (DOF 22/12/2014)." sqref="AU3"/>
    <dataValidation allowBlank="1" showInputMessage="1" showErrorMessage="1" prompt="Representa el saldo final del período. (correspondiente a la información financiera trimestral que se presenta)." sqref="AZ3"/>
    <dataValidation allowBlank="1" showInputMessage="1" showErrorMessage="1" prompt="Corresponde al saldo final de las cuentas, atendiendo la siguiente operación aritmética: saldo inicial más cargos, menos los abonos." sqref="AQ3"/>
    <dataValidation allowBlank="1" showInputMessage="1" showErrorMessage="1" prompt="Diferencia del saldo final menos saldo inicial." sqref="AR3"/>
    <dataValidation allowBlank="1" showInputMessage="1" showErrorMessage="1" prompt="Saldo al 31 de diciembre del año anterior." sqref="AN3"/>
    <dataValidation allowBlank="1" showInputMessage="1" showErrorMessage="1" prompt="Corresponde a los abonos acumulados al periodo que corresponde la información financiera trimestral." sqref="AP3"/>
    <dataValidation allowBlank="1" showInputMessage="1" showErrorMessage="1" prompt="Corresponde a los cargos acumulados al periodo que corresponde la información financiera trimestral." sqref="AO3"/>
    <dataValidation allowBlank="1" showInputMessage="1" showErrorMessage="1" prompt="Muestra el saldo de las cuentas acumulado al trimestre correspondiente al que se presenta." sqref="K3 D3 AG3"/>
    <dataValidation allowBlank="1" showInputMessage="1" showErrorMessage="1" prompt="Muestra el saldo de las cuentas acumulado al trimestre correspondiente al que se presento en el ejercicio 2015." sqref="L3 E3 AH3"/>
    <dataValidation allowBlank="1" showInputMessage="1" showErrorMessage="1" prompt="Corresponde al nombre o descripción de la cuenta de acuerdo al plan de cuentas emitido por el CONAC." sqref="Z3 AV3"/>
    <dataValidation allowBlank="1" showInputMessage="1" showErrorMessage="1" prompt="Referencia que puede coincidir con el número de cuenta al 4° nivel del Plan de Cuentas emitido por el CONAC (DOF 23/12/2015)." sqref="P3"/>
    <dataValidation allowBlank="1" showInputMessage="1" showErrorMessage="1" prompt="Corresponde al nombre o descripción de la cuenta de acuerdo al Plan de Cuentas emitido por el CONAC." sqref="C3 J3 AF3 Q3 AM3"/>
    <dataValidation allowBlank="1" showInputMessage="1" showErrorMessage="1" prompt="Dato alfanumérico con el que se vincula este estado financiero con el documento denominado &quot;Notas a los Estados Financieros&quot;." sqref="AI3 F3 M3"/>
    <dataValidation allowBlank="1" showInputMessage="1" showErrorMessage="1" prompt="Corresponde al número de cuenta al 4° nivel del Plan de Cuentas emitido por el CONAC (DOF 23/12/2015)." sqref="B3 I3 Y3 AE3 AL3"/>
    <dataValidation allowBlank="1" showInputMessage="1" showErrorMessage="1" prompt="De acuerdo a la Clasificación Administrativa, publicada en el DOF del 7 de julio de 2011.  Además incluir la UR, separado por guion (CA - UR)." sqref="CN3 CN65538 CN131074 CN196610 CN262146 CN327682 CN393218 CN458754 CN524290 CN589826 CN655362 CN720898 CN786434 CN851970 CN917506 CN983042 CX983036 CX65532 CX131068 CX196604 CX262140 CX327676 CX393212 CX458748 CX524284 CX589820 CX655356 CX720892 CX786428 CX851964 CX917500 DR983036 DR65532 DR131068 DR196604 DR262140 DR327676 DR393212 DR458748 DR524284 DR589820 DR655356 DR720892 DR786428 DR851964 DR917500"/>
    <dataValidation allowBlank="1" showInputMessage="1" showErrorMessage="1" prompt="Para el llenado de este formato se debe utilizar la Clasificación por Tipo de Gasto aprobado por el CONAC identificando el ejercicio presupuestal de gasto corriente, gasto de capital y el de amortización de la deuda y disminución de pasivos..." sqref="CX3"/>
    <dataValidation allowBlank="1" showInputMessage="1" showErrorMessage="1" prompt="Para el llenado de este formato se debe utilizar el Clasificador Funcional aprobado por el CONAC a nivel de Finalidad y Función." sqref="DR3"/>
  </dataValidations>
  <pageMargins left="0.7" right="0.7" top="0.75" bottom="0.75" header="0.3" footer="0.3"/>
  <pageSetup paperSize="119" orientation="portrait" horizontalDpi="1200" verticalDpi="1200" r:id="rId1"/>
  <ignoredErrors>
    <ignoredError sqref="BG27:BN36 BR24:BZ30 BI5:BN19 BO5:BO19 BO27:BO36 BR5:BY22 BZ5:BZ23 BR31:BY43 BZ31:BZ43 CK5:CK15 CE5:CJ15 BS23:BY23 CP4:CU10 CZ4:DE9 DJ5:DO77 DT4:DY36 ED5:EF26 EK14:EL26 EP4:ER15 EW5:FB35 CP11:CU14" unlockedFormula="1"/>
    <ignoredError sqref="BR23" numberStoredAsText="1" unlockedFormula="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topLeftCell="B1" workbookViewId="0">
      <selection activeCell="G71" sqref="B4:G71"/>
    </sheetView>
  </sheetViews>
  <sheetFormatPr baseColWidth="10" defaultColWidth="12" defaultRowHeight="11.25"/>
  <cols>
    <col min="1" max="1" width="90.7109375" style="709" customWidth="1"/>
    <col min="2" max="7" width="16.7109375" style="709" customWidth="1"/>
    <col min="8" max="16384" width="12" style="709"/>
  </cols>
  <sheetData>
    <row r="1" spans="1:7" ht="45.95" customHeight="1">
      <c r="A1" s="1118" t="s">
        <v>1619</v>
      </c>
      <c r="B1" s="1098"/>
      <c r="C1" s="1098"/>
      <c r="D1" s="1098"/>
      <c r="E1" s="1098"/>
      <c r="F1" s="1098"/>
      <c r="G1" s="1099"/>
    </row>
    <row r="2" spans="1:7">
      <c r="A2" s="761"/>
      <c r="B2" s="1040" t="s">
        <v>1012</v>
      </c>
      <c r="C2" s="1040"/>
      <c r="D2" s="1040"/>
      <c r="E2" s="1040"/>
      <c r="F2" s="1040"/>
      <c r="G2" s="762"/>
    </row>
    <row r="3" spans="1:7" ht="22.5">
      <c r="A3" s="763" t="s">
        <v>1009</v>
      </c>
      <c r="B3" s="764" t="s">
        <v>1620</v>
      </c>
      <c r="C3" s="726" t="s">
        <v>1621</v>
      </c>
      <c r="D3" s="764" t="s">
        <v>358</v>
      </c>
      <c r="E3" s="764" t="s">
        <v>359</v>
      </c>
      <c r="F3" s="764" t="s">
        <v>387</v>
      </c>
      <c r="G3" s="763" t="s">
        <v>1622</v>
      </c>
    </row>
    <row r="4" spans="1:7" ht="5.0999999999999996" customHeight="1">
      <c r="A4" s="765"/>
      <c r="B4" s="712"/>
      <c r="C4" s="712"/>
      <c r="D4" s="712"/>
      <c r="E4" s="712"/>
      <c r="F4" s="712"/>
      <c r="G4" s="712"/>
    </row>
    <row r="5" spans="1:7">
      <c r="A5" s="766" t="s">
        <v>1036</v>
      </c>
      <c r="B5" s="717"/>
      <c r="C5" s="717"/>
      <c r="D5" s="717"/>
      <c r="E5" s="717"/>
      <c r="F5" s="717"/>
      <c r="G5" s="717"/>
    </row>
    <row r="6" spans="1:7">
      <c r="A6" s="767" t="s">
        <v>1045</v>
      </c>
      <c r="B6" s="717">
        <f>+'LDF Trim'!BC12</f>
        <v>0</v>
      </c>
      <c r="C6" s="717">
        <f>+'LDF Trim'!BD12</f>
        <v>0</v>
      </c>
      <c r="D6" s="717">
        <f>+'LDF Trim'!BE12</f>
        <v>0</v>
      </c>
      <c r="E6" s="717">
        <f>+'LDF Trim'!BF12</f>
        <v>0</v>
      </c>
      <c r="F6" s="717">
        <f>+'LDF Trim'!BG12</f>
        <v>0</v>
      </c>
      <c r="G6" s="717">
        <f>F6-B6</f>
        <v>0</v>
      </c>
    </row>
    <row r="7" spans="1:7">
      <c r="A7" s="767" t="s">
        <v>1055</v>
      </c>
      <c r="B7" s="717">
        <f>+'LDF Trim'!BC13</f>
        <v>0</v>
      </c>
      <c r="C7" s="717">
        <f>+'LDF Trim'!BD13</f>
        <v>0</v>
      </c>
      <c r="D7" s="717">
        <f>+'LDF Trim'!BE13</f>
        <v>0</v>
      </c>
      <c r="E7" s="717">
        <f>+'LDF Trim'!BF13</f>
        <v>0</v>
      </c>
      <c r="F7" s="717">
        <f>+'LDF Trim'!BG13</f>
        <v>0</v>
      </c>
      <c r="G7" s="717">
        <f t="shared" ref="G7:G37" si="0">F7-B7</f>
        <v>0</v>
      </c>
    </row>
    <row r="8" spans="1:7">
      <c r="A8" s="767" t="s">
        <v>1063</v>
      </c>
      <c r="B8" s="717">
        <f>+'LDF Trim'!BC14</f>
        <v>0</v>
      </c>
      <c r="C8" s="717">
        <f>+'LDF Trim'!BD14</f>
        <v>0</v>
      </c>
      <c r="D8" s="717">
        <f>+'LDF Trim'!BE14</f>
        <v>0</v>
      </c>
      <c r="E8" s="717">
        <f>+'LDF Trim'!BF14</f>
        <v>0</v>
      </c>
      <c r="F8" s="717">
        <f>+'LDF Trim'!BG14</f>
        <v>0</v>
      </c>
      <c r="G8" s="717">
        <f t="shared" si="0"/>
        <v>0</v>
      </c>
    </row>
    <row r="9" spans="1:7">
      <c r="A9" s="767" t="s">
        <v>1072</v>
      </c>
      <c r="B9" s="717">
        <f>+'LDF Trim'!BC15</f>
        <v>0</v>
      </c>
      <c r="C9" s="717">
        <f>+'LDF Trim'!BD15</f>
        <v>0</v>
      </c>
      <c r="D9" s="717">
        <f>+'LDF Trim'!BE15</f>
        <v>0</v>
      </c>
      <c r="E9" s="717">
        <f>+'LDF Trim'!BF15</f>
        <v>0</v>
      </c>
      <c r="F9" s="717">
        <f>+'LDF Trim'!BG15</f>
        <v>0</v>
      </c>
      <c r="G9" s="717">
        <f t="shared" si="0"/>
        <v>0</v>
      </c>
    </row>
    <row r="10" spans="1:7">
      <c r="A10" s="767" t="s">
        <v>1080</v>
      </c>
      <c r="B10" s="717">
        <f>+'LDF Trim'!BC16</f>
        <v>0</v>
      </c>
      <c r="C10" s="717">
        <f>+'LDF Trim'!BD16</f>
        <v>0</v>
      </c>
      <c r="D10" s="717">
        <f>+'LDF Trim'!BE16</f>
        <v>0</v>
      </c>
      <c r="E10" s="717">
        <f>+'LDF Trim'!BF16</f>
        <v>0</v>
      </c>
      <c r="F10" s="717">
        <f>+'LDF Trim'!BG16</f>
        <v>0</v>
      </c>
      <c r="G10" s="717">
        <f t="shared" si="0"/>
        <v>0</v>
      </c>
    </row>
    <row r="11" spans="1:7">
      <c r="A11" s="767" t="s">
        <v>1090</v>
      </c>
      <c r="B11" s="717">
        <f>+'LDF Trim'!BC17</f>
        <v>0</v>
      </c>
      <c r="C11" s="717">
        <f>+'LDF Trim'!BD17</f>
        <v>0</v>
      </c>
      <c r="D11" s="717">
        <f>+'LDF Trim'!BE17</f>
        <v>0</v>
      </c>
      <c r="E11" s="717">
        <f>+'LDF Trim'!BF17</f>
        <v>0</v>
      </c>
      <c r="F11" s="717">
        <f>+'LDF Trim'!BG17</f>
        <v>0</v>
      </c>
      <c r="G11" s="717">
        <f t="shared" si="0"/>
        <v>0</v>
      </c>
    </row>
    <row r="12" spans="1:7">
      <c r="A12" s="767" t="s">
        <v>1099</v>
      </c>
      <c r="B12" s="717">
        <f>+'LDF Trim'!BC18</f>
        <v>1312000</v>
      </c>
      <c r="C12" s="717">
        <f>+'LDF Trim'!BD18</f>
        <v>1613534.31</v>
      </c>
      <c r="D12" s="717">
        <f>+'LDF Trim'!BE18</f>
        <v>2925534.31</v>
      </c>
      <c r="E12" s="717">
        <f>+'LDF Trim'!BF18</f>
        <v>2925534.31</v>
      </c>
      <c r="F12" s="717">
        <f>+'LDF Trim'!BG18</f>
        <v>2925534.31</v>
      </c>
      <c r="G12" s="717">
        <f t="shared" si="0"/>
        <v>1613534.31</v>
      </c>
    </row>
    <row r="13" spans="1:7">
      <c r="A13" s="767" t="s">
        <v>1109</v>
      </c>
      <c r="B13" s="717">
        <f>SUM(B14:B24)</f>
        <v>0</v>
      </c>
      <c r="C13" s="717">
        <f t="shared" ref="C13:F13" si="1">SUM(C14:C24)</f>
        <v>0</v>
      </c>
      <c r="D13" s="717">
        <f t="shared" si="1"/>
        <v>0</v>
      </c>
      <c r="E13" s="717">
        <f t="shared" si="1"/>
        <v>0</v>
      </c>
      <c r="F13" s="717">
        <f t="shared" si="1"/>
        <v>0</v>
      </c>
      <c r="G13" s="717">
        <f t="shared" si="0"/>
        <v>0</v>
      </c>
    </row>
    <row r="14" spans="1:7">
      <c r="A14" s="768" t="s">
        <v>1118</v>
      </c>
      <c r="B14" s="717">
        <f>+'LDF Trim'!BC20</f>
        <v>0</v>
      </c>
      <c r="C14" s="717">
        <f>+'LDF Trim'!BD20</f>
        <v>0</v>
      </c>
      <c r="D14" s="717">
        <f>+'LDF Trim'!BE20</f>
        <v>0</v>
      </c>
      <c r="E14" s="717">
        <f>+'LDF Trim'!BF20</f>
        <v>0</v>
      </c>
      <c r="F14" s="717">
        <f>+'LDF Trim'!BG20</f>
        <v>0</v>
      </c>
      <c r="G14" s="717">
        <f t="shared" si="0"/>
        <v>0</v>
      </c>
    </row>
    <row r="15" spans="1:7">
      <c r="A15" s="768" t="s">
        <v>1126</v>
      </c>
      <c r="B15" s="717">
        <f>+'LDF Trim'!BC21</f>
        <v>0</v>
      </c>
      <c r="C15" s="717">
        <f>+'LDF Trim'!BD21</f>
        <v>0</v>
      </c>
      <c r="D15" s="717">
        <f>+'LDF Trim'!BE21</f>
        <v>0</v>
      </c>
      <c r="E15" s="717">
        <f>+'LDF Trim'!BF21</f>
        <v>0</v>
      </c>
      <c r="F15" s="717">
        <f>+'LDF Trim'!BG21</f>
        <v>0</v>
      </c>
      <c r="G15" s="717">
        <f t="shared" si="0"/>
        <v>0</v>
      </c>
    </row>
    <row r="16" spans="1:7">
      <c r="A16" s="768" t="s">
        <v>1133</v>
      </c>
      <c r="B16" s="717">
        <f>+'LDF Trim'!BC22</f>
        <v>0</v>
      </c>
      <c r="C16" s="717">
        <f>+'LDF Trim'!BD22</f>
        <v>0</v>
      </c>
      <c r="D16" s="717">
        <f>+'LDF Trim'!BE22</f>
        <v>0</v>
      </c>
      <c r="E16" s="717">
        <f>+'LDF Trim'!BF22</f>
        <v>0</v>
      </c>
      <c r="F16" s="717">
        <f>+'LDF Trim'!BG22</f>
        <v>0</v>
      </c>
      <c r="G16" s="717">
        <f t="shared" si="0"/>
        <v>0</v>
      </c>
    </row>
    <row r="17" spans="1:7">
      <c r="A17" s="768" t="s">
        <v>1142</v>
      </c>
      <c r="B17" s="717">
        <f>+'LDF Trim'!BC23</f>
        <v>0</v>
      </c>
      <c r="C17" s="717">
        <f>+'LDF Trim'!BD23</f>
        <v>0</v>
      </c>
      <c r="D17" s="717">
        <f>+'LDF Trim'!BE23</f>
        <v>0</v>
      </c>
      <c r="E17" s="717">
        <f>+'LDF Trim'!BF23</f>
        <v>0</v>
      </c>
      <c r="F17" s="717">
        <f>+'LDF Trim'!BG23</f>
        <v>0</v>
      </c>
      <c r="G17" s="717">
        <f t="shared" si="0"/>
        <v>0</v>
      </c>
    </row>
    <row r="18" spans="1:7">
      <c r="A18" s="768" t="s">
        <v>1150</v>
      </c>
      <c r="B18" s="717">
        <f>+'LDF Trim'!BC24</f>
        <v>0</v>
      </c>
      <c r="C18" s="717">
        <f>+'LDF Trim'!BD24</f>
        <v>0</v>
      </c>
      <c r="D18" s="717">
        <f>+'LDF Trim'!BE24</f>
        <v>0</v>
      </c>
      <c r="E18" s="717">
        <f>+'LDF Trim'!BF24</f>
        <v>0</v>
      </c>
      <c r="F18" s="717">
        <f>+'LDF Trim'!BG24</f>
        <v>0</v>
      </c>
      <c r="G18" s="717">
        <f t="shared" si="0"/>
        <v>0</v>
      </c>
    </row>
    <row r="19" spans="1:7">
      <c r="A19" s="768" t="s">
        <v>1158</v>
      </c>
      <c r="B19" s="717">
        <f>+'LDF Trim'!BC25</f>
        <v>0</v>
      </c>
      <c r="C19" s="717">
        <f>+'LDF Trim'!BD25</f>
        <v>0</v>
      </c>
      <c r="D19" s="717">
        <f>+'LDF Trim'!BE25</f>
        <v>0</v>
      </c>
      <c r="E19" s="717">
        <f>+'LDF Trim'!BF25</f>
        <v>0</v>
      </c>
      <c r="F19" s="717">
        <f>+'LDF Trim'!BG25</f>
        <v>0</v>
      </c>
      <c r="G19" s="717">
        <f t="shared" si="0"/>
        <v>0</v>
      </c>
    </row>
    <row r="20" spans="1:7">
      <c r="A20" s="768" t="s">
        <v>1165</v>
      </c>
      <c r="B20" s="717">
        <f>+'LDF Trim'!BC26</f>
        <v>0</v>
      </c>
      <c r="C20" s="717">
        <f>+'LDF Trim'!BD26</f>
        <v>0</v>
      </c>
      <c r="D20" s="717">
        <f>+'LDF Trim'!BE26</f>
        <v>0</v>
      </c>
      <c r="E20" s="717">
        <f>+'LDF Trim'!BF26</f>
        <v>0</v>
      </c>
      <c r="F20" s="717">
        <f>+'LDF Trim'!BG26</f>
        <v>0</v>
      </c>
      <c r="G20" s="717">
        <f t="shared" si="0"/>
        <v>0</v>
      </c>
    </row>
    <row r="21" spans="1:7">
      <c r="A21" s="768" t="s">
        <v>1171</v>
      </c>
      <c r="B21" s="717">
        <f>+'LDF Trim'!BC27</f>
        <v>0</v>
      </c>
      <c r="C21" s="717">
        <f>+'LDF Trim'!BD27</f>
        <v>0</v>
      </c>
      <c r="D21" s="717">
        <f>+'LDF Trim'!BE27</f>
        <v>0</v>
      </c>
      <c r="E21" s="717">
        <f>+'LDF Trim'!BF27</f>
        <v>0</v>
      </c>
      <c r="F21" s="717">
        <f>+'LDF Trim'!BG27</f>
        <v>0</v>
      </c>
      <c r="G21" s="717">
        <f t="shared" si="0"/>
        <v>0</v>
      </c>
    </row>
    <row r="22" spans="1:7">
      <c r="A22" s="768" t="s">
        <v>1176</v>
      </c>
      <c r="B22" s="717">
        <f>+'LDF Trim'!BC28</f>
        <v>0</v>
      </c>
      <c r="C22" s="717">
        <f>+'LDF Trim'!BD28</f>
        <v>0</v>
      </c>
      <c r="D22" s="717">
        <f>+'LDF Trim'!BE28</f>
        <v>0</v>
      </c>
      <c r="E22" s="717">
        <f>+'LDF Trim'!BF28</f>
        <v>0</v>
      </c>
      <c r="F22" s="717">
        <f>+'LDF Trim'!BG28</f>
        <v>0</v>
      </c>
      <c r="G22" s="717">
        <f t="shared" si="0"/>
        <v>0</v>
      </c>
    </row>
    <row r="23" spans="1:7">
      <c r="A23" s="768" t="s">
        <v>1182</v>
      </c>
      <c r="B23" s="717">
        <f>+'LDF Trim'!BC29</f>
        <v>0</v>
      </c>
      <c r="C23" s="717">
        <f>+'LDF Trim'!BD29</f>
        <v>0</v>
      </c>
      <c r="D23" s="717">
        <f>+'LDF Trim'!BE29</f>
        <v>0</v>
      </c>
      <c r="E23" s="717">
        <f>+'LDF Trim'!BF29</f>
        <v>0</v>
      </c>
      <c r="F23" s="717">
        <f>+'LDF Trim'!BG29</f>
        <v>0</v>
      </c>
      <c r="G23" s="717">
        <f t="shared" si="0"/>
        <v>0</v>
      </c>
    </row>
    <row r="24" spans="1:7">
      <c r="A24" s="768" t="s">
        <v>1188</v>
      </c>
      <c r="B24" s="717">
        <f>+'LDF Trim'!BC30</f>
        <v>0</v>
      </c>
      <c r="C24" s="717">
        <f>+'LDF Trim'!BD30</f>
        <v>0</v>
      </c>
      <c r="D24" s="717">
        <f>+'LDF Trim'!BE30</f>
        <v>0</v>
      </c>
      <c r="E24" s="717">
        <f>+'LDF Trim'!BF30</f>
        <v>0</v>
      </c>
      <c r="F24" s="717">
        <f>+'LDF Trim'!BG30</f>
        <v>0</v>
      </c>
      <c r="G24" s="717">
        <f t="shared" si="0"/>
        <v>0</v>
      </c>
    </row>
    <row r="25" spans="1:7">
      <c r="A25" s="767" t="s">
        <v>1196</v>
      </c>
      <c r="B25" s="717">
        <f>SUM(B26:B30)</f>
        <v>0</v>
      </c>
      <c r="C25" s="717">
        <f t="shared" ref="C25:F25" si="2">SUM(C26:C30)</f>
        <v>0</v>
      </c>
      <c r="D25" s="717">
        <f t="shared" si="2"/>
        <v>0</v>
      </c>
      <c r="E25" s="717">
        <f t="shared" si="2"/>
        <v>0</v>
      </c>
      <c r="F25" s="717">
        <f t="shared" si="2"/>
        <v>0</v>
      </c>
      <c r="G25" s="717">
        <f t="shared" si="0"/>
        <v>0</v>
      </c>
    </row>
    <row r="26" spans="1:7">
      <c r="A26" s="768" t="s">
        <v>1203</v>
      </c>
      <c r="B26" s="717">
        <f>+'LDF Trim'!BC32</f>
        <v>0</v>
      </c>
      <c r="C26" s="717">
        <f>+'LDF Trim'!BD32</f>
        <v>0</v>
      </c>
      <c r="D26" s="717">
        <f>+'LDF Trim'!BE32</f>
        <v>0</v>
      </c>
      <c r="E26" s="717">
        <f>+'LDF Trim'!BF32</f>
        <v>0</v>
      </c>
      <c r="F26" s="717">
        <f>+'LDF Trim'!BG32</f>
        <v>0</v>
      </c>
      <c r="G26" s="717">
        <f t="shared" si="0"/>
        <v>0</v>
      </c>
    </row>
    <row r="27" spans="1:7">
      <c r="A27" s="768" t="s">
        <v>1208</v>
      </c>
      <c r="B27" s="717">
        <f>+'LDF Trim'!BC33</f>
        <v>0</v>
      </c>
      <c r="C27" s="717">
        <f>+'LDF Trim'!BD33</f>
        <v>0</v>
      </c>
      <c r="D27" s="717">
        <f>+'LDF Trim'!BE33</f>
        <v>0</v>
      </c>
      <c r="E27" s="717">
        <f>+'LDF Trim'!BF33</f>
        <v>0</v>
      </c>
      <c r="F27" s="717">
        <f>+'LDF Trim'!BG33</f>
        <v>0</v>
      </c>
      <c r="G27" s="717">
        <f t="shared" si="0"/>
        <v>0</v>
      </c>
    </row>
    <row r="28" spans="1:7">
      <c r="A28" s="768" t="s">
        <v>1214</v>
      </c>
      <c r="B28" s="717">
        <f>+'LDF Trim'!BC34</f>
        <v>0</v>
      </c>
      <c r="C28" s="717">
        <f>+'LDF Trim'!BD34</f>
        <v>0</v>
      </c>
      <c r="D28" s="717">
        <f>+'LDF Trim'!BE34</f>
        <v>0</v>
      </c>
      <c r="E28" s="717">
        <f>+'LDF Trim'!BF34</f>
        <v>0</v>
      </c>
      <c r="F28" s="717">
        <f>+'LDF Trim'!BG34</f>
        <v>0</v>
      </c>
      <c r="G28" s="717">
        <f t="shared" si="0"/>
        <v>0</v>
      </c>
    </row>
    <row r="29" spans="1:7">
      <c r="A29" s="768" t="s">
        <v>1226</v>
      </c>
      <c r="B29" s="717">
        <f>+'LDF Trim'!BC35</f>
        <v>0</v>
      </c>
      <c r="C29" s="717">
        <f>+'LDF Trim'!BD35</f>
        <v>0</v>
      </c>
      <c r="D29" s="717">
        <f>+'LDF Trim'!BE35</f>
        <v>0</v>
      </c>
      <c r="E29" s="717">
        <f>+'LDF Trim'!BF35</f>
        <v>0</v>
      </c>
      <c r="F29" s="717">
        <f>+'LDF Trim'!BG35</f>
        <v>0</v>
      </c>
      <c r="G29" s="717">
        <f t="shared" si="0"/>
        <v>0</v>
      </c>
    </row>
    <row r="30" spans="1:7">
      <c r="A30" s="768" t="s">
        <v>1231</v>
      </c>
      <c r="B30" s="717">
        <f>+'LDF Trim'!BC36</f>
        <v>0</v>
      </c>
      <c r="C30" s="717">
        <f>+'LDF Trim'!BD36</f>
        <v>0</v>
      </c>
      <c r="D30" s="717">
        <f>+'LDF Trim'!BE36</f>
        <v>0</v>
      </c>
      <c r="E30" s="717">
        <f>+'LDF Trim'!BF36</f>
        <v>0</v>
      </c>
      <c r="F30" s="717">
        <f>+'LDF Trim'!BG36</f>
        <v>0</v>
      </c>
      <c r="G30" s="717">
        <f t="shared" si="0"/>
        <v>0</v>
      </c>
    </row>
    <row r="31" spans="1:7">
      <c r="A31" s="767" t="s">
        <v>1236</v>
      </c>
      <c r="B31" s="717">
        <f>+'LDF Trim'!BC37</f>
        <v>79093840.510000005</v>
      </c>
      <c r="C31" s="717">
        <f>+'LDF Trim'!BD37</f>
        <v>6844369.5</v>
      </c>
      <c r="D31" s="717">
        <f>+'LDF Trim'!BE37</f>
        <v>85938210.010000005</v>
      </c>
      <c r="E31" s="717">
        <f>+'LDF Trim'!BF37</f>
        <v>85938205.109999985</v>
      </c>
      <c r="F31" s="717">
        <f>+'LDF Trim'!BG37</f>
        <v>85938205.109999985</v>
      </c>
      <c r="G31" s="717">
        <f t="shared" si="0"/>
        <v>6844364.5999999791</v>
      </c>
    </row>
    <row r="32" spans="1:7">
      <c r="A32" s="767" t="s">
        <v>1245</v>
      </c>
      <c r="B32" s="717">
        <f>SUM(B33)</f>
        <v>0</v>
      </c>
      <c r="C32" s="717">
        <f t="shared" ref="C32:F32" si="3">SUM(C33)</f>
        <v>0</v>
      </c>
      <c r="D32" s="717">
        <f t="shared" si="3"/>
        <v>0</v>
      </c>
      <c r="E32" s="717">
        <f t="shared" si="3"/>
        <v>0</v>
      </c>
      <c r="F32" s="717">
        <f t="shared" si="3"/>
        <v>0</v>
      </c>
      <c r="G32" s="717">
        <f t="shared" si="0"/>
        <v>0</v>
      </c>
    </row>
    <row r="33" spans="1:7">
      <c r="A33" s="768" t="s">
        <v>1251</v>
      </c>
      <c r="B33" s="717">
        <f>+'LDF Trim'!BC39</f>
        <v>0</v>
      </c>
      <c r="C33" s="717">
        <f>+'LDF Trim'!BD39</f>
        <v>0</v>
      </c>
      <c r="D33" s="717">
        <f>+'LDF Trim'!BE39</f>
        <v>0</v>
      </c>
      <c r="E33" s="717">
        <f>+'LDF Trim'!BF39</f>
        <v>0</v>
      </c>
      <c r="F33" s="717">
        <f>+'LDF Trim'!BG39</f>
        <v>0</v>
      </c>
      <c r="G33" s="717">
        <f t="shared" si="0"/>
        <v>0</v>
      </c>
    </row>
    <row r="34" spans="1:7">
      <c r="A34" s="767" t="s">
        <v>1258</v>
      </c>
      <c r="B34" s="717">
        <f>SUM(B35:B36)</f>
        <v>0</v>
      </c>
      <c r="C34" s="717">
        <f t="shared" ref="C34:F34" si="4">SUM(C35:C36)</f>
        <v>0</v>
      </c>
      <c r="D34" s="717">
        <f t="shared" si="4"/>
        <v>0</v>
      </c>
      <c r="E34" s="717">
        <f t="shared" si="4"/>
        <v>0</v>
      </c>
      <c r="F34" s="717">
        <f t="shared" si="4"/>
        <v>0</v>
      </c>
      <c r="G34" s="717">
        <f t="shared" si="0"/>
        <v>0</v>
      </c>
    </row>
    <row r="35" spans="1:7">
      <c r="A35" s="768" t="s">
        <v>1264</v>
      </c>
      <c r="B35" s="717">
        <f>+'LDF Trim'!BC41</f>
        <v>0</v>
      </c>
      <c r="C35" s="717">
        <f>+'LDF Trim'!BD41</f>
        <v>0</v>
      </c>
      <c r="D35" s="717">
        <f>+'LDF Trim'!BE41</f>
        <v>0</v>
      </c>
      <c r="E35" s="717">
        <f>+'LDF Trim'!BF41</f>
        <v>0</v>
      </c>
      <c r="F35" s="717">
        <f>+'LDF Trim'!BG41</f>
        <v>0</v>
      </c>
      <c r="G35" s="717">
        <f t="shared" si="0"/>
        <v>0</v>
      </c>
    </row>
    <row r="36" spans="1:7">
      <c r="A36" s="768" t="s">
        <v>1271</v>
      </c>
      <c r="B36" s="717">
        <f>+'LDF Trim'!BC42</f>
        <v>0</v>
      </c>
      <c r="C36" s="717">
        <f>+'LDF Trim'!BD42</f>
        <v>0</v>
      </c>
      <c r="D36" s="717">
        <f>+'LDF Trim'!BE42</f>
        <v>0</v>
      </c>
      <c r="E36" s="717">
        <f>+'LDF Trim'!BF42</f>
        <v>0</v>
      </c>
      <c r="F36" s="717">
        <f>+'LDF Trim'!BG42</f>
        <v>0</v>
      </c>
      <c r="G36" s="717">
        <f t="shared" si="0"/>
        <v>0</v>
      </c>
    </row>
    <row r="37" spans="1:7">
      <c r="A37" s="766" t="s">
        <v>1277</v>
      </c>
      <c r="B37" s="715">
        <f>SUM(B6:B13)+B25+B31+B32+B34</f>
        <v>80405840.510000005</v>
      </c>
      <c r="C37" s="715">
        <f>SUM(C6:C13)+C25+C31+C32+C34</f>
        <v>8457903.8100000005</v>
      </c>
      <c r="D37" s="715">
        <f>SUM(D6:D13)+D25+D31+D32+D34</f>
        <v>88863744.320000008</v>
      </c>
      <c r="E37" s="715">
        <f>SUM(E6:E13)+E25+E31+E32+E34</f>
        <v>88863739.419999987</v>
      </c>
      <c r="F37" s="715">
        <f>SUM(F6:F13)+F25+F31+F32+F34</f>
        <v>88863739.419999987</v>
      </c>
      <c r="G37" s="715">
        <f t="shared" si="0"/>
        <v>8457898.9099999815</v>
      </c>
    </row>
    <row r="38" spans="1:7">
      <c r="A38" s="766" t="s">
        <v>1283</v>
      </c>
      <c r="B38" s="769"/>
      <c r="C38" s="769"/>
      <c r="D38" s="769"/>
      <c r="E38" s="769"/>
      <c r="F38" s="769"/>
      <c r="G38" s="715">
        <f>+'LDF Trim'!BH44</f>
        <v>8457898.9099999815</v>
      </c>
    </row>
    <row r="39" spans="1:7" ht="5.0999999999999996" customHeight="1">
      <c r="A39" s="770"/>
      <c r="B39" s="717"/>
      <c r="C39" s="717"/>
      <c r="D39" s="717"/>
      <c r="E39" s="717"/>
      <c r="F39" s="717"/>
      <c r="G39" s="717"/>
    </row>
    <row r="40" spans="1:7">
      <c r="A40" s="766" t="s">
        <v>1293</v>
      </c>
      <c r="B40" s="717"/>
      <c r="C40" s="717"/>
      <c r="D40" s="717"/>
      <c r="E40" s="717"/>
      <c r="F40" s="717"/>
      <c r="G40" s="717"/>
    </row>
    <row r="41" spans="1:7">
      <c r="A41" s="767" t="s">
        <v>1298</v>
      </c>
      <c r="B41" s="717">
        <f>SUM(B42:B49)</f>
        <v>0</v>
      </c>
      <c r="C41" s="717">
        <f t="shared" ref="C41:F41" si="5">SUM(C42:C49)</f>
        <v>0</v>
      </c>
      <c r="D41" s="717">
        <f t="shared" si="5"/>
        <v>0</v>
      </c>
      <c r="E41" s="717">
        <f t="shared" si="5"/>
        <v>0</v>
      </c>
      <c r="F41" s="717">
        <f t="shared" si="5"/>
        <v>0</v>
      </c>
      <c r="G41" s="717">
        <f t="shared" ref="G41:G70" si="6">F41-B41</f>
        <v>0</v>
      </c>
    </row>
    <row r="42" spans="1:7">
      <c r="A42" s="768" t="s">
        <v>1303</v>
      </c>
      <c r="B42" s="717">
        <f>+'LDF Trim'!BC48</f>
        <v>0</v>
      </c>
      <c r="C42" s="717">
        <f>+'LDF Trim'!BD48</f>
        <v>0</v>
      </c>
      <c r="D42" s="717">
        <f>+'LDF Trim'!BE48</f>
        <v>0</v>
      </c>
      <c r="E42" s="717">
        <f>+'LDF Trim'!BF48</f>
        <v>0</v>
      </c>
      <c r="F42" s="717">
        <f>+'LDF Trim'!BG48</f>
        <v>0</v>
      </c>
      <c r="G42" s="717">
        <f t="shared" si="6"/>
        <v>0</v>
      </c>
    </row>
    <row r="43" spans="1:7">
      <c r="A43" s="768" t="s">
        <v>1305</v>
      </c>
      <c r="B43" s="717">
        <f>+'LDF Trim'!BC49</f>
        <v>0</v>
      </c>
      <c r="C43" s="717">
        <f>+'LDF Trim'!BD49</f>
        <v>0</v>
      </c>
      <c r="D43" s="717">
        <f>+'LDF Trim'!BE49</f>
        <v>0</v>
      </c>
      <c r="E43" s="717">
        <f>+'LDF Trim'!BF49</f>
        <v>0</v>
      </c>
      <c r="F43" s="717">
        <f>+'LDF Trim'!BG49</f>
        <v>0</v>
      </c>
      <c r="G43" s="717">
        <f t="shared" si="6"/>
        <v>0</v>
      </c>
    </row>
    <row r="44" spans="1:7">
      <c r="A44" s="768" t="s">
        <v>1309</v>
      </c>
      <c r="B44" s="717">
        <f>+'LDF Trim'!BC50</f>
        <v>0</v>
      </c>
      <c r="C44" s="717">
        <f>+'LDF Trim'!BD50</f>
        <v>0</v>
      </c>
      <c r="D44" s="717">
        <f>+'LDF Trim'!BE50</f>
        <v>0</v>
      </c>
      <c r="E44" s="717">
        <f>+'LDF Trim'!BF50</f>
        <v>0</v>
      </c>
      <c r="F44" s="717">
        <f>+'LDF Trim'!BG50</f>
        <v>0</v>
      </c>
      <c r="G44" s="717">
        <f t="shared" si="6"/>
        <v>0</v>
      </c>
    </row>
    <row r="45" spans="1:7" ht="22.5">
      <c r="A45" s="771" t="s">
        <v>1311</v>
      </c>
      <c r="B45" s="717">
        <f>+'LDF Trim'!BC51</f>
        <v>0</v>
      </c>
      <c r="C45" s="717">
        <f>+'LDF Trim'!BD51</f>
        <v>0</v>
      </c>
      <c r="D45" s="717">
        <f>+'LDF Trim'!BE51</f>
        <v>0</v>
      </c>
      <c r="E45" s="717">
        <f>+'LDF Trim'!BF51</f>
        <v>0</v>
      </c>
      <c r="F45" s="717">
        <f>+'LDF Trim'!BG51</f>
        <v>0</v>
      </c>
      <c r="G45" s="717">
        <f t="shared" si="6"/>
        <v>0</v>
      </c>
    </row>
    <row r="46" spans="1:7">
      <c r="A46" s="768" t="s">
        <v>1315</v>
      </c>
      <c r="B46" s="717">
        <f>+'LDF Trim'!BC52</f>
        <v>0</v>
      </c>
      <c r="C46" s="717">
        <f>+'LDF Trim'!BD52</f>
        <v>0</v>
      </c>
      <c r="D46" s="717">
        <f>+'LDF Trim'!BE52</f>
        <v>0</v>
      </c>
      <c r="E46" s="717">
        <f>+'LDF Trim'!BF52</f>
        <v>0</v>
      </c>
      <c r="F46" s="717">
        <f>+'LDF Trim'!BG52</f>
        <v>0</v>
      </c>
      <c r="G46" s="717">
        <f t="shared" si="6"/>
        <v>0</v>
      </c>
    </row>
    <row r="47" spans="1:7">
      <c r="A47" s="768" t="s">
        <v>1320</v>
      </c>
      <c r="B47" s="717">
        <f>+'LDF Trim'!BC53</f>
        <v>0</v>
      </c>
      <c r="C47" s="717">
        <f>+'LDF Trim'!BD53</f>
        <v>0</v>
      </c>
      <c r="D47" s="717">
        <f>+'LDF Trim'!BE53</f>
        <v>0</v>
      </c>
      <c r="E47" s="717">
        <f>+'LDF Trim'!BF53</f>
        <v>0</v>
      </c>
      <c r="F47" s="717">
        <f>+'LDF Trim'!BG53</f>
        <v>0</v>
      </c>
      <c r="G47" s="717">
        <f t="shared" si="6"/>
        <v>0</v>
      </c>
    </row>
    <row r="48" spans="1:7">
      <c r="A48" s="768" t="s">
        <v>1325</v>
      </c>
      <c r="B48" s="717">
        <f>+'LDF Trim'!BC54</f>
        <v>0</v>
      </c>
      <c r="C48" s="717">
        <f>+'LDF Trim'!BD54</f>
        <v>0</v>
      </c>
      <c r="D48" s="717">
        <f>+'LDF Trim'!BE54</f>
        <v>0</v>
      </c>
      <c r="E48" s="717">
        <f>+'LDF Trim'!BF54</f>
        <v>0</v>
      </c>
      <c r="F48" s="717">
        <f>+'LDF Trim'!BG54</f>
        <v>0</v>
      </c>
      <c r="G48" s="717">
        <f t="shared" si="6"/>
        <v>0</v>
      </c>
    </row>
    <row r="49" spans="1:7">
      <c r="A49" s="768" t="s">
        <v>1329</v>
      </c>
      <c r="B49" s="717">
        <f>+'LDF Trim'!BC55</f>
        <v>0</v>
      </c>
      <c r="C49" s="717">
        <f>+'LDF Trim'!BD55</f>
        <v>0</v>
      </c>
      <c r="D49" s="717">
        <f>+'LDF Trim'!BE55</f>
        <v>0</v>
      </c>
      <c r="E49" s="717">
        <f>+'LDF Trim'!BF55</f>
        <v>0</v>
      </c>
      <c r="F49" s="717">
        <f>+'LDF Trim'!BG55</f>
        <v>0</v>
      </c>
      <c r="G49" s="717">
        <f t="shared" si="6"/>
        <v>0</v>
      </c>
    </row>
    <row r="50" spans="1:7">
      <c r="A50" s="767" t="s">
        <v>1333</v>
      </c>
      <c r="B50" s="717">
        <f>SUM(B51:B54)</f>
        <v>0</v>
      </c>
      <c r="C50" s="717">
        <f t="shared" ref="C50:F50" si="7">SUM(C51:C54)</f>
        <v>0</v>
      </c>
      <c r="D50" s="717">
        <f t="shared" si="7"/>
        <v>0</v>
      </c>
      <c r="E50" s="717">
        <f t="shared" si="7"/>
        <v>0</v>
      </c>
      <c r="F50" s="717">
        <f t="shared" si="7"/>
        <v>0</v>
      </c>
      <c r="G50" s="717">
        <f t="shared" si="6"/>
        <v>0</v>
      </c>
    </row>
    <row r="51" spans="1:7">
      <c r="A51" s="768" t="s">
        <v>1337</v>
      </c>
      <c r="B51" s="717">
        <f>+'LDF Trim'!BC57</f>
        <v>0</v>
      </c>
      <c r="C51" s="717">
        <f>+'LDF Trim'!BD57</f>
        <v>0</v>
      </c>
      <c r="D51" s="717">
        <f>+'LDF Trim'!BE57</f>
        <v>0</v>
      </c>
      <c r="E51" s="717">
        <f>+'LDF Trim'!BF57</f>
        <v>0</v>
      </c>
      <c r="F51" s="717">
        <f>+'LDF Trim'!BG57</f>
        <v>0</v>
      </c>
      <c r="G51" s="717">
        <f t="shared" si="6"/>
        <v>0</v>
      </c>
    </row>
    <row r="52" spans="1:7">
      <c r="A52" s="768" t="s">
        <v>1341</v>
      </c>
      <c r="B52" s="717">
        <f>+'LDF Trim'!BC58</f>
        <v>0</v>
      </c>
      <c r="C52" s="717">
        <f>+'LDF Trim'!BD58</f>
        <v>0</v>
      </c>
      <c r="D52" s="717">
        <f>+'LDF Trim'!BE58</f>
        <v>0</v>
      </c>
      <c r="E52" s="717">
        <f>+'LDF Trim'!BF58</f>
        <v>0</v>
      </c>
      <c r="F52" s="717">
        <f>+'LDF Trim'!BG58</f>
        <v>0</v>
      </c>
      <c r="G52" s="717">
        <f t="shared" si="6"/>
        <v>0</v>
      </c>
    </row>
    <row r="53" spans="1:7">
      <c r="A53" s="768" t="s">
        <v>1344</v>
      </c>
      <c r="B53" s="717">
        <f>+'LDF Trim'!BC59</f>
        <v>0</v>
      </c>
      <c r="C53" s="717">
        <f>+'LDF Trim'!BD59</f>
        <v>0</v>
      </c>
      <c r="D53" s="717">
        <f>+'LDF Trim'!BE59</f>
        <v>0</v>
      </c>
      <c r="E53" s="717">
        <f>+'LDF Trim'!BF59</f>
        <v>0</v>
      </c>
      <c r="F53" s="717">
        <f>+'LDF Trim'!BG59</f>
        <v>0</v>
      </c>
      <c r="G53" s="717">
        <f t="shared" si="6"/>
        <v>0</v>
      </c>
    </row>
    <row r="54" spans="1:7">
      <c r="A54" s="768" t="s">
        <v>1348</v>
      </c>
      <c r="B54" s="717">
        <f>+'LDF Trim'!BC60</f>
        <v>0</v>
      </c>
      <c r="C54" s="717">
        <f>+'LDF Trim'!BD60</f>
        <v>0</v>
      </c>
      <c r="D54" s="717">
        <f>+'LDF Trim'!BE60</f>
        <v>0</v>
      </c>
      <c r="E54" s="717">
        <f>+'LDF Trim'!BF60</f>
        <v>0</v>
      </c>
      <c r="F54" s="717">
        <f>+'LDF Trim'!BG60</f>
        <v>0</v>
      </c>
      <c r="G54" s="717">
        <f t="shared" si="6"/>
        <v>0</v>
      </c>
    </row>
    <row r="55" spans="1:7">
      <c r="A55" s="767" t="s">
        <v>1351</v>
      </c>
      <c r="B55" s="717">
        <f>SUM(B56:B57)</f>
        <v>0</v>
      </c>
      <c r="C55" s="717">
        <f t="shared" ref="C55:F55" si="8">SUM(C56:C57)</f>
        <v>0</v>
      </c>
      <c r="D55" s="717">
        <f t="shared" si="8"/>
        <v>0</v>
      </c>
      <c r="E55" s="717">
        <f t="shared" si="8"/>
        <v>0</v>
      </c>
      <c r="F55" s="717">
        <f t="shared" si="8"/>
        <v>0</v>
      </c>
      <c r="G55" s="717">
        <f t="shared" si="6"/>
        <v>0</v>
      </c>
    </row>
    <row r="56" spans="1:7">
      <c r="A56" s="768" t="s">
        <v>1355</v>
      </c>
      <c r="B56" s="717">
        <f>+'LDF Trim'!BC62</f>
        <v>0</v>
      </c>
      <c r="C56" s="717">
        <f>+'LDF Trim'!BD62</f>
        <v>0</v>
      </c>
      <c r="D56" s="717">
        <f>+'LDF Trim'!BE62</f>
        <v>0</v>
      </c>
      <c r="E56" s="717">
        <f>+'LDF Trim'!BF62</f>
        <v>0</v>
      </c>
      <c r="F56" s="717">
        <f>+'LDF Trim'!BG62</f>
        <v>0</v>
      </c>
      <c r="G56" s="717">
        <f t="shared" si="6"/>
        <v>0</v>
      </c>
    </row>
    <row r="57" spans="1:7">
      <c r="A57" s="768" t="s">
        <v>1359</v>
      </c>
      <c r="B57" s="717">
        <f>+'LDF Trim'!BC63</f>
        <v>0</v>
      </c>
      <c r="C57" s="717">
        <f>+'LDF Trim'!BD63</f>
        <v>0</v>
      </c>
      <c r="D57" s="717">
        <f>+'LDF Trim'!BE63</f>
        <v>0</v>
      </c>
      <c r="E57" s="717">
        <f>+'LDF Trim'!BF63</f>
        <v>0</v>
      </c>
      <c r="F57" s="717">
        <f>+'LDF Trim'!BG63</f>
        <v>0</v>
      </c>
      <c r="G57" s="717">
        <f t="shared" si="6"/>
        <v>0</v>
      </c>
    </row>
    <row r="58" spans="1:7">
      <c r="A58" s="767" t="s">
        <v>1362</v>
      </c>
      <c r="B58" s="717">
        <f>+'LDF Trim'!BC64</f>
        <v>0</v>
      </c>
      <c r="C58" s="717">
        <f>+'LDF Trim'!BD64</f>
        <v>0</v>
      </c>
      <c r="D58" s="717">
        <f>+'LDF Trim'!BE64</f>
        <v>0</v>
      </c>
      <c r="E58" s="717">
        <f>+'LDF Trim'!BF64</f>
        <v>0</v>
      </c>
      <c r="F58" s="717">
        <f>+'LDF Trim'!BG64</f>
        <v>0</v>
      </c>
      <c r="G58" s="717">
        <f t="shared" si="6"/>
        <v>0</v>
      </c>
    </row>
    <row r="59" spans="1:7">
      <c r="A59" s="767" t="s">
        <v>1365</v>
      </c>
      <c r="B59" s="717">
        <f>+'LDF Trim'!BC65</f>
        <v>0</v>
      </c>
      <c r="C59" s="717">
        <f>+'LDF Trim'!BD65</f>
        <v>0</v>
      </c>
      <c r="D59" s="717">
        <f>+'LDF Trim'!BE65</f>
        <v>0</v>
      </c>
      <c r="E59" s="717">
        <f>+'LDF Trim'!BF65</f>
        <v>0</v>
      </c>
      <c r="F59" s="717">
        <f>+'LDF Trim'!BG65</f>
        <v>0</v>
      </c>
      <c r="G59" s="717">
        <f t="shared" si="6"/>
        <v>0</v>
      </c>
    </row>
    <row r="60" spans="1:7">
      <c r="A60" s="766" t="s">
        <v>1368</v>
      </c>
      <c r="B60" s="715">
        <f>B41+B50+B55+B58+B59</f>
        <v>0</v>
      </c>
      <c r="C60" s="715">
        <f>C41+C50+C55+C58+C59</f>
        <v>0</v>
      </c>
      <c r="D60" s="715">
        <f>D41+D50+D55+D58+D59</f>
        <v>0</v>
      </c>
      <c r="E60" s="715">
        <f>E41+E50+E55+E58+E59</f>
        <v>0</v>
      </c>
      <c r="F60" s="715">
        <f>F41+F50+F55+F58+F59</f>
        <v>0</v>
      </c>
      <c r="G60" s="715">
        <f t="shared" si="6"/>
        <v>0</v>
      </c>
    </row>
    <row r="61" spans="1:7" ht="5.0999999999999996" customHeight="1">
      <c r="A61" s="770"/>
      <c r="B61" s="717"/>
      <c r="C61" s="717"/>
      <c r="D61" s="717"/>
      <c r="E61" s="717"/>
      <c r="F61" s="717"/>
      <c r="G61" s="717"/>
    </row>
    <row r="62" spans="1:7">
      <c r="A62" s="766" t="s">
        <v>1373</v>
      </c>
      <c r="B62" s="715">
        <f>SUM(B63)</f>
        <v>0</v>
      </c>
      <c r="C62" s="715">
        <f t="shared" ref="C62:F62" si="9">SUM(C63)</f>
        <v>0</v>
      </c>
      <c r="D62" s="715">
        <f t="shared" si="9"/>
        <v>0</v>
      </c>
      <c r="E62" s="715">
        <f t="shared" si="9"/>
        <v>0</v>
      </c>
      <c r="F62" s="715">
        <f t="shared" si="9"/>
        <v>0</v>
      </c>
      <c r="G62" s="715">
        <f t="shared" si="6"/>
        <v>0</v>
      </c>
    </row>
    <row r="63" spans="1:7">
      <c r="A63" s="767" t="s">
        <v>1623</v>
      </c>
      <c r="B63" s="717">
        <f>+'LDF Trim'!BC69</f>
        <v>0</v>
      </c>
      <c r="C63" s="717">
        <f>+'LDF Trim'!BD69</f>
        <v>0</v>
      </c>
      <c r="D63" s="717">
        <f>+'LDF Trim'!BE69</f>
        <v>0</v>
      </c>
      <c r="E63" s="717">
        <f>+'LDF Trim'!BF69</f>
        <v>0</v>
      </c>
      <c r="F63" s="717">
        <f>+'LDF Trim'!BG69</f>
        <v>0</v>
      </c>
      <c r="G63" s="717">
        <f t="shared" si="6"/>
        <v>0</v>
      </c>
    </row>
    <row r="64" spans="1:7" ht="5.0999999999999996" customHeight="1">
      <c r="A64" s="770"/>
      <c r="B64" s="717"/>
      <c r="C64" s="717"/>
      <c r="D64" s="717"/>
      <c r="E64" s="717"/>
      <c r="F64" s="717"/>
      <c r="G64" s="717"/>
    </row>
    <row r="65" spans="1:7">
      <c r="A65" s="766" t="s">
        <v>1378</v>
      </c>
      <c r="B65" s="715">
        <f>B37+B60+B62</f>
        <v>80405840.510000005</v>
      </c>
      <c r="C65" s="715">
        <f>C37+C60+C62</f>
        <v>8457903.8100000005</v>
      </c>
      <c r="D65" s="715">
        <f>D37+D60+D62</f>
        <v>88863744.320000008</v>
      </c>
      <c r="E65" s="715">
        <f>E37+E60+E62</f>
        <v>88863739.419999987</v>
      </c>
      <c r="F65" s="715">
        <f>F37+F60+F62</f>
        <v>88863739.419999987</v>
      </c>
      <c r="G65" s="715">
        <f t="shared" si="6"/>
        <v>8457898.9099999815</v>
      </c>
    </row>
    <row r="66" spans="1:7" ht="5.0999999999999996" customHeight="1">
      <c r="A66" s="770"/>
      <c r="B66" s="717"/>
      <c r="C66" s="717"/>
      <c r="D66" s="717"/>
      <c r="E66" s="717"/>
      <c r="F66" s="717"/>
      <c r="G66" s="717"/>
    </row>
    <row r="67" spans="1:7">
      <c r="A67" s="766" t="s">
        <v>1383</v>
      </c>
      <c r="B67" s="717"/>
      <c r="C67" s="717"/>
      <c r="D67" s="717"/>
      <c r="E67" s="717"/>
      <c r="F67" s="717"/>
      <c r="G67" s="717">
        <f t="shared" si="6"/>
        <v>0</v>
      </c>
    </row>
    <row r="68" spans="1:7">
      <c r="A68" s="767" t="s">
        <v>1386</v>
      </c>
      <c r="B68" s="717">
        <f>+'LDF Trim'!BC74</f>
        <v>0</v>
      </c>
      <c r="C68" s="717">
        <f>+'LDF Trim'!BD74</f>
        <v>0</v>
      </c>
      <c r="D68" s="717">
        <f>+'LDF Trim'!BE74</f>
        <v>0</v>
      </c>
      <c r="E68" s="717">
        <f>+'LDF Trim'!BF74</f>
        <v>0</v>
      </c>
      <c r="F68" s="717">
        <f>+'LDF Trim'!BG74</f>
        <v>0</v>
      </c>
      <c r="G68" s="717">
        <f t="shared" si="6"/>
        <v>0</v>
      </c>
    </row>
    <row r="69" spans="1:7">
      <c r="A69" s="767" t="s">
        <v>1390</v>
      </c>
      <c r="B69" s="717">
        <f>+'LDF Trim'!BC75</f>
        <v>0</v>
      </c>
      <c r="C69" s="717">
        <f>+'LDF Trim'!BD75</f>
        <v>0</v>
      </c>
      <c r="D69" s="717">
        <f>+'LDF Trim'!BE75</f>
        <v>0</v>
      </c>
      <c r="E69" s="717">
        <f>+'LDF Trim'!BF75</f>
        <v>0</v>
      </c>
      <c r="F69" s="717">
        <f>+'LDF Trim'!BG75</f>
        <v>0</v>
      </c>
      <c r="G69" s="717">
        <f t="shared" si="6"/>
        <v>0</v>
      </c>
    </row>
    <row r="70" spans="1:7">
      <c r="A70" s="772" t="s">
        <v>1393</v>
      </c>
      <c r="B70" s="715">
        <f>B68+B69</f>
        <v>0</v>
      </c>
      <c r="C70" s="715">
        <f t="shared" ref="C70:F70" si="10">C68+C69</f>
        <v>0</v>
      </c>
      <c r="D70" s="715">
        <f t="shared" si="10"/>
        <v>0</v>
      </c>
      <c r="E70" s="715">
        <f t="shared" si="10"/>
        <v>0</v>
      </c>
      <c r="F70" s="715">
        <f t="shared" si="10"/>
        <v>0</v>
      </c>
      <c r="G70" s="715">
        <f t="shared" si="6"/>
        <v>0</v>
      </c>
    </row>
    <row r="71" spans="1:7" ht="5.0999999999999996" customHeight="1">
      <c r="A71" s="773"/>
      <c r="B71" s="724"/>
      <c r="C71" s="724"/>
      <c r="D71" s="724"/>
      <c r="E71" s="724"/>
      <c r="F71" s="724"/>
      <c r="G71" s="724"/>
    </row>
  </sheetData>
  <autoFilter ref="A3:G71"/>
  <mergeCells count="2">
    <mergeCell ref="A1:G1"/>
    <mergeCell ref="B2:F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5"/>
  <sheetViews>
    <sheetView workbookViewId="0">
      <selection activeCell="G155" sqref="B4:G155"/>
    </sheetView>
  </sheetViews>
  <sheetFormatPr baseColWidth="10" defaultColWidth="12" defaultRowHeight="12.75"/>
  <cols>
    <col min="1" max="1" width="90.7109375" style="774" customWidth="1"/>
    <col min="2" max="7" width="16.7109375" style="774" customWidth="1"/>
    <col min="8" max="16384" width="12" style="774"/>
  </cols>
  <sheetData>
    <row r="1" spans="1:7" ht="45.95" customHeight="1">
      <c r="A1" s="1119" t="s">
        <v>1624</v>
      </c>
      <c r="B1" s="1120"/>
      <c r="C1" s="1120"/>
      <c r="D1" s="1120"/>
      <c r="E1" s="1120"/>
      <c r="F1" s="1120"/>
      <c r="G1" s="1121"/>
    </row>
    <row r="2" spans="1:7">
      <c r="A2" s="775"/>
      <c r="B2" s="1122" t="s">
        <v>1013</v>
      </c>
      <c r="C2" s="1122"/>
      <c r="D2" s="1122"/>
      <c r="E2" s="1122"/>
      <c r="F2" s="1122"/>
      <c r="G2" s="775"/>
    </row>
    <row r="3" spans="1:7" ht="22.5">
      <c r="A3" s="776" t="s">
        <v>1009</v>
      </c>
      <c r="B3" s="777" t="s">
        <v>1625</v>
      </c>
      <c r="C3" s="778" t="s">
        <v>1626</v>
      </c>
      <c r="D3" s="777" t="s">
        <v>1023</v>
      </c>
      <c r="E3" s="777" t="s">
        <v>359</v>
      </c>
      <c r="F3" s="777" t="s">
        <v>1024</v>
      </c>
      <c r="G3" s="776" t="s">
        <v>1627</v>
      </c>
    </row>
    <row r="4" spans="1:7">
      <c r="A4" s="779" t="s">
        <v>1027</v>
      </c>
      <c r="B4" s="780">
        <f>B5+B13+B23+B33+B43+B53+B57+B66+B70</f>
        <v>80405840.510000005</v>
      </c>
      <c r="C4" s="780">
        <f t="shared" ref="C4:G4" si="0">C5+C13+C23+C33+C43+C53+C57+C66+C70</f>
        <v>8457903.8099999987</v>
      </c>
      <c r="D4" s="780">
        <f t="shared" si="0"/>
        <v>88863744.319999993</v>
      </c>
      <c r="E4" s="780">
        <f t="shared" si="0"/>
        <v>86193205.109999985</v>
      </c>
      <c r="F4" s="780">
        <f t="shared" si="0"/>
        <v>84872096.260000005</v>
      </c>
      <c r="G4" s="780">
        <f t="shared" si="0"/>
        <v>2670539.2100000004</v>
      </c>
    </row>
    <row r="5" spans="1:7">
      <c r="A5" s="781" t="s">
        <v>1037</v>
      </c>
      <c r="B5" s="782">
        <f>SUM(B6:B12)</f>
        <v>59875476.899999999</v>
      </c>
      <c r="C5" s="782">
        <f t="shared" ref="C5:G5" si="1">SUM(C6:C12)</f>
        <v>6048652.1899999995</v>
      </c>
      <c r="D5" s="782">
        <f t="shared" si="1"/>
        <v>65924129.090000004</v>
      </c>
      <c r="E5" s="782">
        <f t="shared" si="1"/>
        <v>65924124.189999998</v>
      </c>
      <c r="F5" s="782">
        <f t="shared" si="1"/>
        <v>64738024.340000004</v>
      </c>
      <c r="G5" s="782">
        <f t="shared" si="1"/>
        <v>4.900000000372529</v>
      </c>
    </row>
    <row r="6" spans="1:7">
      <c r="A6" s="783" t="s">
        <v>1046</v>
      </c>
      <c r="B6" s="784">
        <f>+'LDF Trim'!BO13</f>
        <v>14113315.210000001</v>
      </c>
      <c r="C6" s="784">
        <f>+'LDF Trim'!BP13</f>
        <v>1307352.6900000002</v>
      </c>
      <c r="D6" s="784">
        <f>+'LDF Trim'!BQ13</f>
        <v>15420667.9</v>
      </c>
      <c r="E6" s="784">
        <f>+'LDF Trim'!BR13</f>
        <v>15420663</v>
      </c>
      <c r="F6" s="784">
        <f>+'LDF Trim'!BS13</f>
        <v>15420663</v>
      </c>
      <c r="G6" s="784">
        <f>D6-E6</f>
        <v>4.900000000372529</v>
      </c>
    </row>
    <row r="7" spans="1:7">
      <c r="A7" s="783" t="s">
        <v>1056</v>
      </c>
      <c r="B7" s="784">
        <f>+'LDF Trim'!BO14</f>
        <v>2515531.8199999998</v>
      </c>
      <c r="C7" s="784">
        <f>+'LDF Trim'!BP14</f>
        <v>4005.6199999999953</v>
      </c>
      <c r="D7" s="784">
        <f>+'LDF Trim'!BQ14</f>
        <v>2519537.44</v>
      </c>
      <c r="E7" s="784">
        <f>+'LDF Trim'!BR14</f>
        <v>2519537.44</v>
      </c>
      <c r="F7" s="784">
        <f>+'LDF Trim'!BS14</f>
        <v>2519537.44</v>
      </c>
      <c r="G7" s="784">
        <f t="shared" ref="G7:G70" si="2">D7-E7</f>
        <v>0</v>
      </c>
    </row>
    <row r="8" spans="1:7">
      <c r="A8" s="783" t="s">
        <v>1064</v>
      </c>
      <c r="B8" s="784">
        <f>+'LDF Trim'!BO15</f>
        <v>6724763.9299999988</v>
      </c>
      <c r="C8" s="784">
        <f>+'LDF Trim'!BP15</f>
        <v>1004115.9099999999</v>
      </c>
      <c r="D8" s="784">
        <f>+'LDF Trim'!BQ15</f>
        <v>7728879.8399999989</v>
      </c>
      <c r="E8" s="784">
        <f>+'LDF Trim'!BR15</f>
        <v>7728879.8399999999</v>
      </c>
      <c r="F8" s="784">
        <f>+'LDF Trim'!BS15</f>
        <v>7728879.8399999999</v>
      </c>
      <c r="G8" s="784">
        <f t="shared" si="2"/>
        <v>0</v>
      </c>
    </row>
    <row r="9" spans="1:7">
      <c r="A9" s="783" t="s">
        <v>1073</v>
      </c>
      <c r="B9" s="784">
        <f>+'LDF Trim'!BO16</f>
        <v>4747500.33</v>
      </c>
      <c r="C9" s="784">
        <f>+'LDF Trim'!BP16</f>
        <v>-144275.09000000017</v>
      </c>
      <c r="D9" s="784">
        <f>+'LDF Trim'!BQ16</f>
        <v>4603225.24</v>
      </c>
      <c r="E9" s="784">
        <f>+'LDF Trim'!BR16</f>
        <v>4603225.24</v>
      </c>
      <c r="F9" s="784">
        <f>+'LDF Trim'!BS16</f>
        <v>4603225.24</v>
      </c>
      <c r="G9" s="784">
        <f t="shared" si="2"/>
        <v>0</v>
      </c>
    </row>
    <row r="10" spans="1:7">
      <c r="A10" s="783" t="s">
        <v>1081</v>
      </c>
      <c r="B10" s="784">
        <f>+'LDF Trim'!BO17</f>
        <v>29057822.379999999</v>
      </c>
      <c r="C10" s="784">
        <f>+'LDF Trim'!BP17</f>
        <v>5248468.51</v>
      </c>
      <c r="D10" s="784">
        <f>+'LDF Trim'!BQ17</f>
        <v>34306290.890000001</v>
      </c>
      <c r="E10" s="784">
        <f>+'LDF Trim'!BR17</f>
        <v>34306290.889999993</v>
      </c>
      <c r="F10" s="784">
        <f>+'LDF Trim'!BS17</f>
        <v>33120191.039999999</v>
      </c>
      <c r="G10" s="784">
        <f t="shared" si="2"/>
        <v>0</v>
      </c>
    </row>
    <row r="11" spans="1:7">
      <c r="A11" s="783" t="s">
        <v>1091</v>
      </c>
      <c r="B11" s="784">
        <f>+'LDF Trim'!BO18</f>
        <v>1617161.0099999998</v>
      </c>
      <c r="C11" s="784">
        <f>+'LDF Trim'!BP18</f>
        <v>-1617161.0099999998</v>
      </c>
      <c r="D11" s="784">
        <f>+'LDF Trim'!BQ18</f>
        <v>0</v>
      </c>
      <c r="E11" s="784">
        <f>+'LDF Trim'!BR18</f>
        <v>0</v>
      </c>
      <c r="F11" s="784">
        <f>+'LDF Trim'!BS18</f>
        <v>0</v>
      </c>
      <c r="G11" s="784">
        <f t="shared" si="2"/>
        <v>0</v>
      </c>
    </row>
    <row r="12" spans="1:7">
      <c r="A12" s="783" t="s">
        <v>1100</v>
      </c>
      <c r="B12" s="784">
        <f>+'LDF Trim'!BO19</f>
        <v>1099382.22</v>
      </c>
      <c r="C12" s="784">
        <f>+'LDF Trim'!BP19</f>
        <v>246145.56000000041</v>
      </c>
      <c r="D12" s="784">
        <f>+'LDF Trim'!BQ19</f>
        <v>1345527.7800000003</v>
      </c>
      <c r="E12" s="784">
        <f>+'LDF Trim'!BR19</f>
        <v>1345527.7799999998</v>
      </c>
      <c r="F12" s="784">
        <f>+'LDF Trim'!BS19</f>
        <v>1345527.7799999998</v>
      </c>
      <c r="G12" s="784">
        <f t="shared" si="2"/>
        <v>0</v>
      </c>
    </row>
    <row r="13" spans="1:7">
      <c r="A13" s="781" t="s">
        <v>1110</v>
      </c>
      <c r="B13" s="782">
        <f>SUM(B14:B22)</f>
        <v>2249254.52</v>
      </c>
      <c r="C13" s="782">
        <f t="shared" ref="C13:F13" si="3">SUM(C14:C22)</f>
        <v>-349815.94999999995</v>
      </c>
      <c r="D13" s="782">
        <f t="shared" si="3"/>
        <v>1899438.57</v>
      </c>
      <c r="E13" s="782">
        <f t="shared" si="3"/>
        <v>1899438.57</v>
      </c>
      <c r="F13" s="782">
        <f t="shared" si="3"/>
        <v>1899438.57</v>
      </c>
      <c r="G13" s="782">
        <f t="shared" si="2"/>
        <v>0</v>
      </c>
    </row>
    <row r="14" spans="1:7">
      <c r="A14" s="783" t="s">
        <v>1119</v>
      </c>
      <c r="B14" s="784">
        <f>+'LDF Trim'!BO21</f>
        <v>1161530.19</v>
      </c>
      <c r="C14" s="784">
        <f>+'LDF Trim'!BP21</f>
        <v>-261198.14999999997</v>
      </c>
      <c r="D14" s="784">
        <f>+'LDF Trim'!BQ21</f>
        <v>900332.04</v>
      </c>
      <c r="E14" s="784">
        <f>+'LDF Trim'!BR21</f>
        <v>900332.04</v>
      </c>
      <c r="F14" s="784">
        <f>+'LDF Trim'!BS21</f>
        <v>900332.04</v>
      </c>
      <c r="G14" s="784">
        <f t="shared" si="2"/>
        <v>0</v>
      </c>
    </row>
    <row r="15" spans="1:7">
      <c r="A15" s="783" t="s">
        <v>1127</v>
      </c>
      <c r="B15" s="784">
        <f>+'LDF Trim'!BO22</f>
        <v>33433.71</v>
      </c>
      <c r="C15" s="784">
        <f>+'LDF Trim'!BP22</f>
        <v>-16966.899999999998</v>
      </c>
      <c r="D15" s="784">
        <f>+'LDF Trim'!BQ22</f>
        <v>16466.810000000001</v>
      </c>
      <c r="E15" s="784">
        <f>+'LDF Trim'!BR22</f>
        <v>16466.810000000001</v>
      </c>
      <c r="F15" s="784">
        <f>+'LDF Trim'!BS22</f>
        <v>16466.810000000001</v>
      </c>
      <c r="G15" s="784">
        <f t="shared" si="2"/>
        <v>0</v>
      </c>
    </row>
    <row r="16" spans="1:7">
      <c r="A16" s="783" t="s">
        <v>1134</v>
      </c>
      <c r="B16" s="784">
        <f>+'LDF Trim'!BO23</f>
        <v>0</v>
      </c>
      <c r="C16" s="784">
        <f>+'LDF Trim'!BP23</f>
        <v>0</v>
      </c>
      <c r="D16" s="784">
        <f>+'LDF Trim'!BQ23</f>
        <v>0</v>
      </c>
      <c r="E16" s="784">
        <f>+'LDF Trim'!BR23</f>
        <v>0</v>
      </c>
      <c r="F16" s="784">
        <f>+'LDF Trim'!BS23</f>
        <v>0</v>
      </c>
      <c r="G16" s="784">
        <f t="shared" si="2"/>
        <v>0</v>
      </c>
    </row>
    <row r="17" spans="1:7">
      <c r="A17" s="783" t="s">
        <v>1143</v>
      </c>
      <c r="B17" s="784">
        <f>+'LDF Trim'!BO24</f>
        <v>77471.66</v>
      </c>
      <c r="C17" s="784">
        <f>+'LDF Trim'!BP24</f>
        <v>-46051.489999999991</v>
      </c>
      <c r="D17" s="784">
        <f>+'LDF Trim'!BQ24</f>
        <v>31420.170000000013</v>
      </c>
      <c r="E17" s="784">
        <f>+'LDF Trim'!BR24</f>
        <v>31420.17</v>
      </c>
      <c r="F17" s="784">
        <f>+'LDF Trim'!BS24</f>
        <v>31420.17</v>
      </c>
      <c r="G17" s="784">
        <f t="shared" si="2"/>
        <v>0</v>
      </c>
    </row>
    <row r="18" spans="1:7">
      <c r="A18" s="783" t="s">
        <v>1151</v>
      </c>
      <c r="B18" s="784">
        <f>+'LDF Trim'!BO25</f>
        <v>2980.42</v>
      </c>
      <c r="C18" s="784">
        <f>+'LDF Trim'!BP25</f>
        <v>-1415.92</v>
      </c>
      <c r="D18" s="784">
        <f>+'LDF Trim'!BQ25</f>
        <v>1564.5</v>
      </c>
      <c r="E18" s="784">
        <f>+'LDF Trim'!BR25</f>
        <v>1564.5</v>
      </c>
      <c r="F18" s="784">
        <f>+'LDF Trim'!BS25</f>
        <v>1564.5</v>
      </c>
      <c r="G18" s="784">
        <f t="shared" si="2"/>
        <v>0</v>
      </c>
    </row>
    <row r="19" spans="1:7">
      <c r="A19" s="783" t="s">
        <v>1159</v>
      </c>
      <c r="B19" s="784">
        <f>+'LDF Trim'!BO26</f>
        <v>809561.62000000011</v>
      </c>
      <c r="C19" s="784">
        <f>+'LDF Trim'!BP26</f>
        <v>-32779.580000000024</v>
      </c>
      <c r="D19" s="784">
        <f>+'LDF Trim'!BQ26</f>
        <v>776782.04</v>
      </c>
      <c r="E19" s="784">
        <f>+'LDF Trim'!BR26</f>
        <v>776782.04</v>
      </c>
      <c r="F19" s="784">
        <f>+'LDF Trim'!BS26</f>
        <v>776782.04</v>
      </c>
      <c r="G19" s="784">
        <f t="shared" si="2"/>
        <v>0</v>
      </c>
    </row>
    <row r="20" spans="1:7">
      <c r="A20" s="783" t="s">
        <v>1166</v>
      </c>
      <c r="B20" s="784">
        <f>+'LDF Trim'!BO27</f>
        <v>82250.880000000005</v>
      </c>
      <c r="C20" s="784">
        <f>+'LDF Trim'!BP27</f>
        <v>-217.02999999997792</v>
      </c>
      <c r="D20" s="784">
        <f>+'LDF Trim'!BQ27</f>
        <v>82033.85000000002</v>
      </c>
      <c r="E20" s="784">
        <f>+'LDF Trim'!BR27</f>
        <v>82033.850000000006</v>
      </c>
      <c r="F20" s="784">
        <f>+'LDF Trim'!BS27</f>
        <v>82033.850000000006</v>
      </c>
      <c r="G20" s="784">
        <f t="shared" si="2"/>
        <v>0</v>
      </c>
    </row>
    <row r="21" spans="1:7">
      <c r="A21" s="783" t="s">
        <v>1172</v>
      </c>
      <c r="B21" s="784">
        <f>+'LDF Trim'!BO28</f>
        <v>0</v>
      </c>
      <c r="C21" s="784">
        <f>+'LDF Trim'!BP28</f>
        <v>0</v>
      </c>
      <c r="D21" s="784">
        <f>+'LDF Trim'!BQ28</f>
        <v>0</v>
      </c>
      <c r="E21" s="784">
        <f>+'LDF Trim'!BR28</f>
        <v>0</v>
      </c>
      <c r="F21" s="784">
        <f>+'LDF Trim'!BS28</f>
        <v>0</v>
      </c>
      <c r="G21" s="784">
        <f t="shared" si="2"/>
        <v>0</v>
      </c>
    </row>
    <row r="22" spans="1:7">
      <c r="A22" s="783" t="s">
        <v>1177</v>
      </c>
      <c r="B22" s="784">
        <f>+'LDF Trim'!BO29</f>
        <v>82026.040000000008</v>
      </c>
      <c r="C22" s="784">
        <f>+'LDF Trim'!BP29</f>
        <v>8813.1199999999953</v>
      </c>
      <c r="D22" s="784">
        <f>+'LDF Trim'!BQ29</f>
        <v>90839.16</v>
      </c>
      <c r="E22" s="784">
        <f>+'LDF Trim'!BR29</f>
        <v>90839.16</v>
      </c>
      <c r="F22" s="784">
        <f>+'LDF Trim'!BS29</f>
        <v>90839.16</v>
      </c>
      <c r="G22" s="784">
        <f t="shared" si="2"/>
        <v>0</v>
      </c>
    </row>
    <row r="23" spans="1:7">
      <c r="A23" s="781" t="s">
        <v>1183</v>
      </c>
      <c r="B23" s="782">
        <f>SUM(B24:B32)</f>
        <v>15301571</v>
      </c>
      <c r="C23" s="782">
        <f t="shared" ref="C23:F23" si="4">SUM(C24:C32)</f>
        <v>350566.11000000045</v>
      </c>
      <c r="D23" s="782">
        <f t="shared" si="4"/>
        <v>15652137.109999999</v>
      </c>
      <c r="E23" s="782">
        <f t="shared" si="4"/>
        <v>15652137.110000001</v>
      </c>
      <c r="F23" s="782">
        <f t="shared" si="4"/>
        <v>15517128.110000001</v>
      </c>
      <c r="G23" s="782">
        <f t="shared" si="2"/>
        <v>0</v>
      </c>
    </row>
    <row r="24" spans="1:7">
      <c r="A24" s="783" t="s">
        <v>1189</v>
      </c>
      <c r="B24" s="784">
        <f>+'LDF Trim'!BO31</f>
        <v>1090627.8</v>
      </c>
      <c r="C24" s="784">
        <f>+'LDF Trim'!BP31</f>
        <v>-93173.98000000001</v>
      </c>
      <c r="D24" s="784">
        <f>+'LDF Trim'!BQ31</f>
        <v>997453.82000000007</v>
      </c>
      <c r="E24" s="784">
        <f>+'LDF Trim'!BR31</f>
        <v>997453.82000000007</v>
      </c>
      <c r="F24" s="784">
        <f>+'LDF Trim'!BS31</f>
        <v>910822.82000000007</v>
      </c>
      <c r="G24" s="784">
        <f t="shared" si="2"/>
        <v>0</v>
      </c>
    </row>
    <row r="25" spans="1:7">
      <c r="A25" s="783" t="s">
        <v>1197</v>
      </c>
      <c r="B25" s="784">
        <f>+'LDF Trim'!BO32</f>
        <v>1601484.6199999999</v>
      </c>
      <c r="C25" s="784">
        <f>+'LDF Trim'!BP32</f>
        <v>77391.70000000007</v>
      </c>
      <c r="D25" s="784">
        <f>+'LDF Trim'!BQ32</f>
        <v>1678876.3199999998</v>
      </c>
      <c r="E25" s="784">
        <f>+'LDF Trim'!BR32</f>
        <v>1678876.3199999998</v>
      </c>
      <c r="F25" s="784">
        <f>+'LDF Trim'!BS32</f>
        <v>1672148.3199999998</v>
      </c>
      <c r="G25" s="784">
        <f t="shared" si="2"/>
        <v>0</v>
      </c>
    </row>
    <row r="26" spans="1:7">
      <c r="A26" s="783" t="s">
        <v>1204</v>
      </c>
      <c r="B26" s="784">
        <f>+'LDF Trim'!BO33</f>
        <v>3691811.1199999996</v>
      </c>
      <c r="C26" s="784">
        <f>+'LDF Trim'!BP33</f>
        <v>775668.73000000033</v>
      </c>
      <c r="D26" s="784">
        <f>+'LDF Trim'!BQ33</f>
        <v>4467479.8499999996</v>
      </c>
      <c r="E26" s="784">
        <f>+'LDF Trim'!BR33</f>
        <v>4467479.8499999996</v>
      </c>
      <c r="F26" s="784">
        <f>+'LDF Trim'!BS33</f>
        <v>4426879.8499999996</v>
      </c>
      <c r="G26" s="784">
        <f t="shared" si="2"/>
        <v>0</v>
      </c>
    </row>
    <row r="27" spans="1:7">
      <c r="A27" s="783" t="s">
        <v>1209</v>
      </c>
      <c r="B27" s="784">
        <f>+'LDF Trim'!BO34</f>
        <v>168973.96</v>
      </c>
      <c r="C27" s="784">
        <f>+'LDF Trim'!BP34</f>
        <v>21766.150000000005</v>
      </c>
      <c r="D27" s="784">
        <f>+'LDF Trim'!BQ34</f>
        <v>190740.11</v>
      </c>
      <c r="E27" s="784">
        <f>+'LDF Trim'!BR34</f>
        <v>190740.11</v>
      </c>
      <c r="F27" s="784">
        <f>+'LDF Trim'!BS34</f>
        <v>190740.11</v>
      </c>
      <c r="G27" s="784">
        <f t="shared" si="2"/>
        <v>0</v>
      </c>
    </row>
    <row r="28" spans="1:7">
      <c r="A28" s="783" t="s">
        <v>1215</v>
      </c>
      <c r="B28" s="784">
        <f>+'LDF Trim'!BO35</f>
        <v>725418.49</v>
      </c>
      <c r="C28" s="784">
        <f>+'LDF Trim'!BP35</f>
        <v>-258208.96000000011</v>
      </c>
      <c r="D28" s="784">
        <f>+'LDF Trim'!BQ35</f>
        <v>467209.52999999991</v>
      </c>
      <c r="E28" s="784">
        <f>+'LDF Trim'!BR35</f>
        <v>467209.53</v>
      </c>
      <c r="F28" s="784">
        <f>+'LDF Trim'!BS35</f>
        <v>467209.53</v>
      </c>
      <c r="G28" s="784">
        <f t="shared" si="2"/>
        <v>0</v>
      </c>
    </row>
    <row r="29" spans="1:7">
      <c r="A29" s="783" t="s">
        <v>1227</v>
      </c>
      <c r="B29" s="784">
        <f>+'LDF Trim'!BO36</f>
        <v>5081858.47</v>
      </c>
      <c r="C29" s="784">
        <f>+'LDF Trim'!BP36</f>
        <v>65755.799999999988</v>
      </c>
      <c r="D29" s="784">
        <f>+'LDF Trim'!BQ36</f>
        <v>5147614.2699999996</v>
      </c>
      <c r="E29" s="784">
        <f>+'LDF Trim'!BR36</f>
        <v>5147614.2700000005</v>
      </c>
      <c r="F29" s="784">
        <f>+'LDF Trim'!BS36</f>
        <v>5147614.2700000005</v>
      </c>
      <c r="G29" s="784">
        <f t="shared" si="2"/>
        <v>0</v>
      </c>
    </row>
    <row r="30" spans="1:7">
      <c r="A30" s="783" t="s">
        <v>1232</v>
      </c>
      <c r="B30" s="784">
        <f>+'LDF Trim'!BO37</f>
        <v>510777.37999999995</v>
      </c>
      <c r="C30" s="784">
        <f>+'LDF Trim'!BP37</f>
        <v>-337315.05999999994</v>
      </c>
      <c r="D30" s="784">
        <f>+'LDF Trim'!BQ37</f>
        <v>173462.32</v>
      </c>
      <c r="E30" s="784">
        <f>+'LDF Trim'!BR37</f>
        <v>173462.32</v>
      </c>
      <c r="F30" s="784">
        <f>+'LDF Trim'!BS37</f>
        <v>172412.32</v>
      </c>
      <c r="G30" s="784">
        <f t="shared" si="2"/>
        <v>0</v>
      </c>
    </row>
    <row r="31" spans="1:7">
      <c r="A31" s="783" t="s">
        <v>1237</v>
      </c>
      <c r="B31" s="784">
        <f>+'LDF Trim'!BO38</f>
        <v>1398937.78</v>
      </c>
      <c r="C31" s="784">
        <f>+'LDF Trim'!BP38</f>
        <v>-42651.470000000016</v>
      </c>
      <c r="D31" s="784">
        <f>+'LDF Trim'!BQ38</f>
        <v>1356286.31</v>
      </c>
      <c r="E31" s="784">
        <f>+'LDF Trim'!BR38</f>
        <v>1356286.31</v>
      </c>
      <c r="F31" s="784">
        <f>+'LDF Trim'!BS38</f>
        <v>1356286.31</v>
      </c>
      <c r="G31" s="784">
        <f t="shared" si="2"/>
        <v>0</v>
      </c>
    </row>
    <row r="32" spans="1:7">
      <c r="A32" s="783" t="s">
        <v>1246</v>
      </c>
      <c r="B32" s="784">
        <f>+'LDF Trim'!BO39</f>
        <v>1031681.38</v>
      </c>
      <c r="C32" s="784">
        <f>+'LDF Trim'!BP39</f>
        <v>141333.20000000001</v>
      </c>
      <c r="D32" s="784">
        <f>+'LDF Trim'!BQ39</f>
        <v>1173014.58</v>
      </c>
      <c r="E32" s="784">
        <f>+'LDF Trim'!BR39</f>
        <v>1173014.58</v>
      </c>
      <c r="F32" s="784">
        <f>+'LDF Trim'!BS39</f>
        <v>1173014.58</v>
      </c>
      <c r="G32" s="784">
        <f t="shared" si="2"/>
        <v>0</v>
      </c>
    </row>
    <row r="33" spans="1:7">
      <c r="A33" s="781" t="s">
        <v>1252</v>
      </c>
      <c r="B33" s="782">
        <f>SUM(B34:B42)</f>
        <v>0</v>
      </c>
      <c r="C33" s="782">
        <f t="shared" ref="C33:F33" si="5">SUM(C34:C42)</f>
        <v>0</v>
      </c>
      <c r="D33" s="782">
        <f t="shared" si="5"/>
        <v>0</v>
      </c>
      <c r="E33" s="782">
        <f t="shared" si="5"/>
        <v>0</v>
      </c>
      <c r="F33" s="782">
        <f t="shared" si="5"/>
        <v>0</v>
      </c>
      <c r="G33" s="782">
        <f t="shared" si="2"/>
        <v>0</v>
      </c>
    </row>
    <row r="34" spans="1:7">
      <c r="A34" s="783" t="s">
        <v>1259</v>
      </c>
      <c r="B34" s="784">
        <f>+'LDF Trim'!BO41</f>
        <v>0</v>
      </c>
      <c r="C34" s="784">
        <f>+'LDF Trim'!BP41</f>
        <v>0</v>
      </c>
      <c r="D34" s="784">
        <f>+'LDF Trim'!BQ41</f>
        <v>0</v>
      </c>
      <c r="E34" s="784">
        <f>+'LDF Trim'!BR41</f>
        <v>0</v>
      </c>
      <c r="F34" s="784">
        <f>+'LDF Trim'!BS41</f>
        <v>0</v>
      </c>
      <c r="G34" s="784">
        <f t="shared" si="2"/>
        <v>0</v>
      </c>
    </row>
    <row r="35" spans="1:7">
      <c r="A35" s="783" t="s">
        <v>1265</v>
      </c>
      <c r="B35" s="784">
        <f>+'LDF Trim'!BO42</f>
        <v>0</v>
      </c>
      <c r="C35" s="784">
        <f>+'LDF Trim'!BP42</f>
        <v>0</v>
      </c>
      <c r="D35" s="784">
        <f>+'LDF Trim'!BQ42</f>
        <v>0</v>
      </c>
      <c r="E35" s="784">
        <f>+'LDF Trim'!BR42</f>
        <v>0</v>
      </c>
      <c r="F35" s="784">
        <f>+'LDF Trim'!BS42</f>
        <v>0</v>
      </c>
      <c r="G35" s="784">
        <f t="shared" si="2"/>
        <v>0</v>
      </c>
    </row>
    <row r="36" spans="1:7">
      <c r="A36" s="783" t="s">
        <v>1272</v>
      </c>
      <c r="B36" s="784">
        <f>+'LDF Trim'!BO43</f>
        <v>0</v>
      </c>
      <c r="C36" s="784">
        <f>+'LDF Trim'!BP43</f>
        <v>0</v>
      </c>
      <c r="D36" s="784">
        <f>+'LDF Trim'!BQ43</f>
        <v>0</v>
      </c>
      <c r="E36" s="784">
        <f>+'LDF Trim'!BR43</f>
        <v>0</v>
      </c>
      <c r="F36" s="784">
        <f>+'LDF Trim'!BS43</f>
        <v>0</v>
      </c>
      <c r="G36" s="784">
        <f t="shared" si="2"/>
        <v>0</v>
      </c>
    </row>
    <row r="37" spans="1:7">
      <c r="A37" s="783" t="s">
        <v>1278</v>
      </c>
      <c r="B37" s="784">
        <f>+'LDF Trim'!BO44</f>
        <v>0</v>
      </c>
      <c r="C37" s="784">
        <f>+'LDF Trim'!BP44</f>
        <v>0</v>
      </c>
      <c r="D37" s="784">
        <f>+'LDF Trim'!BQ44</f>
        <v>0</v>
      </c>
      <c r="E37" s="784">
        <f>+'LDF Trim'!BR44</f>
        <v>0</v>
      </c>
      <c r="F37" s="784">
        <f>+'LDF Trim'!BS44</f>
        <v>0</v>
      </c>
      <c r="G37" s="784">
        <f t="shared" si="2"/>
        <v>0</v>
      </c>
    </row>
    <row r="38" spans="1:7">
      <c r="A38" s="783" t="s">
        <v>1284</v>
      </c>
      <c r="B38" s="784">
        <f>+'LDF Trim'!BO45</f>
        <v>0</v>
      </c>
      <c r="C38" s="784">
        <f>+'LDF Trim'!BP45</f>
        <v>0</v>
      </c>
      <c r="D38" s="784">
        <f>+'LDF Trim'!BQ45</f>
        <v>0</v>
      </c>
      <c r="E38" s="784">
        <f>+'LDF Trim'!BR45</f>
        <v>0</v>
      </c>
      <c r="F38" s="784">
        <f>+'LDF Trim'!BS45</f>
        <v>0</v>
      </c>
      <c r="G38" s="784">
        <f t="shared" si="2"/>
        <v>0</v>
      </c>
    </row>
    <row r="39" spans="1:7">
      <c r="A39" s="783" t="s">
        <v>1289</v>
      </c>
      <c r="B39" s="784">
        <f>+'LDF Trim'!BO46</f>
        <v>0</v>
      </c>
      <c r="C39" s="784">
        <f>+'LDF Trim'!BP46</f>
        <v>0</v>
      </c>
      <c r="D39" s="784">
        <f>+'LDF Trim'!BQ46</f>
        <v>0</v>
      </c>
      <c r="E39" s="784">
        <f>+'LDF Trim'!BR46</f>
        <v>0</v>
      </c>
      <c r="F39" s="784">
        <f>+'LDF Trim'!BS46</f>
        <v>0</v>
      </c>
      <c r="G39" s="784">
        <f t="shared" si="2"/>
        <v>0</v>
      </c>
    </row>
    <row r="40" spans="1:7">
      <c r="A40" s="783" t="s">
        <v>1294</v>
      </c>
      <c r="B40" s="784">
        <f>+'LDF Trim'!BO47</f>
        <v>0</v>
      </c>
      <c r="C40" s="784">
        <f>+'LDF Trim'!BP47</f>
        <v>0</v>
      </c>
      <c r="D40" s="784">
        <f>+'LDF Trim'!BQ47</f>
        <v>0</v>
      </c>
      <c r="E40" s="784">
        <f>+'LDF Trim'!BR47</f>
        <v>0</v>
      </c>
      <c r="F40" s="784">
        <f>+'LDF Trim'!BS47</f>
        <v>0</v>
      </c>
      <c r="G40" s="784">
        <f t="shared" si="2"/>
        <v>0</v>
      </c>
    </row>
    <row r="41" spans="1:7">
      <c r="A41" s="783" t="s">
        <v>1299</v>
      </c>
      <c r="B41" s="784">
        <f>+'LDF Trim'!BO48</f>
        <v>0</v>
      </c>
      <c r="C41" s="784">
        <f>+'LDF Trim'!BP48</f>
        <v>0</v>
      </c>
      <c r="D41" s="784">
        <f>+'LDF Trim'!BQ48</f>
        <v>0</v>
      </c>
      <c r="E41" s="784">
        <f>+'LDF Trim'!BR48</f>
        <v>0</v>
      </c>
      <c r="F41" s="784">
        <f>+'LDF Trim'!BS48</f>
        <v>0</v>
      </c>
      <c r="G41" s="784">
        <f t="shared" si="2"/>
        <v>0</v>
      </c>
    </row>
    <row r="42" spans="1:7">
      <c r="A42" s="783" t="s">
        <v>1304</v>
      </c>
      <c r="B42" s="784">
        <f>+'LDF Trim'!BO49</f>
        <v>0</v>
      </c>
      <c r="C42" s="784">
        <f>+'LDF Trim'!BP49</f>
        <v>0</v>
      </c>
      <c r="D42" s="784">
        <f>+'LDF Trim'!BQ49</f>
        <v>0</v>
      </c>
      <c r="E42" s="784">
        <f>+'LDF Trim'!BR49</f>
        <v>0</v>
      </c>
      <c r="F42" s="784">
        <f>+'LDF Trim'!BS49</f>
        <v>0</v>
      </c>
      <c r="G42" s="784">
        <f t="shared" si="2"/>
        <v>0</v>
      </c>
    </row>
    <row r="43" spans="1:7">
      <c r="A43" s="781" t="s">
        <v>1306</v>
      </c>
      <c r="B43" s="782">
        <f>SUM(B44:B52)</f>
        <v>1042027.56</v>
      </c>
      <c r="C43" s="782">
        <f t="shared" ref="C43:F43" si="6">SUM(C44:C52)</f>
        <v>1675477.6800000002</v>
      </c>
      <c r="D43" s="782">
        <f t="shared" si="6"/>
        <v>2717505.24</v>
      </c>
      <c r="E43" s="782">
        <f t="shared" si="6"/>
        <v>2717505.24</v>
      </c>
      <c r="F43" s="782">
        <f t="shared" si="6"/>
        <v>2717505.24</v>
      </c>
      <c r="G43" s="782">
        <f t="shared" si="2"/>
        <v>0</v>
      </c>
    </row>
    <row r="44" spans="1:7">
      <c r="A44" s="783" t="s">
        <v>1310</v>
      </c>
      <c r="B44" s="784">
        <f>+'LDF Trim'!BO51</f>
        <v>315389.03000000003</v>
      </c>
      <c r="C44" s="784">
        <f>+'LDF Trim'!BP51</f>
        <v>1059539.17</v>
      </c>
      <c r="D44" s="784">
        <f>+'LDF Trim'!BQ51</f>
        <v>1374928.2</v>
      </c>
      <c r="E44" s="784">
        <f>+'LDF Trim'!BR51</f>
        <v>1374928.2</v>
      </c>
      <c r="F44" s="784">
        <f>+'LDF Trim'!BS51</f>
        <v>1374928.2</v>
      </c>
      <c r="G44" s="784">
        <f t="shared" si="2"/>
        <v>0</v>
      </c>
    </row>
    <row r="45" spans="1:7">
      <c r="A45" s="783" t="s">
        <v>1312</v>
      </c>
      <c r="B45" s="784">
        <f>+'LDF Trim'!BO52</f>
        <v>0</v>
      </c>
      <c r="C45" s="784">
        <f>+'LDF Trim'!BP52</f>
        <v>0</v>
      </c>
      <c r="D45" s="784">
        <f>+'LDF Trim'!BQ52</f>
        <v>0</v>
      </c>
      <c r="E45" s="784">
        <f>+'LDF Trim'!BR52</f>
        <v>0</v>
      </c>
      <c r="F45" s="784">
        <f>+'LDF Trim'!BS52</f>
        <v>0</v>
      </c>
      <c r="G45" s="784">
        <f t="shared" si="2"/>
        <v>0</v>
      </c>
    </row>
    <row r="46" spans="1:7">
      <c r="A46" s="783" t="s">
        <v>1316</v>
      </c>
      <c r="B46" s="784">
        <f>+'LDF Trim'!BO53</f>
        <v>0</v>
      </c>
      <c r="C46" s="784">
        <f>+'LDF Trim'!BP53</f>
        <v>0</v>
      </c>
      <c r="D46" s="784">
        <f>+'LDF Trim'!BQ53</f>
        <v>0</v>
      </c>
      <c r="E46" s="784">
        <f>+'LDF Trim'!BR53</f>
        <v>0</v>
      </c>
      <c r="F46" s="784">
        <f>+'LDF Trim'!BS53</f>
        <v>0</v>
      </c>
      <c r="G46" s="784">
        <f t="shared" si="2"/>
        <v>0</v>
      </c>
    </row>
    <row r="47" spans="1:7">
      <c r="A47" s="783" t="s">
        <v>1321</v>
      </c>
      <c r="B47" s="784">
        <f>+'LDF Trim'!BO54</f>
        <v>666567.59</v>
      </c>
      <c r="C47" s="784">
        <f>+'LDF Trim'!BP54</f>
        <v>456930.41000000015</v>
      </c>
      <c r="D47" s="784">
        <f>+'LDF Trim'!BQ54</f>
        <v>1123498</v>
      </c>
      <c r="E47" s="784">
        <f>+'LDF Trim'!BR54</f>
        <v>1123498</v>
      </c>
      <c r="F47" s="784">
        <f>+'LDF Trim'!BS54</f>
        <v>1123498</v>
      </c>
      <c r="G47" s="784">
        <f t="shared" si="2"/>
        <v>0</v>
      </c>
    </row>
    <row r="48" spans="1:7">
      <c r="A48" s="783" t="s">
        <v>1326</v>
      </c>
      <c r="B48" s="784">
        <f>+'LDF Trim'!BO55</f>
        <v>0</v>
      </c>
      <c r="C48" s="784">
        <f>+'LDF Trim'!BP55</f>
        <v>0</v>
      </c>
      <c r="D48" s="784">
        <f>+'LDF Trim'!BQ55</f>
        <v>0</v>
      </c>
      <c r="E48" s="784">
        <f>+'LDF Trim'!BR55</f>
        <v>0</v>
      </c>
      <c r="F48" s="784">
        <f>+'LDF Trim'!BS55</f>
        <v>0</v>
      </c>
      <c r="G48" s="784">
        <f t="shared" si="2"/>
        <v>0</v>
      </c>
    </row>
    <row r="49" spans="1:7">
      <c r="A49" s="783" t="s">
        <v>1330</v>
      </c>
      <c r="B49" s="784">
        <f>+'LDF Trim'!BO56</f>
        <v>0</v>
      </c>
      <c r="C49" s="784">
        <f>+'LDF Trim'!BP56</f>
        <v>93663.739999999991</v>
      </c>
      <c r="D49" s="784">
        <f>+'LDF Trim'!BQ56</f>
        <v>93663.739999999991</v>
      </c>
      <c r="E49" s="784">
        <f>+'LDF Trim'!BR56</f>
        <v>93663.739999999991</v>
      </c>
      <c r="F49" s="784">
        <f>+'LDF Trim'!BS56</f>
        <v>93663.739999999991</v>
      </c>
      <c r="G49" s="784">
        <f t="shared" si="2"/>
        <v>0</v>
      </c>
    </row>
    <row r="50" spans="1:7">
      <c r="A50" s="783" t="s">
        <v>1334</v>
      </c>
      <c r="B50" s="784">
        <f>+'LDF Trim'!BO57</f>
        <v>0</v>
      </c>
      <c r="C50" s="784">
        <f>+'LDF Trim'!BP57</f>
        <v>0</v>
      </c>
      <c r="D50" s="784">
        <f>+'LDF Trim'!BQ57</f>
        <v>0</v>
      </c>
      <c r="E50" s="784">
        <f>+'LDF Trim'!BR57</f>
        <v>0</v>
      </c>
      <c r="F50" s="784">
        <f>+'LDF Trim'!BS57</f>
        <v>0</v>
      </c>
      <c r="G50" s="784">
        <f t="shared" si="2"/>
        <v>0</v>
      </c>
    </row>
    <row r="51" spans="1:7">
      <c r="A51" s="783" t="s">
        <v>1338</v>
      </c>
      <c r="B51" s="784">
        <f>+'LDF Trim'!BO58</f>
        <v>0</v>
      </c>
      <c r="C51" s="784">
        <f>+'LDF Trim'!BP58</f>
        <v>0</v>
      </c>
      <c r="D51" s="784">
        <f>+'LDF Trim'!BQ58</f>
        <v>0</v>
      </c>
      <c r="E51" s="784">
        <f>+'LDF Trim'!BR58</f>
        <v>0</v>
      </c>
      <c r="F51" s="784">
        <f>+'LDF Trim'!BS58</f>
        <v>0</v>
      </c>
      <c r="G51" s="784">
        <f t="shared" si="2"/>
        <v>0</v>
      </c>
    </row>
    <row r="52" spans="1:7">
      <c r="A52" s="783" t="s">
        <v>1342</v>
      </c>
      <c r="B52" s="784">
        <f>+'LDF Trim'!BO59</f>
        <v>60070.94</v>
      </c>
      <c r="C52" s="784">
        <f>+'LDF Trim'!BP59</f>
        <v>65344.359999999986</v>
      </c>
      <c r="D52" s="784">
        <f>+'LDF Trim'!BQ59</f>
        <v>125415.29999999999</v>
      </c>
      <c r="E52" s="784">
        <f>+'LDF Trim'!BR59</f>
        <v>125415.3</v>
      </c>
      <c r="F52" s="784">
        <f>+'LDF Trim'!BS59</f>
        <v>125415.3</v>
      </c>
      <c r="G52" s="784">
        <f t="shared" si="2"/>
        <v>0</v>
      </c>
    </row>
    <row r="53" spans="1:7">
      <c r="A53" s="781" t="s">
        <v>1345</v>
      </c>
      <c r="B53" s="782">
        <f>SUM(B54:B56)</f>
        <v>0</v>
      </c>
      <c r="C53" s="782">
        <f t="shared" ref="C53:F53" si="7">SUM(C54:C56)</f>
        <v>0</v>
      </c>
      <c r="D53" s="782">
        <f t="shared" si="7"/>
        <v>0</v>
      </c>
      <c r="E53" s="782">
        <f t="shared" si="7"/>
        <v>0</v>
      </c>
      <c r="F53" s="782">
        <f t="shared" si="7"/>
        <v>0</v>
      </c>
      <c r="G53" s="782">
        <f t="shared" si="2"/>
        <v>0</v>
      </c>
    </row>
    <row r="54" spans="1:7">
      <c r="A54" s="783" t="s">
        <v>1349</v>
      </c>
      <c r="B54" s="784">
        <f>+'LDF Trim'!BO61</f>
        <v>0</v>
      </c>
      <c r="C54" s="784">
        <f>+'LDF Trim'!BP61</f>
        <v>0</v>
      </c>
      <c r="D54" s="784">
        <f>+'LDF Trim'!BQ61</f>
        <v>0</v>
      </c>
      <c r="E54" s="784">
        <f>+'LDF Trim'!BR61</f>
        <v>0</v>
      </c>
      <c r="F54" s="784">
        <f>+'LDF Trim'!BS61</f>
        <v>0</v>
      </c>
      <c r="G54" s="784">
        <f t="shared" si="2"/>
        <v>0</v>
      </c>
    </row>
    <row r="55" spans="1:7">
      <c r="A55" s="783" t="s">
        <v>1352</v>
      </c>
      <c r="B55" s="784">
        <f>+'LDF Trim'!BO62</f>
        <v>0</v>
      </c>
      <c r="C55" s="784">
        <f>+'LDF Trim'!BP62</f>
        <v>0</v>
      </c>
      <c r="D55" s="784">
        <f>+'LDF Trim'!BQ62</f>
        <v>0</v>
      </c>
      <c r="E55" s="784">
        <f>+'LDF Trim'!BR62</f>
        <v>0</v>
      </c>
      <c r="F55" s="784">
        <f>+'LDF Trim'!BS62</f>
        <v>0</v>
      </c>
      <c r="G55" s="784">
        <f t="shared" si="2"/>
        <v>0</v>
      </c>
    </row>
    <row r="56" spans="1:7">
      <c r="A56" s="783" t="s">
        <v>1356</v>
      </c>
      <c r="B56" s="784">
        <f>+'LDF Trim'!BO63</f>
        <v>0</v>
      </c>
      <c r="C56" s="784">
        <f>+'LDF Trim'!BP63</f>
        <v>0</v>
      </c>
      <c r="D56" s="784">
        <f>+'LDF Trim'!BQ63</f>
        <v>0</v>
      </c>
      <c r="E56" s="784">
        <f>+'LDF Trim'!BR63</f>
        <v>0</v>
      </c>
      <c r="F56" s="784">
        <f>+'LDF Trim'!BS63</f>
        <v>0</v>
      </c>
      <c r="G56" s="784">
        <f t="shared" si="2"/>
        <v>0</v>
      </c>
    </row>
    <row r="57" spans="1:7">
      <c r="A57" s="781" t="s">
        <v>1360</v>
      </c>
      <c r="B57" s="782">
        <f>SUM(B58:B65)</f>
        <v>1937510.53</v>
      </c>
      <c r="C57" s="782">
        <f t="shared" ref="C57:F57" si="8">SUM(C58:C65)</f>
        <v>733023.78</v>
      </c>
      <c r="D57" s="782">
        <f t="shared" si="8"/>
        <v>2670534.31</v>
      </c>
      <c r="E57" s="782">
        <f t="shared" si="8"/>
        <v>0</v>
      </c>
      <c r="F57" s="782">
        <f t="shared" si="8"/>
        <v>0</v>
      </c>
      <c r="G57" s="782">
        <f t="shared" si="2"/>
        <v>2670534.31</v>
      </c>
    </row>
    <row r="58" spans="1:7">
      <c r="A58" s="783" t="s">
        <v>1363</v>
      </c>
      <c r="B58" s="784">
        <f>+'LDF Trim'!BO65</f>
        <v>0</v>
      </c>
      <c r="C58" s="784">
        <f>+'LDF Trim'!BP65</f>
        <v>0</v>
      </c>
      <c r="D58" s="784">
        <f>+'LDF Trim'!BQ65</f>
        <v>0</v>
      </c>
      <c r="E58" s="784">
        <f>+'LDF Trim'!BR65</f>
        <v>0</v>
      </c>
      <c r="F58" s="784">
        <f>+'LDF Trim'!BS65</f>
        <v>0</v>
      </c>
      <c r="G58" s="784">
        <f t="shared" si="2"/>
        <v>0</v>
      </c>
    </row>
    <row r="59" spans="1:7">
      <c r="A59" s="783" t="s">
        <v>1366</v>
      </c>
      <c r="B59" s="784">
        <f>+'LDF Trim'!BO66</f>
        <v>0</v>
      </c>
      <c r="C59" s="784">
        <f>+'LDF Trim'!BP66</f>
        <v>0</v>
      </c>
      <c r="D59" s="784">
        <f>+'LDF Trim'!BQ66</f>
        <v>0</v>
      </c>
      <c r="E59" s="784">
        <f>+'LDF Trim'!BR66</f>
        <v>0</v>
      </c>
      <c r="F59" s="784">
        <f>+'LDF Trim'!BS66</f>
        <v>0</v>
      </c>
      <c r="G59" s="784">
        <f t="shared" si="2"/>
        <v>0</v>
      </c>
    </row>
    <row r="60" spans="1:7">
      <c r="A60" s="783" t="s">
        <v>1369</v>
      </c>
      <c r="B60" s="784">
        <f>+'LDF Trim'!BO67</f>
        <v>0</v>
      </c>
      <c r="C60" s="784">
        <f>+'LDF Trim'!BP67</f>
        <v>0</v>
      </c>
      <c r="D60" s="784">
        <f>+'LDF Trim'!BQ67</f>
        <v>0</v>
      </c>
      <c r="E60" s="784">
        <f>+'LDF Trim'!BR67</f>
        <v>0</v>
      </c>
      <c r="F60" s="784">
        <f>+'LDF Trim'!BS67</f>
        <v>0</v>
      </c>
      <c r="G60" s="784">
        <f t="shared" si="2"/>
        <v>0</v>
      </c>
    </row>
    <row r="61" spans="1:7">
      <c r="A61" s="783" t="s">
        <v>1371</v>
      </c>
      <c r="B61" s="784">
        <f>+'LDF Trim'!BO68</f>
        <v>0</v>
      </c>
      <c r="C61" s="784">
        <f>+'LDF Trim'!BP68</f>
        <v>0</v>
      </c>
      <c r="D61" s="784">
        <f>+'LDF Trim'!BQ68</f>
        <v>0</v>
      </c>
      <c r="E61" s="784">
        <f>+'LDF Trim'!BR68</f>
        <v>0</v>
      </c>
      <c r="F61" s="784">
        <f>+'LDF Trim'!BS68</f>
        <v>0</v>
      </c>
      <c r="G61" s="784">
        <f t="shared" si="2"/>
        <v>0</v>
      </c>
    </row>
    <row r="62" spans="1:7">
      <c r="A62" s="783" t="s">
        <v>1374</v>
      </c>
      <c r="B62" s="784">
        <f>+'LDF Trim'!BO69</f>
        <v>0</v>
      </c>
      <c r="C62" s="784">
        <f>+'LDF Trim'!BP69</f>
        <v>0</v>
      </c>
      <c r="D62" s="784">
        <f>+'LDF Trim'!BQ69</f>
        <v>0</v>
      </c>
      <c r="E62" s="784">
        <f>+'LDF Trim'!BR69</f>
        <v>0</v>
      </c>
      <c r="F62" s="784">
        <f>+'LDF Trim'!BS69</f>
        <v>0</v>
      </c>
      <c r="G62" s="784">
        <f t="shared" si="2"/>
        <v>0</v>
      </c>
    </row>
    <row r="63" spans="1:7">
      <c r="A63" s="783" t="s">
        <v>1376</v>
      </c>
      <c r="B63" s="784">
        <f>+'LDF Trim'!BO70</f>
        <v>0</v>
      </c>
      <c r="C63" s="784">
        <f>+'LDF Trim'!BP70</f>
        <v>0</v>
      </c>
      <c r="D63" s="784">
        <f>+'LDF Trim'!BQ70</f>
        <v>0</v>
      </c>
      <c r="E63" s="784">
        <f>+'LDF Trim'!BR70</f>
        <v>0</v>
      </c>
      <c r="F63" s="784">
        <f>+'LDF Trim'!BS70</f>
        <v>0</v>
      </c>
      <c r="G63" s="784">
        <f t="shared" si="2"/>
        <v>0</v>
      </c>
    </row>
    <row r="64" spans="1:7">
      <c r="A64" s="783" t="s">
        <v>1379</v>
      </c>
      <c r="B64" s="784">
        <f>+'LDF Trim'!BO71</f>
        <v>0</v>
      </c>
      <c r="C64" s="784">
        <f>+'LDF Trim'!BP71</f>
        <v>0</v>
      </c>
      <c r="D64" s="784">
        <f>+'LDF Trim'!BQ71</f>
        <v>0</v>
      </c>
      <c r="E64" s="784">
        <f>+'LDF Trim'!BR71</f>
        <v>0</v>
      </c>
      <c r="F64" s="784">
        <f>+'LDF Trim'!BS71</f>
        <v>0</v>
      </c>
      <c r="G64" s="784">
        <f t="shared" si="2"/>
        <v>0</v>
      </c>
    </row>
    <row r="65" spans="1:7">
      <c r="A65" s="783" t="s">
        <v>1381</v>
      </c>
      <c r="B65" s="784">
        <f>+'LDF Trim'!BO72</f>
        <v>1937510.53</v>
      </c>
      <c r="C65" s="784">
        <f>+'LDF Trim'!BP72</f>
        <v>733023.78</v>
      </c>
      <c r="D65" s="784">
        <f>+'LDF Trim'!BQ72</f>
        <v>2670534.31</v>
      </c>
      <c r="E65" s="784">
        <f>+'LDF Trim'!BR72</f>
        <v>0</v>
      </c>
      <c r="F65" s="784">
        <f>+'LDF Trim'!BS72</f>
        <v>0</v>
      </c>
      <c r="G65" s="784">
        <f t="shared" si="2"/>
        <v>2670534.31</v>
      </c>
    </row>
    <row r="66" spans="1:7">
      <c r="A66" s="781" t="s">
        <v>1384</v>
      </c>
      <c r="B66" s="782">
        <f>SUM(B67:B69)</f>
        <v>0</v>
      </c>
      <c r="C66" s="782">
        <f t="shared" ref="C66:F66" si="9">SUM(C67:C69)</f>
        <v>0</v>
      </c>
      <c r="D66" s="782">
        <f t="shared" si="9"/>
        <v>0</v>
      </c>
      <c r="E66" s="782">
        <f t="shared" si="9"/>
        <v>0</v>
      </c>
      <c r="F66" s="782">
        <f t="shared" si="9"/>
        <v>0</v>
      </c>
      <c r="G66" s="782">
        <f t="shared" si="2"/>
        <v>0</v>
      </c>
    </row>
    <row r="67" spans="1:7">
      <c r="A67" s="783" t="s">
        <v>1387</v>
      </c>
      <c r="B67" s="784">
        <f>+'LDF Trim'!BO74</f>
        <v>0</v>
      </c>
      <c r="C67" s="784">
        <f>+'LDF Trim'!BP74</f>
        <v>0</v>
      </c>
      <c r="D67" s="784">
        <f>+'LDF Trim'!BQ74</f>
        <v>0</v>
      </c>
      <c r="E67" s="784">
        <f>+'LDF Trim'!BR74</f>
        <v>0</v>
      </c>
      <c r="F67" s="784">
        <f>+'LDF Trim'!BS74</f>
        <v>0</v>
      </c>
      <c r="G67" s="784">
        <f t="shared" si="2"/>
        <v>0</v>
      </c>
    </row>
    <row r="68" spans="1:7">
      <c r="A68" s="783" t="s">
        <v>1391</v>
      </c>
      <c r="B68" s="784">
        <f>+'LDF Trim'!BO75</f>
        <v>0</v>
      </c>
      <c r="C68" s="784">
        <f>+'LDF Trim'!BP75</f>
        <v>0</v>
      </c>
      <c r="D68" s="784">
        <f>+'LDF Trim'!BQ75</f>
        <v>0</v>
      </c>
      <c r="E68" s="784">
        <f>+'LDF Trim'!BR75</f>
        <v>0</v>
      </c>
      <c r="F68" s="784">
        <f>+'LDF Trim'!BS75</f>
        <v>0</v>
      </c>
      <c r="G68" s="784">
        <f t="shared" si="2"/>
        <v>0</v>
      </c>
    </row>
    <row r="69" spans="1:7">
      <c r="A69" s="783" t="s">
        <v>1394</v>
      </c>
      <c r="B69" s="784">
        <f>+'LDF Trim'!BO76</f>
        <v>0</v>
      </c>
      <c r="C69" s="784">
        <f>+'LDF Trim'!BP76</f>
        <v>0</v>
      </c>
      <c r="D69" s="784">
        <f>+'LDF Trim'!BQ76</f>
        <v>0</v>
      </c>
      <c r="E69" s="784">
        <f>+'LDF Trim'!BR76</f>
        <v>0</v>
      </c>
      <c r="F69" s="784">
        <f>+'LDF Trim'!BS76</f>
        <v>0</v>
      </c>
      <c r="G69" s="784">
        <f t="shared" si="2"/>
        <v>0</v>
      </c>
    </row>
    <row r="70" spans="1:7">
      <c r="A70" s="781" t="s">
        <v>1396</v>
      </c>
      <c r="B70" s="782">
        <f>SUM(B71:B77)</f>
        <v>0</v>
      </c>
      <c r="C70" s="782">
        <f t="shared" ref="C70:F70" si="10">SUM(C71:C77)</f>
        <v>0</v>
      </c>
      <c r="D70" s="782">
        <f t="shared" si="10"/>
        <v>0</v>
      </c>
      <c r="E70" s="782">
        <f t="shared" si="10"/>
        <v>0</v>
      </c>
      <c r="F70" s="782">
        <f t="shared" si="10"/>
        <v>0</v>
      </c>
      <c r="G70" s="782">
        <f t="shared" si="2"/>
        <v>0</v>
      </c>
    </row>
    <row r="71" spans="1:7">
      <c r="A71" s="783" t="s">
        <v>1397</v>
      </c>
      <c r="B71" s="784">
        <f>+'LDF Trim'!BO78</f>
        <v>0</v>
      </c>
      <c r="C71" s="784">
        <f>+'LDF Trim'!BP78</f>
        <v>0</v>
      </c>
      <c r="D71" s="784">
        <f>+'LDF Trim'!BQ78</f>
        <v>0</v>
      </c>
      <c r="E71" s="784">
        <f>+'LDF Trim'!BR78</f>
        <v>0</v>
      </c>
      <c r="F71" s="784">
        <f>+'LDF Trim'!BS78</f>
        <v>0</v>
      </c>
      <c r="G71" s="784">
        <f t="shared" ref="G71:G77" si="11">D71-E71</f>
        <v>0</v>
      </c>
    </row>
    <row r="72" spans="1:7">
      <c r="A72" s="783" t="s">
        <v>1400</v>
      </c>
      <c r="B72" s="784">
        <f>+'LDF Trim'!BO79</f>
        <v>0</v>
      </c>
      <c r="C72" s="784">
        <f>+'LDF Trim'!BP79</f>
        <v>0</v>
      </c>
      <c r="D72" s="784">
        <f>+'LDF Trim'!BQ79</f>
        <v>0</v>
      </c>
      <c r="E72" s="784">
        <f>+'LDF Trim'!BR79</f>
        <v>0</v>
      </c>
      <c r="F72" s="784">
        <f>+'LDF Trim'!BS79</f>
        <v>0</v>
      </c>
      <c r="G72" s="784">
        <f t="shared" si="11"/>
        <v>0</v>
      </c>
    </row>
    <row r="73" spans="1:7">
      <c r="A73" s="783" t="s">
        <v>1403</v>
      </c>
      <c r="B73" s="784">
        <f>+'LDF Trim'!BO80</f>
        <v>0</v>
      </c>
      <c r="C73" s="784">
        <f>+'LDF Trim'!BP80</f>
        <v>0</v>
      </c>
      <c r="D73" s="784">
        <f>+'LDF Trim'!BQ80</f>
        <v>0</v>
      </c>
      <c r="E73" s="784">
        <f>+'LDF Trim'!BR80</f>
        <v>0</v>
      </c>
      <c r="F73" s="784">
        <f>+'LDF Trim'!BS80</f>
        <v>0</v>
      </c>
      <c r="G73" s="784">
        <f t="shared" si="11"/>
        <v>0</v>
      </c>
    </row>
    <row r="74" spans="1:7">
      <c r="A74" s="783" t="s">
        <v>1405</v>
      </c>
      <c r="B74" s="784">
        <f>+'LDF Trim'!BO81</f>
        <v>0</v>
      </c>
      <c r="C74" s="784">
        <f>+'LDF Trim'!BP81</f>
        <v>0</v>
      </c>
      <c r="D74" s="784">
        <f>+'LDF Trim'!BQ81</f>
        <v>0</v>
      </c>
      <c r="E74" s="784">
        <f>+'LDF Trim'!BR81</f>
        <v>0</v>
      </c>
      <c r="F74" s="784">
        <f>+'LDF Trim'!BS81</f>
        <v>0</v>
      </c>
      <c r="G74" s="784">
        <f t="shared" si="11"/>
        <v>0</v>
      </c>
    </row>
    <row r="75" spans="1:7">
      <c r="A75" s="783" t="s">
        <v>1406</v>
      </c>
      <c r="B75" s="784">
        <f>+'LDF Trim'!BO82</f>
        <v>0</v>
      </c>
      <c r="C75" s="784">
        <f>+'LDF Trim'!BP82</f>
        <v>0</v>
      </c>
      <c r="D75" s="784">
        <f>+'LDF Trim'!BQ82</f>
        <v>0</v>
      </c>
      <c r="E75" s="784">
        <f>+'LDF Trim'!BR82</f>
        <v>0</v>
      </c>
      <c r="F75" s="784">
        <f>+'LDF Trim'!BS82</f>
        <v>0</v>
      </c>
      <c r="G75" s="784">
        <f t="shared" si="11"/>
        <v>0</v>
      </c>
    </row>
    <row r="76" spans="1:7">
      <c r="A76" s="783" t="s">
        <v>1408</v>
      </c>
      <c r="B76" s="784">
        <f>+'LDF Trim'!BO83</f>
        <v>0</v>
      </c>
      <c r="C76" s="784">
        <f>+'LDF Trim'!BP83</f>
        <v>0</v>
      </c>
      <c r="D76" s="784">
        <f>+'LDF Trim'!BQ83</f>
        <v>0</v>
      </c>
      <c r="E76" s="784">
        <f>+'LDF Trim'!BR83</f>
        <v>0</v>
      </c>
      <c r="F76" s="784">
        <f>+'LDF Trim'!BS83</f>
        <v>0</v>
      </c>
      <c r="G76" s="784">
        <f t="shared" si="11"/>
        <v>0</v>
      </c>
    </row>
    <row r="77" spans="1:7">
      <c r="A77" s="783" t="s">
        <v>1409</v>
      </c>
      <c r="B77" s="784">
        <f>+'LDF Trim'!BO84</f>
        <v>0</v>
      </c>
      <c r="C77" s="784">
        <f>+'LDF Trim'!BP84</f>
        <v>0</v>
      </c>
      <c r="D77" s="784">
        <f>+'LDF Trim'!BQ84</f>
        <v>0</v>
      </c>
      <c r="E77" s="784">
        <f>+'LDF Trim'!BR84</f>
        <v>0</v>
      </c>
      <c r="F77" s="784">
        <f>+'LDF Trim'!BS84</f>
        <v>0</v>
      </c>
      <c r="G77" s="784">
        <f t="shared" si="11"/>
        <v>0</v>
      </c>
    </row>
    <row r="78" spans="1:7" ht="5.0999999999999996" customHeight="1">
      <c r="A78" s="772"/>
      <c r="B78" s="715"/>
      <c r="C78" s="715"/>
      <c r="D78" s="715"/>
      <c r="E78" s="715"/>
      <c r="F78" s="715"/>
      <c r="G78" s="715"/>
    </row>
    <row r="79" spans="1:7">
      <c r="A79" s="772" t="s">
        <v>1120</v>
      </c>
      <c r="B79" s="780">
        <f>B80+B88+B98+B108+B118+B128+B132+B141+B145</f>
        <v>0</v>
      </c>
      <c r="C79" s="780">
        <f t="shared" ref="C79:F79" si="12">C80+C88+C98+C108+C118+C128+C132+C141+C145</f>
        <v>0</v>
      </c>
      <c r="D79" s="780">
        <f t="shared" si="12"/>
        <v>0</v>
      </c>
      <c r="E79" s="780">
        <f t="shared" si="12"/>
        <v>0</v>
      </c>
      <c r="F79" s="780">
        <f t="shared" si="12"/>
        <v>0</v>
      </c>
      <c r="G79" s="715">
        <f t="shared" ref="G79" si="13">G80+G88+G98+G108+G118+G128+G132+G141+G145</f>
        <v>0</v>
      </c>
    </row>
    <row r="80" spans="1:7">
      <c r="A80" s="767" t="s">
        <v>1037</v>
      </c>
      <c r="B80" s="782">
        <f>SUM(B81:B87)</f>
        <v>0</v>
      </c>
      <c r="C80" s="782">
        <f t="shared" ref="C80:F80" si="14">SUM(C81:C87)</f>
        <v>0</v>
      </c>
      <c r="D80" s="782">
        <f t="shared" si="14"/>
        <v>0</v>
      </c>
      <c r="E80" s="782">
        <f t="shared" si="14"/>
        <v>0</v>
      </c>
      <c r="F80" s="782">
        <f t="shared" si="14"/>
        <v>0</v>
      </c>
      <c r="G80" s="715">
        <f t="shared" ref="G80" si="15">SUM(G81:G87)</f>
        <v>0</v>
      </c>
    </row>
    <row r="81" spans="1:7">
      <c r="A81" s="768" t="s">
        <v>1046</v>
      </c>
      <c r="B81" s="784">
        <f>+'LDF Trim'!BO88</f>
        <v>0</v>
      </c>
      <c r="C81" s="784">
        <f>+'LDF Trim'!BP88</f>
        <v>0</v>
      </c>
      <c r="D81" s="784">
        <f>+'LDF Trim'!BQ88</f>
        <v>0</v>
      </c>
      <c r="E81" s="784">
        <f>+'LDF Trim'!BR88</f>
        <v>0</v>
      </c>
      <c r="F81" s="784">
        <f>+'LDF Trim'!BS88</f>
        <v>0</v>
      </c>
      <c r="G81" s="717">
        <f t="shared" ref="G81:G144" si="16">D81-E81</f>
        <v>0</v>
      </c>
    </row>
    <row r="82" spans="1:7">
      <c r="A82" s="768" t="s">
        <v>1056</v>
      </c>
      <c r="B82" s="784">
        <f>+'LDF Trim'!BO89</f>
        <v>0</v>
      </c>
      <c r="C82" s="784">
        <f>+'LDF Trim'!BP89</f>
        <v>0</v>
      </c>
      <c r="D82" s="784">
        <f>+'LDF Trim'!BQ89</f>
        <v>0</v>
      </c>
      <c r="E82" s="784">
        <f>+'LDF Trim'!BR89</f>
        <v>0</v>
      </c>
      <c r="F82" s="784">
        <f>+'LDF Trim'!BS89</f>
        <v>0</v>
      </c>
      <c r="G82" s="717">
        <f t="shared" si="16"/>
        <v>0</v>
      </c>
    </row>
    <row r="83" spans="1:7">
      <c r="A83" s="768" t="s">
        <v>1064</v>
      </c>
      <c r="B83" s="784">
        <f>+'LDF Trim'!BO90</f>
        <v>0</v>
      </c>
      <c r="C83" s="784">
        <f>+'LDF Trim'!BP90</f>
        <v>0</v>
      </c>
      <c r="D83" s="784">
        <f>+'LDF Trim'!BQ90</f>
        <v>0</v>
      </c>
      <c r="E83" s="784">
        <f>+'LDF Trim'!BR90</f>
        <v>0</v>
      </c>
      <c r="F83" s="784">
        <f>+'LDF Trim'!BS90</f>
        <v>0</v>
      </c>
      <c r="G83" s="717">
        <f t="shared" si="16"/>
        <v>0</v>
      </c>
    </row>
    <row r="84" spans="1:7">
      <c r="A84" s="768" t="s">
        <v>1073</v>
      </c>
      <c r="B84" s="784">
        <f>+'LDF Trim'!BO91</f>
        <v>0</v>
      </c>
      <c r="C84" s="784">
        <f>+'LDF Trim'!BP91</f>
        <v>0</v>
      </c>
      <c r="D84" s="784">
        <f>+'LDF Trim'!BQ91</f>
        <v>0</v>
      </c>
      <c r="E84" s="784">
        <f>+'LDF Trim'!BR91</f>
        <v>0</v>
      </c>
      <c r="F84" s="784">
        <f>+'LDF Trim'!BS91</f>
        <v>0</v>
      </c>
      <c r="G84" s="717">
        <f t="shared" si="16"/>
        <v>0</v>
      </c>
    </row>
    <row r="85" spans="1:7">
      <c r="A85" s="768" t="s">
        <v>1081</v>
      </c>
      <c r="B85" s="784">
        <f>+'LDF Trim'!BO92</f>
        <v>0</v>
      </c>
      <c r="C85" s="784">
        <f>+'LDF Trim'!BP92</f>
        <v>0</v>
      </c>
      <c r="D85" s="784">
        <f>+'LDF Trim'!BQ92</f>
        <v>0</v>
      </c>
      <c r="E85" s="784">
        <f>+'LDF Trim'!BR92</f>
        <v>0</v>
      </c>
      <c r="F85" s="784">
        <f>+'LDF Trim'!BS92</f>
        <v>0</v>
      </c>
      <c r="G85" s="717">
        <f t="shared" si="16"/>
        <v>0</v>
      </c>
    </row>
    <row r="86" spans="1:7">
      <c r="A86" s="768" t="s">
        <v>1091</v>
      </c>
      <c r="B86" s="784">
        <f>+'LDF Trim'!BO93</f>
        <v>0</v>
      </c>
      <c r="C86" s="784">
        <f>+'LDF Trim'!BP93</f>
        <v>0</v>
      </c>
      <c r="D86" s="784">
        <f>+'LDF Trim'!BQ93</f>
        <v>0</v>
      </c>
      <c r="E86" s="784">
        <f>+'LDF Trim'!BR93</f>
        <v>0</v>
      </c>
      <c r="F86" s="784">
        <f>+'LDF Trim'!BS93</f>
        <v>0</v>
      </c>
      <c r="G86" s="717">
        <f t="shared" si="16"/>
        <v>0</v>
      </c>
    </row>
    <row r="87" spans="1:7">
      <c r="A87" s="768" t="s">
        <v>1100</v>
      </c>
      <c r="B87" s="784">
        <f>+'LDF Trim'!BO94</f>
        <v>0</v>
      </c>
      <c r="C87" s="784">
        <f>+'LDF Trim'!BP94</f>
        <v>0</v>
      </c>
      <c r="D87" s="784">
        <f>+'LDF Trim'!BQ94</f>
        <v>0</v>
      </c>
      <c r="E87" s="784">
        <f>+'LDF Trim'!BR94</f>
        <v>0</v>
      </c>
      <c r="F87" s="784">
        <f>+'LDF Trim'!BS94</f>
        <v>0</v>
      </c>
      <c r="G87" s="717">
        <f t="shared" si="16"/>
        <v>0</v>
      </c>
    </row>
    <row r="88" spans="1:7">
      <c r="A88" s="767" t="s">
        <v>1110</v>
      </c>
      <c r="B88" s="782">
        <f>SUM(B89:B97)</f>
        <v>0</v>
      </c>
      <c r="C88" s="782">
        <f t="shared" ref="C88:F88" si="17">SUM(C89:C97)</f>
        <v>0</v>
      </c>
      <c r="D88" s="782">
        <f t="shared" si="17"/>
        <v>0</v>
      </c>
      <c r="E88" s="782">
        <f t="shared" si="17"/>
        <v>0</v>
      </c>
      <c r="F88" s="782">
        <f t="shared" si="17"/>
        <v>0</v>
      </c>
      <c r="G88" s="715">
        <f t="shared" si="16"/>
        <v>0</v>
      </c>
    </row>
    <row r="89" spans="1:7">
      <c r="A89" s="768" t="s">
        <v>1119</v>
      </c>
      <c r="B89" s="784">
        <f>+'LDF Trim'!BO96</f>
        <v>0</v>
      </c>
      <c r="C89" s="784">
        <f>+'LDF Trim'!BP96</f>
        <v>0</v>
      </c>
      <c r="D89" s="784">
        <f>+'LDF Trim'!BQ96</f>
        <v>0</v>
      </c>
      <c r="E89" s="784">
        <f>+'LDF Trim'!BR96</f>
        <v>0</v>
      </c>
      <c r="F89" s="784">
        <f>+'LDF Trim'!BS96</f>
        <v>0</v>
      </c>
      <c r="G89" s="717">
        <f t="shared" si="16"/>
        <v>0</v>
      </c>
    </row>
    <row r="90" spans="1:7">
      <c r="A90" s="768" t="s">
        <v>1127</v>
      </c>
      <c r="B90" s="784">
        <f>+'LDF Trim'!BO97</f>
        <v>0</v>
      </c>
      <c r="C90" s="784">
        <f>+'LDF Trim'!BP97</f>
        <v>0</v>
      </c>
      <c r="D90" s="784">
        <f>+'LDF Trim'!BQ97</f>
        <v>0</v>
      </c>
      <c r="E90" s="784">
        <f>+'LDF Trim'!BR97</f>
        <v>0</v>
      </c>
      <c r="F90" s="784">
        <f>+'LDF Trim'!BS97</f>
        <v>0</v>
      </c>
      <c r="G90" s="717">
        <f t="shared" si="16"/>
        <v>0</v>
      </c>
    </row>
    <row r="91" spans="1:7">
      <c r="A91" s="768" t="s">
        <v>1134</v>
      </c>
      <c r="B91" s="784">
        <f>+'LDF Trim'!BO98</f>
        <v>0</v>
      </c>
      <c r="C91" s="784">
        <f>+'LDF Trim'!BP98</f>
        <v>0</v>
      </c>
      <c r="D91" s="784">
        <f>+'LDF Trim'!BQ98</f>
        <v>0</v>
      </c>
      <c r="E91" s="784">
        <f>+'LDF Trim'!BR98</f>
        <v>0</v>
      </c>
      <c r="F91" s="784">
        <f>+'LDF Trim'!BS98</f>
        <v>0</v>
      </c>
      <c r="G91" s="717">
        <f t="shared" si="16"/>
        <v>0</v>
      </c>
    </row>
    <row r="92" spans="1:7">
      <c r="A92" s="768" t="s">
        <v>1143</v>
      </c>
      <c r="B92" s="784">
        <f>+'LDF Trim'!BO99</f>
        <v>0</v>
      </c>
      <c r="C92" s="784">
        <f>+'LDF Trim'!BP99</f>
        <v>0</v>
      </c>
      <c r="D92" s="784">
        <f>+'LDF Trim'!BQ99</f>
        <v>0</v>
      </c>
      <c r="E92" s="784">
        <f>+'LDF Trim'!BR99</f>
        <v>0</v>
      </c>
      <c r="F92" s="784">
        <f>+'LDF Trim'!BS99</f>
        <v>0</v>
      </c>
      <c r="G92" s="717">
        <f t="shared" si="16"/>
        <v>0</v>
      </c>
    </row>
    <row r="93" spans="1:7">
      <c r="A93" s="768" t="s">
        <v>1151</v>
      </c>
      <c r="B93" s="784">
        <f>+'LDF Trim'!BO100</f>
        <v>0</v>
      </c>
      <c r="C93" s="784">
        <f>+'LDF Trim'!BP100</f>
        <v>0</v>
      </c>
      <c r="D93" s="784">
        <f>+'LDF Trim'!BQ100</f>
        <v>0</v>
      </c>
      <c r="E93" s="784">
        <f>+'LDF Trim'!BR100</f>
        <v>0</v>
      </c>
      <c r="F93" s="784">
        <f>+'LDF Trim'!BS100</f>
        <v>0</v>
      </c>
      <c r="G93" s="717">
        <f t="shared" si="16"/>
        <v>0</v>
      </c>
    </row>
    <row r="94" spans="1:7">
      <c r="A94" s="768" t="s">
        <v>1159</v>
      </c>
      <c r="B94" s="784">
        <f>+'LDF Trim'!BO101</f>
        <v>0</v>
      </c>
      <c r="C94" s="784">
        <f>+'LDF Trim'!BP101</f>
        <v>0</v>
      </c>
      <c r="D94" s="784">
        <f>+'LDF Trim'!BQ101</f>
        <v>0</v>
      </c>
      <c r="E94" s="784">
        <f>+'LDF Trim'!BR101</f>
        <v>0</v>
      </c>
      <c r="F94" s="784">
        <f>+'LDF Trim'!BS101</f>
        <v>0</v>
      </c>
      <c r="G94" s="717">
        <f t="shared" si="16"/>
        <v>0</v>
      </c>
    </row>
    <row r="95" spans="1:7">
      <c r="A95" s="768" t="s">
        <v>1166</v>
      </c>
      <c r="B95" s="784">
        <f>+'LDF Trim'!BO102</f>
        <v>0</v>
      </c>
      <c r="C95" s="784">
        <f>+'LDF Trim'!BP102</f>
        <v>0</v>
      </c>
      <c r="D95" s="784">
        <f>+'LDF Trim'!BQ102</f>
        <v>0</v>
      </c>
      <c r="E95" s="784">
        <f>+'LDF Trim'!BR102</f>
        <v>0</v>
      </c>
      <c r="F95" s="784">
        <f>+'LDF Trim'!BS102</f>
        <v>0</v>
      </c>
      <c r="G95" s="717">
        <f t="shared" si="16"/>
        <v>0</v>
      </c>
    </row>
    <row r="96" spans="1:7">
      <c r="A96" s="768" t="s">
        <v>1172</v>
      </c>
      <c r="B96" s="784">
        <f>+'LDF Trim'!BO103</f>
        <v>0</v>
      </c>
      <c r="C96" s="784">
        <f>+'LDF Trim'!BP103</f>
        <v>0</v>
      </c>
      <c r="D96" s="784">
        <f>+'LDF Trim'!BQ103</f>
        <v>0</v>
      </c>
      <c r="E96" s="784">
        <f>+'LDF Trim'!BR103</f>
        <v>0</v>
      </c>
      <c r="F96" s="784">
        <f>+'LDF Trim'!BS103</f>
        <v>0</v>
      </c>
      <c r="G96" s="717">
        <f t="shared" si="16"/>
        <v>0</v>
      </c>
    </row>
    <row r="97" spans="1:7">
      <c r="A97" s="768" t="s">
        <v>1177</v>
      </c>
      <c r="B97" s="784">
        <f>+'LDF Trim'!BO104</f>
        <v>0</v>
      </c>
      <c r="C97" s="784">
        <f>+'LDF Trim'!BP104</f>
        <v>0</v>
      </c>
      <c r="D97" s="784">
        <f>+'LDF Trim'!BQ104</f>
        <v>0</v>
      </c>
      <c r="E97" s="784">
        <f>+'LDF Trim'!BR104</f>
        <v>0</v>
      </c>
      <c r="F97" s="784">
        <f>+'LDF Trim'!BS104</f>
        <v>0</v>
      </c>
      <c r="G97" s="717">
        <f t="shared" si="16"/>
        <v>0</v>
      </c>
    </row>
    <row r="98" spans="1:7">
      <c r="A98" s="767" t="s">
        <v>1183</v>
      </c>
      <c r="B98" s="782">
        <f>SUM(B99:B107)</f>
        <v>0</v>
      </c>
      <c r="C98" s="782">
        <f t="shared" ref="C98:F98" si="18">SUM(C99:C107)</f>
        <v>0</v>
      </c>
      <c r="D98" s="782">
        <f t="shared" si="18"/>
        <v>0</v>
      </c>
      <c r="E98" s="782">
        <f t="shared" si="18"/>
        <v>0</v>
      </c>
      <c r="F98" s="782">
        <f t="shared" si="18"/>
        <v>0</v>
      </c>
      <c r="G98" s="715">
        <f t="shared" si="16"/>
        <v>0</v>
      </c>
    </row>
    <row r="99" spans="1:7">
      <c r="A99" s="768" t="s">
        <v>1189</v>
      </c>
      <c r="B99" s="784">
        <f>+'LDF Trim'!BO106</f>
        <v>0</v>
      </c>
      <c r="C99" s="784">
        <f>+'LDF Trim'!BP106</f>
        <v>0</v>
      </c>
      <c r="D99" s="784">
        <f>+'LDF Trim'!BQ106</f>
        <v>0</v>
      </c>
      <c r="E99" s="784">
        <f>+'LDF Trim'!BR106</f>
        <v>0</v>
      </c>
      <c r="F99" s="784">
        <f>+'LDF Trim'!BS106</f>
        <v>0</v>
      </c>
      <c r="G99" s="717">
        <f t="shared" si="16"/>
        <v>0</v>
      </c>
    </row>
    <row r="100" spans="1:7">
      <c r="A100" s="768" t="s">
        <v>1197</v>
      </c>
      <c r="B100" s="784">
        <f>+'LDF Trim'!BO107</f>
        <v>0</v>
      </c>
      <c r="C100" s="784">
        <f>+'LDF Trim'!BP107</f>
        <v>0</v>
      </c>
      <c r="D100" s="784">
        <f>+'LDF Trim'!BQ107</f>
        <v>0</v>
      </c>
      <c r="E100" s="784">
        <f>+'LDF Trim'!BR107</f>
        <v>0</v>
      </c>
      <c r="F100" s="784">
        <f>+'LDF Trim'!BS107</f>
        <v>0</v>
      </c>
      <c r="G100" s="717">
        <f t="shared" si="16"/>
        <v>0</v>
      </c>
    </row>
    <row r="101" spans="1:7">
      <c r="A101" s="768" t="s">
        <v>1204</v>
      </c>
      <c r="B101" s="784">
        <f>+'LDF Trim'!BO108</f>
        <v>0</v>
      </c>
      <c r="C101" s="784">
        <f>+'LDF Trim'!BP108</f>
        <v>0</v>
      </c>
      <c r="D101" s="784">
        <f>+'LDF Trim'!BQ108</f>
        <v>0</v>
      </c>
      <c r="E101" s="784">
        <f>+'LDF Trim'!BR108</f>
        <v>0</v>
      </c>
      <c r="F101" s="784">
        <f>+'LDF Trim'!BS108</f>
        <v>0</v>
      </c>
      <c r="G101" s="717">
        <f t="shared" si="16"/>
        <v>0</v>
      </c>
    </row>
    <row r="102" spans="1:7">
      <c r="A102" s="768" t="s">
        <v>1209</v>
      </c>
      <c r="B102" s="784">
        <f>+'LDF Trim'!BO109</f>
        <v>0</v>
      </c>
      <c r="C102" s="784">
        <f>+'LDF Trim'!BP109</f>
        <v>0</v>
      </c>
      <c r="D102" s="784">
        <f>+'LDF Trim'!BQ109</f>
        <v>0</v>
      </c>
      <c r="E102" s="784">
        <f>+'LDF Trim'!BR109</f>
        <v>0</v>
      </c>
      <c r="F102" s="784">
        <f>+'LDF Trim'!BS109</f>
        <v>0</v>
      </c>
      <c r="G102" s="717">
        <f t="shared" si="16"/>
        <v>0</v>
      </c>
    </row>
    <row r="103" spans="1:7">
      <c r="A103" s="768" t="s">
        <v>1215</v>
      </c>
      <c r="B103" s="784">
        <f>+'LDF Trim'!BO110</f>
        <v>0</v>
      </c>
      <c r="C103" s="784">
        <f>+'LDF Trim'!BP110</f>
        <v>0</v>
      </c>
      <c r="D103" s="784">
        <f>+'LDF Trim'!BQ110</f>
        <v>0</v>
      </c>
      <c r="E103" s="784">
        <f>+'LDF Trim'!BR110</f>
        <v>0</v>
      </c>
      <c r="F103" s="784">
        <f>+'LDF Trim'!BS110</f>
        <v>0</v>
      </c>
      <c r="G103" s="717">
        <f t="shared" si="16"/>
        <v>0</v>
      </c>
    </row>
    <row r="104" spans="1:7">
      <c r="A104" s="768" t="s">
        <v>1227</v>
      </c>
      <c r="B104" s="784">
        <f>+'LDF Trim'!BO111</f>
        <v>0</v>
      </c>
      <c r="C104" s="784">
        <f>+'LDF Trim'!BP111</f>
        <v>0</v>
      </c>
      <c r="D104" s="784">
        <f>+'LDF Trim'!BQ111</f>
        <v>0</v>
      </c>
      <c r="E104" s="784">
        <f>+'LDF Trim'!BR111</f>
        <v>0</v>
      </c>
      <c r="F104" s="784">
        <f>+'LDF Trim'!BS111</f>
        <v>0</v>
      </c>
      <c r="G104" s="717">
        <f t="shared" si="16"/>
        <v>0</v>
      </c>
    </row>
    <row r="105" spans="1:7">
      <c r="A105" s="768" t="s">
        <v>1232</v>
      </c>
      <c r="B105" s="784">
        <f>+'LDF Trim'!BO112</f>
        <v>0</v>
      </c>
      <c r="C105" s="784">
        <f>+'LDF Trim'!BP112</f>
        <v>0</v>
      </c>
      <c r="D105" s="784">
        <f>+'LDF Trim'!BQ112</f>
        <v>0</v>
      </c>
      <c r="E105" s="784">
        <f>+'LDF Trim'!BR112</f>
        <v>0</v>
      </c>
      <c r="F105" s="784">
        <f>+'LDF Trim'!BS112</f>
        <v>0</v>
      </c>
      <c r="G105" s="717">
        <f t="shared" si="16"/>
        <v>0</v>
      </c>
    </row>
    <row r="106" spans="1:7">
      <c r="A106" s="768" t="s">
        <v>1237</v>
      </c>
      <c r="B106" s="784">
        <f>+'LDF Trim'!BO113</f>
        <v>0</v>
      </c>
      <c r="C106" s="784">
        <f>+'LDF Trim'!BP113</f>
        <v>0</v>
      </c>
      <c r="D106" s="784">
        <f>+'LDF Trim'!BQ113</f>
        <v>0</v>
      </c>
      <c r="E106" s="784">
        <f>+'LDF Trim'!BR113</f>
        <v>0</v>
      </c>
      <c r="F106" s="784">
        <f>+'LDF Trim'!BS113</f>
        <v>0</v>
      </c>
      <c r="G106" s="717">
        <f t="shared" si="16"/>
        <v>0</v>
      </c>
    </row>
    <row r="107" spans="1:7">
      <c r="A107" s="768" t="s">
        <v>1246</v>
      </c>
      <c r="B107" s="784">
        <f>+'LDF Trim'!BO114</f>
        <v>0</v>
      </c>
      <c r="C107" s="784">
        <f>+'LDF Trim'!BP114</f>
        <v>0</v>
      </c>
      <c r="D107" s="784">
        <f>+'LDF Trim'!BQ114</f>
        <v>0</v>
      </c>
      <c r="E107" s="784">
        <f>+'LDF Trim'!BR114</f>
        <v>0</v>
      </c>
      <c r="F107" s="784">
        <f>+'LDF Trim'!BS114</f>
        <v>0</v>
      </c>
      <c r="G107" s="717">
        <f t="shared" si="16"/>
        <v>0</v>
      </c>
    </row>
    <row r="108" spans="1:7">
      <c r="A108" s="767" t="s">
        <v>1252</v>
      </c>
      <c r="B108" s="782">
        <f>SUM(B109:B117)</f>
        <v>0</v>
      </c>
      <c r="C108" s="782">
        <f t="shared" ref="C108:F108" si="19">SUM(C109:C117)</f>
        <v>0</v>
      </c>
      <c r="D108" s="782">
        <f t="shared" si="19"/>
        <v>0</v>
      </c>
      <c r="E108" s="782">
        <f t="shared" si="19"/>
        <v>0</v>
      </c>
      <c r="F108" s="782">
        <f t="shared" si="19"/>
        <v>0</v>
      </c>
      <c r="G108" s="715">
        <f t="shared" si="16"/>
        <v>0</v>
      </c>
    </row>
    <row r="109" spans="1:7">
      <c r="A109" s="768" t="s">
        <v>1259</v>
      </c>
      <c r="B109" s="784">
        <f>+'LDF Trim'!BO116</f>
        <v>0</v>
      </c>
      <c r="C109" s="784">
        <f>+'LDF Trim'!BP116</f>
        <v>0</v>
      </c>
      <c r="D109" s="784">
        <f>+'LDF Trim'!BQ116</f>
        <v>0</v>
      </c>
      <c r="E109" s="784">
        <f>+'LDF Trim'!BR116</f>
        <v>0</v>
      </c>
      <c r="F109" s="784">
        <f>+'LDF Trim'!BS116</f>
        <v>0</v>
      </c>
      <c r="G109" s="717">
        <f t="shared" si="16"/>
        <v>0</v>
      </c>
    </row>
    <row r="110" spans="1:7">
      <c r="A110" s="768" t="s">
        <v>1265</v>
      </c>
      <c r="B110" s="784">
        <f>+'LDF Trim'!BO117</f>
        <v>0</v>
      </c>
      <c r="C110" s="784">
        <f>+'LDF Trim'!BP117</f>
        <v>0</v>
      </c>
      <c r="D110" s="784">
        <f>+'LDF Trim'!BQ117</f>
        <v>0</v>
      </c>
      <c r="E110" s="784">
        <f>+'LDF Trim'!BR117</f>
        <v>0</v>
      </c>
      <c r="F110" s="784">
        <f>+'LDF Trim'!BS117</f>
        <v>0</v>
      </c>
      <c r="G110" s="717">
        <f t="shared" si="16"/>
        <v>0</v>
      </c>
    </row>
    <row r="111" spans="1:7">
      <c r="A111" s="768" t="s">
        <v>1272</v>
      </c>
      <c r="B111" s="784">
        <f>+'LDF Trim'!BO118</f>
        <v>0</v>
      </c>
      <c r="C111" s="784">
        <f>+'LDF Trim'!BP118</f>
        <v>0</v>
      </c>
      <c r="D111" s="784">
        <f>+'LDF Trim'!BQ118</f>
        <v>0</v>
      </c>
      <c r="E111" s="784">
        <f>+'LDF Trim'!BR118</f>
        <v>0</v>
      </c>
      <c r="F111" s="784">
        <f>+'LDF Trim'!BS118</f>
        <v>0</v>
      </c>
      <c r="G111" s="717">
        <f t="shared" si="16"/>
        <v>0</v>
      </c>
    </row>
    <row r="112" spans="1:7">
      <c r="A112" s="768" t="s">
        <v>1278</v>
      </c>
      <c r="B112" s="784">
        <f>+'LDF Trim'!BO119</f>
        <v>0</v>
      </c>
      <c r="C112" s="784">
        <f>+'LDF Trim'!BP119</f>
        <v>0</v>
      </c>
      <c r="D112" s="784">
        <f>+'LDF Trim'!BQ119</f>
        <v>0</v>
      </c>
      <c r="E112" s="784">
        <f>+'LDF Trim'!BR119</f>
        <v>0</v>
      </c>
      <c r="F112" s="784">
        <f>+'LDF Trim'!BS119</f>
        <v>0</v>
      </c>
      <c r="G112" s="717">
        <f t="shared" si="16"/>
        <v>0</v>
      </c>
    </row>
    <row r="113" spans="1:7">
      <c r="A113" s="768" t="s">
        <v>1284</v>
      </c>
      <c r="B113" s="784">
        <f>+'LDF Trim'!BO120</f>
        <v>0</v>
      </c>
      <c r="C113" s="784">
        <f>+'LDF Trim'!BP120</f>
        <v>0</v>
      </c>
      <c r="D113" s="784">
        <f>+'LDF Trim'!BQ120</f>
        <v>0</v>
      </c>
      <c r="E113" s="784">
        <f>+'LDF Trim'!BR120</f>
        <v>0</v>
      </c>
      <c r="F113" s="784">
        <f>+'LDF Trim'!BS120</f>
        <v>0</v>
      </c>
      <c r="G113" s="717">
        <f t="shared" si="16"/>
        <v>0</v>
      </c>
    </row>
    <row r="114" spans="1:7">
      <c r="A114" s="768" t="s">
        <v>1289</v>
      </c>
      <c r="B114" s="784">
        <f>+'LDF Trim'!BO121</f>
        <v>0</v>
      </c>
      <c r="C114" s="784">
        <f>+'LDF Trim'!BP121</f>
        <v>0</v>
      </c>
      <c r="D114" s="784">
        <f>+'LDF Trim'!BQ121</f>
        <v>0</v>
      </c>
      <c r="E114" s="784">
        <f>+'LDF Trim'!BR121</f>
        <v>0</v>
      </c>
      <c r="F114" s="784">
        <f>+'LDF Trim'!BS121</f>
        <v>0</v>
      </c>
      <c r="G114" s="717">
        <f t="shared" si="16"/>
        <v>0</v>
      </c>
    </row>
    <row r="115" spans="1:7">
      <c r="A115" s="768" t="s">
        <v>1294</v>
      </c>
      <c r="B115" s="784">
        <f>+'LDF Trim'!BO122</f>
        <v>0</v>
      </c>
      <c r="C115" s="784">
        <f>+'LDF Trim'!BP122</f>
        <v>0</v>
      </c>
      <c r="D115" s="784">
        <f>+'LDF Trim'!BQ122</f>
        <v>0</v>
      </c>
      <c r="E115" s="784">
        <f>+'LDF Trim'!BR122</f>
        <v>0</v>
      </c>
      <c r="F115" s="784">
        <f>+'LDF Trim'!BS122</f>
        <v>0</v>
      </c>
      <c r="G115" s="717">
        <f t="shared" si="16"/>
        <v>0</v>
      </c>
    </row>
    <row r="116" spans="1:7">
      <c r="A116" s="768" t="s">
        <v>1299</v>
      </c>
      <c r="B116" s="784">
        <f>+'LDF Trim'!BO123</f>
        <v>0</v>
      </c>
      <c r="C116" s="784">
        <f>+'LDF Trim'!BP123</f>
        <v>0</v>
      </c>
      <c r="D116" s="784">
        <f>+'LDF Trim'!BQ123</f>
        <v>0</v>
      </c>
      <c r="E116" s="784">
        <f>+'LDF Trim'!BR123</f>
        <v>0</v>
      </c>
      <c r="F116" s="784">
        <f>+'LDF Trim'!BS123</f>
        <v>0</v>
      </c>
      <c r="G116" s="717">
        <f t="shared" si="16"/>
        <v>0</v>
      </c>
    </row>
    <row r="117" spans="1:7">
      <c r="A117" s="768" t="s">
        <v>1304</v>
      </c>
      <c r="B117" s="784">
        <f>+'LDF Trim'!BO124</f>
        <v>0</v>
      </c>
      <c r="C117" s="784">
        <f>+'LDF Trim'!BP124</f>
        <v>0</v>
      </c>
      <c r="D117" s="784">
        <f>+'LDF Trim'!BQ124</f>
        <v>0</v>
      </c>
      <c r="E117" s="784">
        <f>+'LDF Trim'!BR124</f>
        <v>0</v>
      </c>
      <c r="F117" s="784">
        <f>+'LDF Trim'!BS124</f>
        <v>0</v>
      </c>
      <c r="G117" s="717">
        <f t="shared" si="16"/>
        <v>0</v>
      </c>
    </row>
    <row r="118" spans="1:7">
      <c r="A118" s="767" t="s">
        <v>1306</v>
      </c>
      <c r="B118" s="782">
        <f>SUM(B119:B127)</f>
        <v>0</v>
      </c>
      <c r="C118" s="782">
        <f t="shared" ref="C118:F118" si="20">SUM(C119:C127)</f>
        <v>0</v>
      </c>
      <c r="D118" s="782">
        <f t="shared" si="20"/>
        <v>0</v>
      </c>
      <c r="E118" s="782">
        <f t="shared" si="20"/>
        <v>0</v>
      </c>
      <c r="F118" s="782">
        <f t="shared" si="20"/>
        <v>0</v>
      </c>
      <c r="G118" s="715">
        <f t="shared" si="16"/>
        <v>0</v>
      </c>
    </row>
    <row r="119" spans="1:7">
      <c r="A119" s="768" t="s">
        <v>1310</v>
      </c>
      <c r="B119" s="784">
        <f>+'LDF Trim'!BO126</f>
        <v>0</v>
      </c>
      <c r="C119" s="784">
        <f>+'LDF Trim'!BP126</f>
        <v>0</v>
      </c>
      <c r="D119" s="784">
        <f>+'LDF Trim'!BQ126</f>
        <v>0</v>
      </c>
      <c r="E119" s="784">
        <f>+'LDF Trim'!BR126</f>
        <v>0</v>
      </c>
      <c r="F119" s="784">
        <f>+'LDF Trim'!BS126</f>
        <v>0</v>
      </c>
      <c r="G119" s="717">
        <f t="shared" si="16"/>
        <v>0</v>
      </c>
    </row>
    <row r="120" spans="1:7">
      <c r="A120" s="768" t="s">
        <v>1312</v>
      </c>
      <c r="B120" s="784">
        <f>+'LDF Trim'!BO127</f>
        <v>0</v>
      </c>
      <c r="C120" s="784">
        <f>+'LDF Trim'!BP127</f>
        <v>0</v>
      </c>
      <c r="D120" s="784">
        <f>+'LDF Trim'!BQ127</f>
        <v>0</v>
      </c>
      <c r="E120" s="784">
        <f>+'LDF Trim'!BR127</f>
        <v>0</v>
      </c>
      <c r="F120" s="784">
        <f>+'LDF Trim'!BS127</f>
        <v>0</v>
      </c>
      <c r="G120" s="717">
        <f t="shared" si="16"/>
        <v>0</v>
      </c>
    </row>
    <row r="121" spans="1:7">
      <c r="A121" s="768" t="s">
        <v>1316</v>
      </c>
      <c r="B121" s="784">
        <f>+'LDF Trim'!BO128</f>
        <v>0</v>
      </c>
      <c r="C121" s="784">
        <f>+'LDF Trim'!BP128</f>
        <v>0</v>
      </c>
      <c r="D121" s="784">
        <f>+'LDF Trim'!BQ128</f>
        <v>0</v>
      </c>
      <c r="E121" s="784">
        <f>+'LDF Trim'!BR128</f>
        <v>0</v>
      </c>
      <c r="F121" s="784">
        <f>+'LDF Trim'!BS128</f>
        <v>0</v>
      </c>
      <c r="G121" s="717">
        <f t="shared" si="16"/>
        <v>0</v>
      </c>
    </row>
    <row r="122" spans="1:7">
      <c r="A122" s="768" t="s">
        <v>1321</v>
      </c>
      <c r="B122" s="784">
        <f>+'LDF Trim'!BO129</f>
        <v>0</v>
      </c>
      <c r="C122" s="784">
        <f>+'LDF Trim'!BP129</f>
        <v>0</v>
      </c>
      <c r="D122" s="784">
        <f>+'LDF Trim'!BQ129</f>
        <v>0</v>
      </c>
      <c r="E122" s="784">
        <f>+'LDF Trim'!BR129</f>
        <v>0</v>
      </c>
      <c r="F122" s="784">
        <f>+'LDF Trim'!BS129</f>
        <v>0</v>
      </c>
      <c r="G122" s="717">
        <f t="shared" si="16"/>
        <v>0</v>
      </c>
    </row>
    <row r="123" spans="1:7">
      <c r="A123" s="768" t="s">
        <v>1326</v>
      </c>
      <c r="B123" s="784">
        <f>+'LDF Trim'!BO130</f>
        <v>0</v>
      </c>
      <c r="C123" s="784">
        <f>+'LDF Trim'!BP130</f>
        <v>0</v>
      </c>
      <c r="D123" s="784">
        <f>+'LDF Trim'!BQ130</f>
        <v>0</v>
      </c>
      <c r="E123" s="784">
        <f>+'LDF Trim'!BR130</f>
        <v>0</v>
      </c>
      <c r="F123" s="784">
        <f>+'LDF Trim'!BS130</f>
        <v>0</v>
      </c>
      <c r="G123" s="717">
        <f t="shared" si="16"/>
        <v>0</v>
      </c>
    </row>
    <row r="124" spans="1:7">
      <c r="A124" s="768" t="s">
        <v>1330</v>
      </c>
      <c r="B124" s="784">
        <f>+'LDF Trim'!BO131</f>
        <v>0</v>
      </c>
      <c r="C124" s="784">
        <f>+'LDF Trim'!BP131</f>
        <v>0</v>
      </c>
      <c r="D124" s="784">
        <f>+'LDF Trim'!BQ131</f>
        <v>0</v>
      </c>
      <c r="E124" s="784">
        <f>+'LDF Trim'!BR131</f>
        <v>0</v>
      </c>
      <c r="F124" s="784">
        <f>+'LDF Trim'!BS131</f>
        <v>0</v>
      </c>
      <c r="G124" s="717">
        <f t="shared" si="16"/>
        <v>0</v>
      </c>
    </row>
    <row r="125" spans="1:7">
      <c r="A125" s="768" t="s">
        <v>1334</v>
      </c>
      <c r="B125" s="784">
        <f>+'LDF Trim'!BO132</f>
        <v>0</v>
      </c>
      <c r="C125" s="784">
        <f>+'LDF Trim'!BP132</f>
        <v>0</v>
      </c>
      <c r="D125" s="784">
        <f>+'LDF Trim'!BQ132</f>
        <v>0</v>
      </c>
      <c r="E125" s="784">
        <f>+'LDF Trim'!BR132</f>
        <v>0</v>
      </c>
      <c r="F125" s="784">
        <f>+'LDF Trim'!BS132</f>
        <v>0</v>
      </c>
      <c r="G125" s="717">
        <f t="shared" si="16"/>
        <v>0</v>
      </c>
    </row>
    <row r="126" spans="1:7">
      <c r="A126" s="768" t="s">
        <v>1338</v>
      </c>
      <c r="B126" s="784">
        <f>+'LDF Trim'!BO133</f>
        <v>0</v>
      </c>
      <c r="C126" s="784">
        <f>+'LDF Trim'!BP133</f>
        <v>0</v>
      </c>
      <c r="D126" s="784">
        <f>+'LDF Trim'!BQ133</f>
        <v>0</v>
      </c>
      <c r="E126" s="784">
        <f>+'LDF Trim'!BR133</f>
        <v>0</v>
      </c>
      <c r="F126" s="784">
        <f>+'LDF Trim'!BS133</f>
        <v>0</v>
      </c>
      <c r="G126" s="717">
        <f t="shared" si="16"/>
        <v>0</v>
      </c>
    </row>
    <row r="127" spans="1:7">
      <c r="A127" s="768" t="s">
        <v>1342</v>
      </c>
      <c r="B127" s="784">
        <f>+'LDF Trim'!BO134</f>
        <v>0</v>
      </c>
      <c r="C127" s="784">
        <f>+'LDF Trim'!BP134</f>
        <v>0</v>
      </c>
      <c r="D127" s="784">
        <f>+'LDF Trim'!BQ134</f>
        <v>0</v>
      </c>
      <c r="E127" s="784">
        <f>+'LDF Trim'!BR134</f>
        <v>0</v>
      </c>
      <c r="F127" s="784">
        <f>+'LDF Trim'!BS134</f>
        <v>0</v>
      </c>
      <c r="G127" s="717">
        <f t="shared" si="16"/>
        <v>0</v>
      </c>
    </row>
    <row r="128" spans="1:7">
      <c r="A128" s="767" t="s">
        <v>1345</v>
      </c>
      <c r="B128" s="782">
        <f>SUM(B129:B131)</f>
        <v>0</v>
      </c>
      <c r="C128" s="782">
        <f t="shared" ref="C128:F128" si="21">SUM(C129:C131)</f>
        <v>0</v>
      </c>
      <c r="D128" s="782">
        <f t="shared" si="21"/>
        <v>0</v>
      </c>
      <c r="E128" s="782">
        <f t="shared" si="21"/>
        <v>0</v>
      </c>
      <c r="F128" s="782">
        <f t="shared" si="21"/>
        <v>0</v>
      </c>
      <c r="G128" s="715">
        <f t="shared" si="16"/>
        <v>0</v>
      </c>
    </row>
    <row r="129" spans="1:7">
      <c r="A129" s="768" t="s">
        <v>1349</v>
      </c>
      <c r="B129" s="784">
        <f>+'LDF Trim'!BO136</f>
        <v>0</v>
      </c>
      <c r="C129" s="784">
        <f>+'LDF Trim'!BP136</f>
        <v>0</v>
      </c>
      <c r="D129" s="784">
        <f>+'LDF Trim'!BQ136</f>
        <v>0</v>
      </c>
      <c r="E129" s="784">
        <f>+'LDF Trim'!BR136</f>
        <v>0</v>
      </c>
      <c r="F129" s="784">
        <f>+'LDF Trim'!BS136</f>
        <v>0</v>
      </c>
      <c r="G129" s="717">
        <f t="shared" si="16"/>
        <v>0</v>
      </c>
    </row>
    <row r="130" spans="1:7">
      <c r="A130" s="768" t="s">
        <v>1352</v>
      </c>
      <c r="B130" s="784">
        <f>+'LDF Trim'!BO137</f>
        <v>0</v>
      </c>
      <c r="C130" s="784">
        <f>+'LDF Trim'!BP137</f>
        <v>0</v>
      </c>
      <c r="D130" s="784">
        <f>+'LDF Trim'!BQ137</f>
        <v>0</v>
      </c>
      <c r="E130" s="784">
        <f>+'LDF Trim'!BR137</f>
        <v>0</v>
      </c>
      <c r="F130" s="784">
        <f>+'LDF Trim'!BS137</f>
        <v>0</v>
      </c>
      <c r="G130" s="717">
        <f t="shared" si="16"/>
        <v>0</v>
      </c>
    </row>
    <row r="131" spans="1:7">
      <c r="A131" s="768" t="s">
        <v>1356</v>
      </c>
      <c r="B131" s="784">
        <f>+'LDF Trim'!BO138</f>
        <v>0</v>
      </c>
      <c r="C131" s="784">
        <f>+'LDF Trim'!BP138</f>
        <v>0</v>
      </c>
      <c r="D131" s="784">
        <f>+'LDF Trim'!BQ138</f>
        <v>0</v>
      </c>
      <c r="E131" s="784">
        <f>+'LDF Trim'!BR138</f>
        <v>0</v>
      </c>
      <c r="F131" s="784">
        <f>+'LDF Trim'!BS138</f>
        <v>0</v>
      </c>
      <c r="G131" s="717">
        <f t="shared" si="16"/>
        <v>0</v>
      </c>
    </row>
    <row r="132" spans="1:7">
      <c r="A132" s="767" t="s">
        <v>1360</v>
      </c>
      <c r="B132" s="782">
        <f>SUM(B133:B140)</f>
        <v>0</v>
      </c>
      <c r="C132" s="782">
        <f t="shared" ref="C132:F132" si="22">SUM(C133:C140)</f>
        <v>0</v>
      </c>
      <c r="D132" s="782">
        <f t="shared" si="22"/>
        <v>0</v>
      </c>
      <c r="E132" s="782">
        <f t="shared" si="22"/>
        <v>0</v>
      </c>
      <c r="F132" s="782">
        <f t="shared" si="22"/>
        <v>0</v>
      </c>
      <c r="G132" s="715">
        <f t="shared" si="16"/>
        <v>0</v>
      </c>
    </row>
    <row r="133" spans="1:7">
      <c r="A133" s="768" t="s">
        <v>1363</v>
      </c>
      <c r="B133" s="784">
        <f>+'LDF Trim'!BO140</f>
        <v>0</v>
      </c>
      <c r="C133" s="784">
        <f>+'LDF Trim'!BP140</f>
        <v>0</v>
      </c>
      <c r="D133" s="784">
        <f>+'LDF Trim'!BQ140</f>
        <v>0</v>
      </c>
      <c r="E133" s="784">
        <f>+'LDF Trim'!BR140</f>
        <v>0</v>
      </c>
      <c r="F133" s="784">
        <f>+'LDF Trim'!BS140</f>
        <v>0</v>
      </c>
      <c r="G133" s="717">
        <f t="shared" si="16"/>
        <v>0</v>
      </c>
    </row>
    <row r="134" spans="1:7">
      <c r="A134" s="768" t="s">
        <v>1366</v>
      </c>
      <c r="B134" s="784">
        <f>+'LDF Trim'!BO141</f>
        <v>0</v>
      </c>
      <c r="C134" s="784">
        <f>+'LDF Trim'!BP141</f>
        <v>0</v>
      </c>
      <c r="D134" s="784">
        <f>+'LDF Trim'!BQ141</f>
        <v>0</v>
      </c>
      <c r="E134" s="784">
        <f>+'LDF Trim'!BR141</f>
        <v>0</v>
      </c>
      <c r="F134" s="784">
        <f>+'LDF Trim'!BS141</f>
        <v>0</v>
      </c>
      <c r="G134" s="717">
        <f t="shared" si="16"/>
        <v>0</v>
      </c>
    </row>
    <row r="135" spans="1:7">
      <c r="A135" s="768" t="s">
        <v>1369</v>
      </c>
      <c r="B135" s="784">
        <f>+'LDF Trim'!BO142</f>
        <v>0</v>
      </c>
      <c r="C135" s="784">
        <f>+'LDF Trim'!BP142</f>
        <v>0</v>
      </c>
      <c r="D135" s="784">
        <f>+'LDF Trim'!BQ142</f>
        <v>0</v>
      </c>
      <c r="E135" s="784">
        <f>+'LDF Trim'!BR142</f>
        <v>0</v>
      </c>
      <c r="F135" s="784">
        <f>+'LDF Trim'!BS142</f>
        <v>0</v>
      </c>
      <c r="G135" s="717">
        <f t="shared" si="16"/>
        <v>0</v>
      </c>
    </row>
    <row r="136" spans="1:7">
      <c r="A136" s="768" t="s">
        <v>1371</v>
      </c>
      <c r="B136" s="784">
        <f>+'LDF Trim'!BO143</f>
        <v>0</v>
      </c>
      <c r="C136" s="784">
        <f>+'LDF Trim'!BP143</f>
        <v>0</v>
      </c>
      <c r="D136" s="784">
        <f>+'LDF Trim'!BQ143</f>
        <v>0</v>
      </c>
      <c r="E136" s="784">
        <f>+'LDF Trim'!BR143</f>
        <v>0</v>
      </c>
      <c r="F136" s="784">
        <f>+'LDF Trim'!BS143</f>
        <v>0</v>
      </c>
      <c r="G136" s="717">
        <f t="shared" si="16"/>
        <v>0</v>
      </c>
    </row>
    <row r="137" spans="1:7">
      <c r="A137" s="768" t="s">
        <v>1374</v>
      </c>
      <c r="B137" s="784">
        <f>+'LDF Trim'!BO144</f>
        <v>0</v>
      </c>
      <c r="C137" s="784">
        <f>+'LDF Trim'!BP144</f>
        <v>0</v>
      </c>
      <c r="D137" s="784">
        <f>+'LDF Trim'!BQ144</f>
        <v>0</v>
      </c>
      <c r="E137" s="784">
        <f>+'LDF Trim'!BR144</f>
        <v>0</v>
      </c>
      <c r="F137" s="784">
        <f>+'LDF Trim'!BS144</f>
        <v>0</v>
      </c>
      <c r="G137" s="717">
        <f t="shared" si="16"/>
        <v>0</v>
      </c>
    </row>
    <row r="138" spans="1:7">
      <c r="A138" s="768" t="s">
        <v>1376</v>
      </c>
      <c r="B138" s="784">
        <f>+'LDF Trim'!BO145</f>
        <v>0</v>
      </c>
      <c r="C138" s="784">
        <f>+'LDF Trim'!BP145</f>
        <v>0</v>
      </c>
      <c r="D138" s="784">
        <f>+'LDF Trim'!BQ145</f>
        <v>0</v>
      </c>
      <c r="E138" s="784">
        <f>+'LDF Trim'!BR145</f>
        <v>0</v>
      </c>
      <c r="F138" s="784">
        <f>+'LDF Trim'!BS145</f>
        <v>0</v>
      </c>
      <c r="G138" s="717">
        <f t="shared" si="16"/>
        <v>0</v>
      </c>
    </row>
    <row r="139" spans="1:7">
      <c r="A139" s="768" t="s">
        <v>1379</v>
      </c>
      <c r="B139" s="784">
        <f>+'LDF Trim'!BO146</f>
        <v>0</v>
      </c>
      <c r="C139" s="784">
        <f>+'LDF Trim'!BP146</f>
        <v>0</v>
      </c>
      <c r="D139" s="784">
        <f>+'LDF Trim'!BQ146</f>
        <v>0</v>
      </c>
      <c r="E139" s="784">
        <f>+'LDF Trim'!BR146</f>
        <v>0</v>
      </c>
      <c r="F139" s="784">
        <f>+'LDF Trim'!BS146</f>
        <v>0</v>
      </c>
      <c r="G139" s="717">
        <f t="shared" si="16"/>
        <v>0</v>
      </c>
    </row>
    <row r="140" spans="1:7">
      <c r="A140" s="768" t="s">
        <v>1381</v>
      </c>
      <c r="B140" s="784">
        <f>+'LDF Trim'!BO147</f>
        <v>0</v>
      </c>
      <c r="C140" s="784">
        <f>+'LDF Trim'!BP147</f>
        <v>0</v>
      </c>
      <c r="D140" s="784">
        <f>+'LDF Trim'!BQ147</f>
        <v>0</v>
      </c>
      <c r="E140" s="784">
        <f>+'LDF Trim'!BR147</f>
        <v>0</v>
      </c>
      <c r="F140" s="784">
        <f>+'LDF Trim'!BS147</f>
        <v>0</v>
      </c>
      <c r="G140" s="717">
        <f t="shared" si="16"/>
        <v>0</v>
      </c>
    </row>
    <row r="141" spans="1:7">
      <c r="A141" s="767" t="s">
        <v>1384</v>
      </c>
      <c r="B141" s="782">
        <f>SUM(B142:B144)</f>
        <v>0</v>
      </c>
      <c r="C141" s="782">
        <f t="shared" ref="C141:F141" si="23">SUM(C142:C144)</f>
        <v>0</v>
      </c>
      <c r="D141" s="782">
        <f t="shared" si="23"/>
        <v>0</v>
      </c>
      <c r="E141" s="782">
        <f t="shared" si="23"/>
        <v>0</v>
      </c>
      <c r="F141" s="782">
        <f t="shared" si="23"/>
        <v>0</v>
      </c>
      <c r="G141" s="715">
        <f t="shared" si="16"/>
        <v>0</v>
      </c>
    </row>
    <row r="142" spans="1:7">
      <c r="A142" s="768" t="s">
        <v>1387</v>
      </c>
      <c r="B142" s="784">
        <f>+'LDF Trim'!BO149</f>
        <v>0</v>
      </c>
      <c r="C142" s="784">
        <f>+'LDF Trim'!BP149</f>
        <v>0</v>
      </c>
      <c r="D142" s="784">
        <f>+'LDF Trim'!BQ149</f>
        <v>0</v>
      </c>
      <c r="E142" s="784">
        <f>+'LDF Trim'!BR149</f>
        <v>0</v>
      </c>
      <c r="F142" s="784">
        <f>+'LDF Trim'!BS149</f>
        <v>0</v>
      </c>
      <c r="G142" s="717">
        <f t="shared" si="16"/>
        <v>0</v>
      </c>
    </row>
    <row r="143" spans="1:7">
      <c r="A143" s="768" t="s">
        <v>1391</v>
      </c>
      <c r="B143" s="784">
        <f>+'LDF Trim'!BO150</f>
        <v>0</v>
      </c>
      <c r="C143" s="784">
        <f>+'LDF Trim'!BP150</f>
        <v>0</v>
      </c>
      <c r="D143" s="784">
        <f>+'LDF Trim'!BQ150</f>
        <v>0</v>
      </c>
      <c r="E143" s="784">
        <f>+'LDF Trim'!BR150</f>
        <v>0</v>
      </c>
      <c r="F143" s="784">
        <f>+'LDF Trim'!BS150</f>
        <v>0</v>
      </c>
      <c r="G143" s="717">
        <f t="shared" si="16"/>
        <v>0</v>
      </c>
    </row>
    <row r="144" spans="1:7">
      <c r="A144" s="768" t="s">
        <v>1394</v>
      </c>
      <c r="B144" s="784">
        <f>+'LDF Trim'!BO151</f>
        <v>0</v>
      </c>
      <c r="C144" s="784">
        <f>+'LDF Trim'!BP151</f>
        <v>0</v>
      </c>
      <c r="D144" s="784">
        <f>+'LDF Trim'!BQ151</f>
        <v>0</v>
      </c>
      <c r="E144" s="784">
        <f>+'LDF Trim'!BR151</f>
        <v>0</v>
      </c>
      <c r="F144" s="784">
        <f>+'LDF Trim'!BS151</f>
        <v>0</v>
      </c>
      <c r="G144" s="717">
        <f t="shared" si="16"/>
        <v>0</v>
      </c>
    </row>
    <row r="145" spans="1:7">
      <c r="A145" s="767" t="s">
        <v>1396</v>
      </c>
      <c r="B145" s="782">
        <f>SUM(B146:B152)</f>
        <v>0</v>
      </c>
      <c r="C145" s="782">
        <f t="shared" ref="C145:F145" si="24">SUM(C146:C152)</f>
        <v>0</v>
      </c>
      <c r="D145" s="782">
        <f t="shared" si="24"/>
        <v>0</v>
      </c>
      <c r="E145" s="782">
        <f t="shared" si="24"/>
        <v>0</v>
      </c>
      <c r="F145" s="782">
        <f t="shared" si="24"/>
        <v>0</v>
      </c>
      <c r="G145" s="715">
        <f t="shared" ref="G145:G152" si="25">D145-E145</f>
        <v>0</v>
      </c>
    </row>
    <row r="146" spans="1:7">
      <c r="A146" s="768" t="s">
        <v>1397</v>
      </c>
      <c r="B146" s="784">
        <f>+'LDF Trim'!BO153</f>
        <v>0</v>
      </c>
      <c r="C146" s="784">
        <f>+'LDF Trim'!BP153</f>
        <v>0</v>
      </c>
      <c r="D146" s="784">
        <f>+'LDF Trim'!BQ153</f>
        <v>0</v>
      </c>
      <c r="E146" s="784">
        <f>+'LDF Trim'!BR153</f>
        <v>0</v>
      </c>
      <c r="F146" s="784">
        <f>+'LDF Trim'!BS153</f>
        <v>0</v>
      </c>
      <c r="G146" s="717">
        <f t="shared" si="25"/>
        <v>0</v>
      </c>
    </row>
    <row r="147" spans="1:7">
      <c r="A147" s="768" t="s">
        <v>1400</v>
      </c>
      <c r="B147" s="784">
        <f>+'LDF Trim'!BO154</f>
        <v>0</v>
      </c>
      <c r="C147" s="784">
        <f>+'LDF Trim'!BP154</f>
        <v>0</v>
      </c>
      <c r="D147" s="784">
        <f>+'LDF Trim'!BQ154</f>
        <v>0</v>
      </c>
      <c r="E147" s="784">
        <f>+'LDF Trim'!BR154</f>
        <v>0</v>
      </c>
      <c r="F147" s="784">
        <f>+'LDF Trim'!BS154</f>
        <v>0</v>
      </c>
      <c r="G147" s="717">
        <f t="shared" si="25"/>
        <v>0</v>
      </c>
    </row>
    <row r="148" spans="1:7">
      <c r="A148" s="768" t="s">
        <v>1403</v>
      </c>
      <c r="B148" s="784">
        <f>+'LDF Trim'!BO155</f>
        <v>0</v>
      </c>
      <c r="C148" s="784">
        <f>+'LDF Trim'!BP155</f>
        <v>0</v>
      </c>
      <c r="D148" s="784">
        <f>+'LDF Trim'!BQ155</f>
        <v>0</v>
      </c>
      <c r="E148" s="784">
        <f>+'LDF Trim'!BR155</f>
        <v>0</v>
      </c>
      <c r="F148" s="784">
        <f>+'LDF Trim'!BS155</f>
        <v>0</v>
      </c>
      <c r="G148" s="717">
        <f t="shared" si="25"/>
        <v>0</v>
      </c>
    </row>
    <row r="149" spans="1:7">
      <c r="A149" s="768" t="s">
        <v>1405</v>
      </c>
      <c r="B149" s="784">
        <f>+'LDF Trim'!BO156</f>
        <v>0</v>
      </c>
      <c r="C149" s="784">
        <f>+'LDF Trim'!BP156</f>
        <v>0</v>
      </c>
      <c r="D149" s="784">
        <f>+'LDF Trim'!BQ156</f>
        <v>0</v>
      </c>
      <c r="E149" s="784">
        <f>+'LDF Trim'!BR156</f>
        <v>0</v>
      </c>
      <c r="F149" s="784">
        <f>+'LDF Trim'!BS156</f>
        <v>0</v>
      </c>
      <c r="G149" s="717">
        <f t="shared" si="25"/>
        <v>0</v>
      </c>
    </row>
    <row r="150" spans="1:7">
      <c r="A150" s="768" t="s">
        <v>1406</v>
      </c>
      <c r="B150" s="784">
        <f>+'LDF Trim'!BO157</f>
        <v>0</v>
      </c>
      <c r="C150" s="784">
        <f>+'LDF Trim'!BP157</f>
        <v>0</v>
      </c>
      <c r="D150" s="784">
        <f>+'LDF Trim'!BQ157</f>
        <v>0</v>
      </c>
      <c r="E150" s="784">
        <f>+'LDF Trim'!BR157</f>
        <v>0</v>
      </c>
      <c r="F150" s="784">
        <f>+'LDF Trim'!BS157</f>
        <v>0</v>
      </c>
      <c r="G150" s="717">
        <f t="shared" si="25"/>
        <v>0</v>
      </c>
    </row>
    <row r="151" spans="1:7">
      <c r="A151" s="768" t="s">
        <v>1408</v>
      </c>
      <c r="B151" s="784">
        <f>+'LDF Trim'!BO158</f>
        <v>0</v>
      </c>
      <c r="C151" s="784">
        <f>+'LDF Trim'!BP158</f>
        <v>0</v>
      </c>
      <c r="D151" s="784">
        <f>+'LDF Trim'!BQ158</f>
        <v>0</v>
      </c>
      <c r="E151" s="784">
        <f>+'LDF Trim'!BR158</f>
        <v>0</v>
      </c>
      <c r="F151" s="784">
        <f>+'LDF Trim'!BS158</f>
        <v>0</v>
      </c>
      <c r="G151" s="717">
        <f t="shared" si="25"/>
        <v>0</v>
      </c>
    </row>
    <row r="152" spans="1:7">
      <c r="A152" s="768" t="s">
        <v>1409</v>
      </c>
      <c r="B152" s="784">
        <f>+'LDF Trim'!BO159</f>
        <v>0</v>
      </c>
      <c r="C152" s="784">
        <f>+'LDF Trim'!BP159</f>
        <v>0</v>
      </c>
      <c r="D152" s="784">
        <f>+'LDF Trim'!BQ159</f>
        <v>0</v>
      </c>
      <c r="E152" s="784">
        <f>+'LDF Trim'!BR159</f>
        <v>0</v>
      </c>
      <c r="F152" s="784">
        <f>+'LDF Trim'!BS159</f>
        <v>0</v>
      </c>
      <c r="G152" s="717">
        <f t="shared" si="25"/>
        <v>0</v>
      </c>
    </row>
    <row r="153" spans="1:7" ht="5.0999999999999996" customHeight="1">
      <c r="A153" s="767"/>
      <c r="B153" s="717"/>
      <c r="C153" s="717"/>
      <c r="D153" s="717"/>
      <c r="E153" s="717"/>
      <c r="F153" s="717"/>
      <c r="G153" s="717"/>
    </row>
    <row r="154" spans="1:7">
      <c r="A154" s="772" t="s">
        <v>1190</v>
      </c>
      <c r="B154" s="715">
        <f>B4+B79</f>
        <v>80405840.510000005</v>
      </c>
      <c r="C154" s="715">
        <f t="shared" ref="C154:G154" si="26">C4+C79</f>
        <v>8457903.8099999987</v>
      </c>
      <c r="D154" s="715">
        <f t="shared" si="26"/>
        <v>88863744.319999993</v>
      </c>
      <c r="E154" s="715">
        <f t="shared" si="26"/>
        <v>86193205.109999985</v>
      </c>
      <c r="F154" s="715">
        <f t="shared" si="26"/>
        <v>84872096.260000005</v>
      </c>
      <c r="G154" s="715">
        <f t="shared" si="26"/>
        <v>2670539.2100000004</v>
      </c>
    </row>
    <row r="155" spans="1:7" ht="5.0999999999999996" customHeight="1">
      <c r="A155" s="785"/>
      <c r="B155" s="724"/>
      <c r="C155" s="724"/>
      <c r="D155" s="724"/>
      <c r="E155" s="724"/>
      <c r="F155" s="724"/>
      <c r="G155" s="724"/>
    </row>
  </sheetData>
  <mergeCells count="2">
    <mergeCell ref="A1:G1"/>
    <mergeCell ref="B2:F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topLeftCell="B1" workbookViewId="0">
      <selection activeCell="A6" sqref="A6:G10"/>
    </sheetView>
  </sheetViews>
  <sheetFormatPr baseColWidth="10" defaultColWidth="12" defaultRowHeight="11.25"/>
  <cols>
    <col min="1" max="1" width="45.7109375" style="709" customWidth="1"/>
    <col min="2" max="7" width="16.7109375" style="709" customWidth="1"/>
    <col min="8" max="16384" width="12" style="709"/>
  </cols>
  <sheetData>
    <row r="1" spans="1:7" ht="56.1" customHeight="1">
      <c r="A1" s="1097" t="s">
        <v>1628</v>
      </c>
      <c r="B1" s="1118"/>
      <c r="C1" s="1118"/>
      <c r="D1" s="1118"/>
      <c r="E1" s="1118"/>
      <c r="F1" s="1118"/>
      <c r="G1" s="1123"/>
    </row>
    <row r="2" spans="1:7">
      <c r="A2" s="786"/>
      <c r="B2" s="1041" t="s">
        <v>1013</v>
      </c>
      <c r="C2" s="1041"/>
      <c r="D2" s="1041"/>
      <c r="E2" s="1041"/>
      <c r="F2" s="1041"/>
      <c r="G2" s="786"/>
    </row>
    <row r="3" spans="1:7" ht="22.5">
      <c r="A3" s="787" t="s">
        <v>1009</v>
      </c>
      <c r="B3" s="578" t="s">
        <v>1625</v>
      </c>
      <c r="C3" s="578" t="s">
        <v>1621</v>
      </c>
      <c r="D3" s="578" t="s">
        <v>358</v>
      </c>
      <c r="E3" s="578" t="s">
        <v>359</v>
      </c>
      <c r="F3" s="578" t="s">
        <v>397</v>
      </c>
      <c r="G3" s="787" t="s">
        <v>1629</v>
      </c>
    </row>
    <row r="4" spans="1:7">
      <c r="A4" s="788" t="s">
        <v>1630</v>
      </c>
      <c r="B4" s="712"/>
      <c r="C4" s="712"/>
      <c r="D4" s="712"/>
      <c r="E4" s="712"/>
      <c r="F4" s="712"/>
      <c r="G4" s="712"/>
    </row>
    <row r="5" spans="1:7">
      <c r="A5" s="729" t="s">
        <v>1631</v>
      </c>
      <c r="B5" s="715">
        <f>SUM(B6:B13)</f>
        <v>80405840.50999999</v>
      </c>
      <c r="C5" s="715">
        <f t="shared" ref="C5:G5" si="0">SUM(C6:C13)</f>
        <v>8457903.8100000024</v>
      </c>
      <c r="D5" s="715">
        <f t="shared" si="0"/>
        <v>88863744.319999993</v>
      </c>
      <c r="E5" s="715">
        <f t="shared" si="0"/>
        <v>86193205.109999999</v>
      </c>
      <c r="F5" s="715">
        <f t="shared" si="0"/>
        <v>84872096.260000005</v>
      </c>
      <c r="G5" s="715">
        <f t="shared" si="0"/>
        <v>2670539.2099999934</v>
      </c>
    </row>
    <row r="6" spans="1:7">
      <c r="A6" s="789" t="str">
        <f>+'LDF Trim'!BZ12</f>
        <v>A. 21115-0100  PRESIDENCIA</v>
      </c>
      <c r="B6" s="717">
        <f>+'LDF Trim'!CA12</f>
        <v>49888057.919999994</v>
      </c>
      <c r="C6" s="717">
        <f>+'LDF Trim'!CB12</f>
        <v>5782459.6500000013</v>
      </c>
      <c r="D6" s="717">
        <f>+'LDF Trim'!CC12</f>
        <v>55670517.569999993</v>
      </c>
      <c r="E6" s="717">
        <f>+'LDF Trim'!CD12</f>
        <v>55670517.57</v>
      </c>
      <c r="F6" s="717">
        <f>+'LDF Trim'!CE12</f>
        <v>55669467.57</v>
      </c>
      <c r="G6" s="717">
        <f>D6-E6</f>
        <v>0</v>
      </c>
    </row>
    <row r="7" spans="1:7">
      <c r="A7" s="789" t="str">
        <f>+'LDF Trim'!BZ13</f>
        <v>B. 21115-0105  DIRECCIÓN ADMINISTRATIVA</v>
      </c>
      <c r="B7" s="717">
        <f>+'LDF Trim'!CA13</f>
        <v>17395331.420000002</v>
      </c>
      <c r="C7" s="717">
        <f>+'LDF Trim'!CB13</f>
        <v>2784672.7800000003</v>
      </c>
      <c r="D7" s="717">
        <f>+'LDF Trim'!CC13</f>
        <v>20180004.200000003</v>
      </c>
      <c r="E7" s="717">
        <f>+'LDF Trim'!CD13</f>
        <v>17509464.99000001</v>
      </c>
      <c r="F7" s="717">
        <f>+'LDF Trim'!CE13</f>
        <v>16189406.140000002</v>
      </c>
      <c r="G7" s="717">
        <f t="shared" ref="G7:G13" si="1">D7-E7</f>
        <v>2670539.2099999934</v>
      </c>
    </row>
    <row r="8" spans="1:7">
      <c r="A8" s="789" t="str">
        <f>+'LDF Trim'!BZ14</f>
        <v>C. 21115-0107  INST.DEF. DE OFICIO</v>
      </c>
      <c r="B8" s="717">
        <f>+'LDF Trim'!CA14</f>
        <v>8213662.959999999</v>
      </c>
      <c r="C8" s="717">
        <f>+'LDF Trim'!CB14</f>
        <v>-310264.88</v>
      </c>
      <c r="D8" s="717">
        <f>+'LDF Trim'!CC14</f>
        <v>7903398.0799999991</v>
      </c>
      <c r="E8" s="717">
        <f>+'LDF Trim'!CD14</f>
        <v>7903398.080000001</v>
      </c>
      <c r="F8" s="717">
        <f>+'LDF Trim'!CE14</f>
        <v>7903398.080000001</v>
      </c>
      <c r="G8" s="717">
        <f t="shared" si="1"/>
        <v>0</v>
      </c>
    </row>
    <row r="9" spans="1:7">
      <c r="A9" s="789" t="str">
        <f>+'LDF Trim'!BZ15</f>
        <v>D. 21115-0110  INST. JUD. ADMVA.</v>
      </c>
      <c r="B9" s="717">
        <f>+'LDF Trim'!CA15</f>
        <v>3308984.8499999996</v>
      </c>
      <c r="C9" s="717">
        <f>+'LDF Trim'!CB15</f>
        <v>400554.9200000001</v>
      </c>
      <c r="D9" s="717">
        <f>+'LDF Trim'!CC15</f>
        <v>3709539.7699999996</v>
      </c>
      <c r="E9" s="717">
        <f>+'LDF Trim'!CD15</f>
        <v>3709539.77</v>
      </c>
      <c r="F9" s="717">
        <f>+'LDF Trim'!CE15</f>
        <v>3709539.77</v>
      </c>
      <c r="G9" s="717">
        <f t="shared" si="1"/>
        <v>0</v>
      </c>
    </row>
    <row r="10" spans="1:7">
      <c r="A10" s="789" t="str">
        <f>+'LDF Trim'!BZ16</f>
        <v>E. 21115-0111  AUDITORIA INTERNA</v>
      </c>
      <c r="B10" s="717">
        <f>+'LDF Trim'!CA16</f>
        <v>1599803.36</v>
      </c>
      <c r="C10" s="717">
        <f>+'LDF Trim'!CB16</f>
        <v>-199518.66</v>
      </c>
      <c r="D10" s="717">
        <f>+'LDF Trim'!CC16</f>
        <v>1400284.7000000002</v>
      </c>
      <c r="E10" s="717">
        <f>+'LDF Trim'!CD16</f>
        <v>1400284.7000000002</v>
      </c>
      <c r="F10" s="717">
        <f>+'LDF Trim'!CE16</f>
        <v>1400284.7000000002</v>
      </c>
      <c r="G10" s="717">
        <f t="shared" si="1"/>
        <v>0</v>
      </c>
    </row>
    <row r="11" spans="1:7">
      <c r="A11" s="789" t="str">
        <f>+'LDF Trim'!BZ17</f>
        <v>F. Dependencia o Unidad Administrativa 6</v>
      </c>
      <c r="B11" s="717">
        <f>+'LDF Trim'!CA17</f>
        <v>0</v>
      </c>
      <c r="C11" s="717">
        <f>+'LDF Trim'!CB17</f>
        <v>0</v>
      </c>
      <c r="D11" s="717">
        <f>+'LDF Trim'!CC17</f>
        <v>0</v>
      </c>
      <c r="E11" s="717">
        <f>+'LDF Trim'!CD17</f>
        <v>0</v>
      </c>
      <c r="F11" s="717">
        <f>+'LDF Trim'!CE17</f>
        <v>0</v>
      </c>
      <c r="G11" s="717">
        <f t="shared" si="1"/>
        <v>0</v>
      </c>
    </row>
    <row r="12" spans="1:7">
      <c r="A12" s="789" t="str">
        <f>+'LDF Trim'!BZ18</f>
        <v>G. Dependencia o Unidad Administrativa 7</v>
      </c>
      <c r="B12" s="717">
        <f>+'LDF Trim'!CA18</f>
        <v>0</v>
      </c>
      <c r="C12" s="717">
        <f>+'LDF Trim'!CB18</f>
        <v>0</v>
      </c>
      <c r="D12" s="717">
        <f>+'LDF Trim'!CC18</f>
        <v>0</v>
      </c>
      <c r="E12" s="717">
        <f>+'LDF Trim'!CD18</f>
        <v>0</v>
      </c>
      <c r="F12" s="717">
        <f>+'LDF Trim'!CE18</f>
        <v>0</v>
      </c>
      <c r="G12" s="717">
        <f t="shared" si="1"/>
        <v>0</v>
      </c>
    </row>
    <row r="13" spans="1:7">
      <c r="A13" s="789" t="str">
        <f>+'LDF Trim'!BZ19</f>
        <v>H. Dependencia o Unidad Administrativa xx</v>
      </c>
      <c r="B13" s="717">
        <f>+'LDF Trim'!CA19</f>
        <v>0</v>
      </c>
      <c r="C13" s="717">
        <f>+'LDF Trim'!CB19</f>
        <v>0</v>
      </c>
      <c r="D13" s="717">
        <f>+'LDF Trim'!CC19</f>
        <v>0</v>
      </c>
      <c r="E13" s="717">
        <f>+'LDF Trim'!CD19</f>
        <v>0</v>
      </c>
      <c r="F13" s="717">
        <f>+'LDF Trim'!CE19</f>
        <v>0</v>
      </c>
      <c r="G13" s="717">
        <f t="shared" si="1"/>
        <v>0</v>
      </c>
    </row>
    <row r="14" spans="1:7" ht="5.0999999999999996" customHeight="1">
      <c r="A14" s="789"/>
      <c r="B14" s="717"/>
      <c r="C14" s="717"/>
      <c r="D14" s="717"/>
      <c r="E14" s="717"/>
      <c r="F14" s="717"/>
      <c r="G14" s="717"/>
    </row>
    <row r="15" spans="1:7">
      <c r="A15" s="737" t="s">
        <v>1632</v>
      </c>
      <c r="B15" s="717"/>
      <c r="C15" s="717"/>
      <c r="D15" s="717"/>
      <c r="E15" s="717"/>
      <c r="F15" s="717"/>
      <c r="G15" s="717"/>
    </row>
    <row r="16" spans="1:7">
      <c r="A16" s="737" t="s">
        <v>1633</v>
      </c>
      <c r="B16" s="715">
        <f>SUM(B17:B24)</f>
        <v>0</v>
      </c>
      <c r="C16" s="715">
        <f t="shared" ref="C16:G16" si="2">SUM(C17:C24)</f>
        <v>0</v>
      </c>
      <c r="D16" s="715">
        <f t="shared" si="2"/>
        <v>0</v>
      </c>
      <c r="E16" s="715">
        <f t="shared" si="2"/>
        <v>0</v>
      </c>
      <c r="F16" s="715">
        <f t="shared" si="2"/>
        <v>0</v>
      </c>
      <c r="G16" s="715">
        <f t="shared" si="2"/>
        <v>0</v>
      </c>
    </row>
    <row r="17" spans="1:7">
      <c r="A17" s="789" t="str">
        <f>+'LDF Trim'!BZ22</f>
        <v>A. Dependencia o Unidad Administrativa 1</v>
      </c>
      <c r="B17" s="717">
        <f>+'LDF Trim'!CA22</f>
        <v>0</v>
      </c>
      <c r="C17" s="717">
        <f>+'LDF Trim'!CB22</f>
        <v>0</v>
      </c>
      <c r="D17" s="717">
        <f>+'LDF Trim'!CC22</f>
        <v>0</v>
      </c>
      <c r="E17" s="717">
        <f>+'LDF Trim'!CD22</f>
        <v>0</v>
      </c>
      <c r="F17" s="717">
        <f>+'LDF Trim'!CE22</f>
        <v>0</v>
      </c>
      <c r="G17" s="717">
        <f t="shared" ref="G17:G24" si="3">D17-E17</f>
        <v>0</v>
      </c>
    </row>
    <row r="18" spans="1:7">
      <c r="A18" s="789" t="str">
        <f>+'LDF Trim'!BZ23</f>
        <v>B. Dependencia o Unidad Administrativa 2</v>
      </c>
      <c r="B18" s="717">
        <f>+'LDF Trim'!CA23</f>
        <v>0</v>
      </c>
      <c r="C18" s="717">
        <f>+'LDF Trim'!CB23</f>
        <v>0</v>
      </c>
      <c r="D18" s="717">
        <f>+'LDF Trim'!CC23</f>
        <v>0</v>
      </c>
      <c r="E18" s="717">
        <f>+'LDF Trim'!CD23</f>
        <v>0</v>
      </c>
      <c r="F18" s="717">
        <f>+'LDF Trim'!CE23</f>
        <v>0</v>
      </c>
      <c r="G18" s="717">
        <f t="shared" si="3"/>
        <v>0</v>
      </c>
    </row>
    <row r="19" spans="1:7">
      <c r="A19" s="789" t="str">
        <f>+'LDF Trim'!BZ24</f>
        <v>C. Dependencia o Unidad Administrativa 3</v>
      </c>
      <c r="B19" s="717">
        <f>+'LDF Trim'!CA24</f>
        <v>0</v>
      </c>
      <c r="C19" s="717">
        <f>+'LDF Trim'!CB24</f>
        <v>0</v>
      </c>
      <c r="D19" s="717">
        <f>+'LDF Trim'!CC24</f>
        <v>0</v>
      </c>
      <c r="E19" s="717">
        <f>+'LDF Trim'!CD24</f>
        <v>0</v>
      </c>
      <c r="F19" s="717">
        <f>+'LDF Trim'!CE24</f>
        <v>0</v>
      </c>
      <c r="G19" s="717">
        <f t="shared" si="3"/>
        <v>0</v>
      </c>
    </row>
    <row r="20" spans="1:7">
      <c r="A20" s="789" t="str">
        <f>+'LDF Trim'!BZ25</f>
        <v>D. Dependencia o Unidad Administrativa 4</v>
      </c>
      <c r="B20" s="717">
        <f>+'LDF Trim'!CA25</f>
        <v>0</v>
      </c>
      <c r="C20" s="717">
        <f>+'LDF Trim'!CB25</f>
        <v>0</v>
      </c>
      <c r="D20" s="717">
        <f>+'LDF Trim'!CC25</f>
        <v>0</v>
      </c>
      <c r="E20" s="717">
        <f>+'LDF Trim'!CD25</f>
        <v>0</v>
      </c>
      <c r="F20" s="717">
        <f>+'LDF Trim'!CE25</f>
        <v>0</v>
      </c>
      <c r="G20" s="717">
        <f t="shared" si="3"/>
        <v>0</v>
      </c>
    </row>
    <row r="21" spans="1:7">
      <c r="A21" s="789" t="str">
        <f>+'LDF Trim'!BZ26</f>
        <v>E. Dependencia o Unidad Administrativa 5</v>
      </c>
      <c r="B21" s="717">
        <f>+'LDF Trim'!CA26</f>
        <v>0</v>
      </c>
      <c r="C21" s="717">
        <f>+'LDF Trim'!CB26</f>
        <v>0</v>
      </c>
      <c r="D21" s="717">
        <f>+'LDF Trim'!CC26</f>
        <v>0</v>
      </c>
      <c r="E21" s="717">
        <f>+'LDF Trim'!CD26</f>
        <v>0</v>
      </c>
      <c r="F21" s="717">
        <f>+'LDF Trim'!CE26</f>
        <v>0</v>
      </c>
      <c r="G21" s="717">
        <f t="shared" si="3"/>
        <v>0</v>
      </c>
    </row>
    <row r="22" spans="1:7">
      <c r="A22" s="789" t="str">
        <f>+'LDF Trim'!BZ27</f>
        <v>F. Dependencia o Unidad Administrativa 6</v>
      </c>
      <c r="B22" s="717">
        <f>+'LDF Trim'!CA27</f>
        <v>0</v>
      </c>
      <c r="C22" s="717">
        <f>+'LDF Trim'!CB27</f>
        <v>0</v>
      </c>
      <c r="D22" s="717">
        <f>+'LDF Trim'!CC27</f>
        <v>0</v>
      </c>
      <c r="E22" s="717">
        <f>+'LDF Trim'!CD27</f>
        <v>0</v>
      </c>
      <c r="F22" s="717">
        <f>+'LDF Trim'!CE27</f>
        <v>0</v>
      </c>
      <c r="G22" s="717">
        <f t="shared" si="3"/>
        <v>0</v>
      </c>
    </row>
    <row r="23" spans="1:7">
      <c r="A23" s="789" t="str">
        <f>+'LDF Trim'!BZ28</f>
        <v>G. Dependencia o Unidad Administrativa 7</v>
      </c>
      <c r="B23" s="717">
        <f>+'LDF Trim'!CA28</f>
        <v>0</v>
      </c>
      <c r="C23" s="717">
        <f>+'LDF Trim'!CB28</f>
        <v>0</v>
      </c>
      <c r="D23" s="717">
        <f>+'LDF Trim'!CC28</f>
        <v>0</v>
      </c>
      <c r="E23" s="717">
        <f>+'LDF Trim'!CD28</f>
        <v>0</v>
      </c>
      <c r="F23" s="717">
        <f>+'LDF Trim'!CE28</f>
        <v>0</v>
      </c>
      <c r="G23" s="717">
        <f t="shared" si="3"/>
        <v>0</v>
      </c>
    </row>
    <row r="24" spans="1:7">
      <c r="A24" s="789" t="str">
        <f>+'LDF Trim'!BZ29</f>
        <v>H. Dependencia o Unidad Administrativa xx</v>
      </c>
      <c r="B24" s="717">
        <f>+'LDF Trim'!CA29</f>
        <v>0</v>
      </c>
      <c r="C24" s="717">
        <f>+'LDF Trim'!CB29</f>
        <v>0</v>
      </c>
      <c r="D24" s="717">
        <f>+'LDF Trim'!CC29</f>
        <v>0</v>
      </c>
      <c r="E24" s="717">
        <f>+'LDF Trim'!CD29</f>
        <v>0</v>
      </c>
      <c r="F24" s="717">
        <f>+'LDF Trim'!CE29</f>
        <v>0</v>
      </c>
      <c r="G24" s="717">
        <f t="shared" si="3"/>
        <v>0</v>
      </c>
    </row>
    <row r="25" spans="1:7" ht="5.0999999999999996" customHeight="1">
      <c r="A25" s="733"/>
      <c r="B25" s="717"/>
      <c r="C25" s="717"/>
      <c r="D25" s="717"/>
      <c r="E25" s="717"/>
      <c r="F25" s="717"/>
      <c r="G25" s="717"/>
    </row>
    <row r="26" spans="1:7">
      <c r="A26" s="729" t="s">
        <v>1190</v>
      </c>
      <c r="B26" s="715">
        <f>B5+B16</f>
        <v>80405840.50999999</v>
      </c>
      <c r="C26" s="715">
        <f t="shared" ref="C26:G26" si="4">C5+C16</f>
        <v>8457903.8100000024</v>
      </c>
      <c r="D26" s="715">
        <f t="shared" si="4"/>
        <v>88863744.319999993</v>
      </c>
      <c r="E26" s="715">
        <f t="shared" si="4"/>
        <v>86193205.109999999</v>
      </c>
      <c r="F26" s="715">
        <f t="shared" si="4"/>
        <v>84872096.260000005</v>
      </c>
      <c r="G26" s="715">
        <f t="shared" si="4"/>
        <v>2670539.2099999934</v>
      </c>
    </row>
    <row r="27" spans="1:7" ht="5.0999999999999996" customHeight="1">
      <c r="A27" s="734"/>
      <c r="B27" s="724"/>
      <c r="C27" s="724"/>
      <c r="D27" s="724"/>
      <c r="E27" s="724"/>
      <c r="F27" s="724"/>
      <c r="G27" s="724"/>
    </row>
  </sheetData>
  <mergeCells count="2">
    <mergeCell ref="A1:G1"/>
    <mergeCell ref="B2:F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
  <sheetViews>
    <sheetView workbookViewId="0">
      <selection activeCell="B8" sqref="B8:G8"/>
    </sheetView>
  </sheetViews>
  <sheetFormatPr baseColWidth="10" defaultColWidth="12" defaultRowHeight="11.25"/>
  <cols>
    <col min="1" max="1" width="65.7109375" style="739" customWidth="1"/>
    <col min="2" max="7" width="17.7109375" style="709" customWidth="1"/>
    <col min="8" max="16384" width="12" style="709"/>
  </cols>
  <sheetData>
    <row r="1" spans="1:7" ht="45.95" customHeight="1">
      <c r="A1" s="1097" t="s">
        <v>1634</v>
      </c>
      <c r="B1" s="1098"/>
      <c r="C1" s="1098"/>
      <c r="D1" s="1098"/>
      <c r="E1" s="1098"/>
      <c r="F1" s="1098"/>
      <c r="G1" s="1099"/>
    </row>
    <row r="2" spans="1:7" ht="12" customHeight="1">
      <c r="A2" s="871"/>
      <c r="B2" s="1041" t="s">
        <v>1013</v>
      </c>
      <c r="C2" s="1041"/>
      <c r="D2" s="1041"/>
      <c r="E2" s="1041"/>
      <c r="F2" s="1041"/>
      <c r="G2" s="786"/>
    </row>
    <row r="3" spans="1:7" ht="22.5">
      <c r="A3" s="763" t="s">
        <v>1009</v>
      </c>
      <c r="B3" s="578" t="s">
        <v>1625</v>
      </c>
      <c r="C3" s="578" t="s">
        <v>1626</v>
      </c>
      <c r="D3" s="578" t="s">
        <v>1023</v>
      </c>
      <c r="E3" s="578" t="s">
        <v>359</v>
      </c>
      <c r="F3" s="578" t="s">
        <v>397</v>
      </c>
      <c r="G3" s="787" t="s">
        <v>1627</v>
      </c>
    </row>
    <row r="4" spans="1:7" ht="5.0999999999999996" customHeight="1">
      <c r="A4" s="892"/>
      <c r="B4" s="712"/>
      <c r="C4" s="712"/>
      <c r="D4" s="712"/>
      <c r="E4" s="712"/>
      <c r="F4" s="712"/>
      <c r="G4" s="712"/>
    </row>
    <row r="5" spans="1:7">
      <c r="A5" s="766" t="s">
        <v>1029</v>
      </c>
      <c r="B5" s="715">
        <f>B6+B16+B25+B36</f>
        <v>80405840.509999976</v>
      </c>
      <c r="C5" s="715">
        <f t="shared" ref="C5:G5" si="0">C6+C16+C25+C36</f>
        <v>8457903.8100000042</v>
      </c>
      <c r="D5" s="715">
        <f t="shared" si="0"/>
        <v>88863744.319999978</v>
      </c>
      <c r="E5" s="715">
        <f t="shared" si="0"/>
        <v>86193205.110000029</v>
      </c>
      <c r="F5" s="715">
        <f t="shared" si="0"/>
        <v>84872096.260000035</v>
      </c>
      <c r="G5" s="715">
        <f t="shared" si="0"/>
        <v>2670539.2099999487</v>
      </c>
    </row>
    <row r="6" spans="1:7">
      <c r="A6" s="766" t="s">
        <v>1038</v>
      </c>
      <c r="B6" s="715">
        <f>SUM(B7:B14)</f>
        <v>80405840.509999976</v>
      </c>
      <c r="C6" s="715">
        <f t="shared" ref="C6:G6" si="1">SUM(C7:C14)</f>
        <v>8457903.8100000042</v>
      </c>
      <c r="D6" s="715">
        <f t="shared" si="1"/>
        <v>88863744.319999978</v>
      </c>
      <c r="E6" s="715">
        <f t="shared" si="1"/>
        <v>86193205.110000029</v>
      </c>
      <c r="F6" s="715">
        <f t="shared" si="1"/>
        <v>84872096.260000035</v>
      </c>
      <c r="G6" s="715">
        <f t="shared" si="1"/>
        <v>2670539.2099999487</v>
      </c>
    </row>
    <row r="7" spans="1:7">
      <c r="A7" s="893" t="s">
        <v>1047</v>
      </c>
      <c r="B7" s="717">
        <f>+'LDF Trim'!CM13</f>
        <v>0</v>
      </c>
      <c r="C7" s="717">
        <f>+'LDF Trim'!CN13</f>
        <v>0</v>
      </c>
      <c r="D7" s="717">
        <f>+'LDF Trim'!CO13</f>
        <v>0</v>
      </c>
      <c r="E7" s="717">
        <f>+'LDF Trim'!CP13</f>
        <v>0</v>
      </c>
      <c r="F7" s="717">
        <f>+'LDF Trim'!CQ13</f>
        <v>0</v>
      </c>
      <c r="G7" s="717">
        <f>D7-E7</f>
        <v>0</v>
      </c>
    </row>
    <row r="8" spans="1:7">
      <c r="A8" s="893" t="s">
        <v>1057</v>
      </c>
      <c r="B8" s="717">
        <f>+'LDF Trim'!CM14</f>
        <v>80405840.509999976</v>
      </c>
      <c r="C8" s="717">
        <f>+'LDF Trim'!CN14</f>
        <v>8457903.8100000042</v>
      </c>
      <c r="D8" s="717">
        <f>+'LDF Trim'!CO14</f>
        <v>88863744.319999978</v>
      </c>
      <c r="E8" s="717">
        <f>+'LDF Trim'!CP14</f>
        <v>86193205.110000029</v>
      </c>
      <c r="F8" s="717">
        <f>+'LDF Trim'!CQ14</f>
        <v>84872096.260000035</v>
      </c>
      <c r="G8" s="717">
        <f t="shared" ref="G8:G40" si="2">D8-E8</f>
        <v>2670539.2099999487</v>
      </c>
    </row>
    <row r="9" spans="1:7">
      <c r="A9" s="893" t="s">
        <v>1065</v>
      </c>
      <c r="B9" s="717">
        <f>+'LDF Trim'!CM15</f>
        <v>0</v>
      </c>
      <c r="C9" s="717">
        <f>+'LDF Trim'!CN15</f>
        <v>0</v>
      </c>
      <c r="D9" s="717">
        <f>+'LDF Trim'!CO15</f>
        <v>0</v>
      </c>
      <c r="E9" s="717">
        <f>+'LDF Trim'!CP15</f>
        <v>0</v>
      </c>
      <c r="F9" s="717">
        <f>+'LDF Trim'!CQ15</f>
        <v>0</v>
      </c>
      <c r="G9" s="717">
        <f t="shared" si="2"/>
        <v>0</v>
      </c>
    </row>
    <row r="10" spans="1:7">
      <c r="A10" s="893" t="s">
        <v>1074</v>
      </c>
      <c r="B10" s="717">
        <f>+'LDF Trim'!CM16</f>
        <v>0</v>
      </c>
      <c r="C10" s="717">
        <f>+'LDF Trim'!CN16</f>
        <v>0</v>
      </c>
      <c r="D10" s="717">
        <f>+'LDF Trim'!CO16</f>
        <v>0</v>
      </c>
      <c r="E10" s="717">
        <f>+'LDF Trim'!CP16</f>
        <v>0</v>
      </c>
      <c r="F10" s="717">
        <f>+'LDF Trim'!CQ16</f>
        <v>0</v>
      </c>
      <c r="G10" s="717">
        <f t="shared" si="2"/>
        <v>0</v>
      </c>
    </row>
    <row r="11" spans="1:7">
      <c r="A11" s="893" t="s">
        <v>1083</v>
      </c>
      <c r="B11" s="717">
        <f>+'LDF Trim'!CM17</f>
        <v>0</v>
      </c>
      <c r="C11" s="717">
        <f>+'LDF Trim'!CN17</f>
        <v>0</v>
      </c>
      <c r="D11" s="717">
        <f>+'LDF Trim'!CO17</f>
        <v>0</v>
      </c>
      <c r="E11" s="717">
        <f>+'LDF Trim'!CP17</f>
        <v>0</v>
      </c>
      <c r="F11" s="717">
        <f>+'LDF Trim'!CQ17</f>
        <v>0</v>
      </c>
      <c r="G11" s="717">
        <f t="shared" si="2"/>
        <v>0</v>
      </c>
    </row>
    <row r="12" spans="1:7">
      <c r="A12" s="893" t="s">
        <v>1093</v>
      </c>
      <c r="B12" s="717">
        <f>+'LDF Trim'!CM18</f>
        <v>0</v>
      </c>
      <c r="C12" s="717">
        <f>+'LDF Trim'!CN18</f>
        <v>0</v>
      </c>
      <c r="D12" s="717">
        <f>+'LDF Trim'!CO18</f>
        <v>0</v>
      </c>
      <c r="E12" s="717">
        <f>+'LDF Trim'!CP18</f>
        <v>0</v>
      </c>
      <c r="F12" s="717">
        <f>+'LDF Trim'!CQ18</f>
        <v>0</v>
      </c>
      <c r="G12" s="717">
        <f t="shared" si="2"/>
        <v>0</v>
      </c>
    </row>
    <row r="13" spans="1:7">
      <c r="A13" s="893" t="s">
        <v>1102</v>
      </c>
      <c r="B13" s="717">
        <f>+'LDF Trim'!CM19</f>
        <v>0</v>
      </c>
      <c r="C13" s="717">
        <f>+'LDF Trim'!CN19</f>
        <v>0</v>
      </c>
      <c r="D13" s="717">
        <f>+'LDF Trim'!CO19</f>
        <v>0</v>
      </c>
      <c r="E13" s="717">
        <f>+'LDF Trim'!CP19</f>
        <v>0</v>
      </c>
      <c r="F13" s="717">
        <f>+'LDF Trim'!CQ19</f>
        <v>0</v>
      </c>
      <c r="G13" s="717">
        <f t="shared" si="2"/>
        <v>0</v>
      </c>
    </row>
    <row r="14" spans="1:7">
      <c r="A14" s="893" t="s">
        <v>1111</v>
      </c>
      <c r="B14" s="717">
        <f>+'LDF Trim'!CM20</f>
        <v>0</v>
      </c>
      <c r="C14" s="717">
        <f>+'LDF Trim'!CN20</f>
        <v>0</v>
      </c>
      <c r="D14" s="717">
        <f>+'LDF Trim'!CO20</f>
        <v>0</v>
      </c>
      <c r="E14" s="717">
        <f>+'LDF Trim'!CP20</f>
        <v>0</v>
      </c>
      <c r="F14" s="717">
        <f>+'LDF Trim'!CQ20</f>
        <v>0</v>
      </c>
      <c r="G14" s="717">
        <f t="shared" si="2"/>
        <v>0</v>
      </c>
    </row>
    <row r="15" spans="1:7" ht="5.0999999999999996" customHeight="1">
      <c r="A15" s="766"/>
      <c r="B15" s="715"/>
      <c r="C15" s="715"/>
      <c r="D15" s="715"/>
      <c r="E15" s="715"/>
      <c r="F15" s="715"/>
      <c r="G15" s="715"/>
    </row>
    <row r="16" spans="1:7">
      <c r="A16" s="766" t="s">
        <v>1129</v>
      </c>
      <c r="B16" s="715">
        <f>SUM(B17:B23)</f>
        <v>0</v>
      </c>
      <c r="C16" s="715">
        <f t="shared" ref="C16:F16" si="3">SUM(C17:C23)</f>
        <v>0</v>
      </c>
      <c r="D16" s="715">
        <f t="shared" si="3"/>
        <v>0</v>
      </c>
      <c r="E16" s="715">
        <f t="shared" si="3"/>
        <v>0</v>
      </c>
      <c r="F16" s="715">
        <f t="shared" si="3"/>
        <v>0</v>
      </c>
      <c r="G16" s="715">
        <f t="shared" si="2"/>
        <v>0</v>
      </c>
    </row>
    <row r="17" spans="1:7">
      <c r="A17" s="893" t="s">
        <v>1136</v>
      </c>
      <c r="B17" s="717">
        <f>+'LDF Trim'!CM23</f>
        <v>0</v>
      </c>
      <c r="C17" s="717">
        <f>+'LDF Trim'!CN23</f>
        <v>0</v>
      </c>
      <c r="D17" s="717">
        <f>+'LDF Trim'!CO23</f>
        <v>0</v>
      </c>
      <c r="E17" s="717">
        <f>+'LDF Trim'!CP23</f>
        <v>0</v>
      </c>
      <c r="F17" s="717">
        <f>+'LDF Trim'!CQ23</f>
        <v>0</v>
      </c>
      <c r="G17" s="717">
        <f t="shared" si="2"/>
        <v>0</v>
      </c>
    </row>
    <row r="18" spans="1:7">
      <c r="A18" s="893" t="s">
        <v>1145</v>
      </c>
      <c r="B18" s="717">
        <f>+'LDF Trim'!CM24</f>
        <v>0</v>
      </c>
      <c r="C18" s="717">
        <f>+'LDF Trim'!CN24</f>
        <v>0</v>
      </c>
      <c r="D18" s="717">
        <f>+'LDF Trim'!CO24</f>
        <v>0</v>
      </c>
      <c r="E18" s="717">
        <f>+'LDF Trim'!CP24</f>
        <v>0</v>
      </c>
      <c r="F18" s="717">
        <f>+'LDF Trim'!CQ24</f>
        <v>0</v>
      </c>
      <c r="G18" s="717">
        <f t="shared" si="2"/>
        <v>0</v>
      </c>
    </row>
    <row r="19" spans="1:7">
      <c r="A19" s="893" t="s">
        <v>1153</v>
      </c>
      <c r="B19" s="717">
        <f>+'LDF Trim'!CM25</f>
        <v>0</v>
      </c>
      <c r="C19" s="717">
        <f>+'LDF Trim'!CN25</f>
        <v>0</v>
      </c>
      <c r="D19" s="717">
        <f>+'LDF Trim'!CO25</f>
        <v>0</v>
      </c>
      <c r="E19" s="717">
        <f>+'LDF Trim'!CP25</f>
        <v>0</v>
      </c>
      <c r="F19" s="717">
        <f>+'LDF Trim'!CQ25</f>
        <v>0</v>
      </c>
      <c r="G19" s="717">
        <f t="shared" si="2"/>
        <v>0</v>
      </c>
    </row>
    <row r="20" spans="1:7">
      <c r="A20" s="893" t="s">
        <v>1161</v>
      </c>
      <c r="B20" s="717">
        <f>+'LDF Trim'!CM26</f>
        <v>0</v>
      </c>
      <c r="C20" s="717">
        <f>+'LDF Trim'!CN26</f>
        <v>0</v>
      </c>
      <c r="D20" s="717">
        <f>+'LDF Trim'!CO26</f>
        <v>0</v>
      </c>
      <c r="E20" s="717">
        <f>+'LDF Trim'!CP26</f>
        <v>0</v>
      </c>
      <c r="F20" s="717">
        <f>+'LDF Trim'!CQ26</f>
        <v>0</v>
      </c>
      <c r="G20" s="717">
        <f t="shared" si="2"/>
        <v>0</v>
      </c>
    </row>
    <row r="21" spans="1:7">
      <c r="A21" s="893" t="s">
        <v>1167</v>
      </c>
      <c r="B21" s="717">
        <f>+'LDF Trim'!CM27</f>
        <v>0</v>
      </c>
      <c r="C21" s="717">
        <f>+'LDF Trim'!CN27</f>
        <v>0</v>
      </c>
      <c r="D21" s="717">
        <f>+'LDF Trim'!CO27</f>
        <v>0</v>
      </c>
      <c r="E21" s="717">
        <f>+'LDF Trim'!CP27</f>
        <v>0</v>
      </c>
      <c r="F21" s="717">
        <f>+'LDF Trim'!CQ27</f>
        <v>0</v>
      </c>
      <c r="G21" s="717">
        <f t="shared" si="2"/>
        <v>0</v>
      </c>
    </row>
    <row r="22" spans="1:7">
      <c r="A22" s="893" t="s">
        <v>1173</v>
      </c>
      <c r="B22" s="717">
        <f>+'LDF Trim'!CM28</f>
        <v>0</v>
      </c>
      <c r="C22" s="717">
        <f>+'LDF Trim'!CN28</f>
        <v>0</v>
      </c>
      <c r="D22" s="717">
        <f>+'LDF Trim'!CO28</f>
        <v>0</v>
      </c>
      <c r="E22" s="717">
        <f>+'LDF Trim'!CP28</f>
        <v>0</v>
      </c>
      <c r="F22" s="717">
        <f>+'LDF Trim'!CQ28</f>
        <v>0</v>
      </c>
      <c r="G22" s="717">
        <f t="shared" si="2"/>
        <v>0</v>
      </c>
    </row>
    <row r="23" spans="1:7">
      <c r="A23" s="893" t="s">
        <v>1178</v>
      </c>
      <c r="B23" s="717">
        <f>+'LDF Trim'!CM29</f>
        <v>0</v>
      </c>
      <c r="C23" s="717">
        <f>+'LDF Trim'!CN29</f>
        <v>0</v>
      </c>
      <c r="D23" s="717">
        <f>+'LDF Trim'!CO29</f>
        <v>0</v>
      </c>
      <c r="E23" s="717">
        <f>+'LDF Trim'!CP29</f>
        <v>0</v>
      </c>
      <c r="F23" s="717">
        <f>+'LDF Trim'!CQ29</f>
        <v>0</v>
      </c>
      <c r="G23" s="717">
        <f t="shared" si="2"/>
        <v>0</v>
      </c>
    </row>
    <row r="24" spans="1:7" ht="5.0999999999999996" customHeight="1">
      <c r="A24" s="766"/>
      <c r="B24" s="715"/>
      <c r="C24" s="715"/>
      <c r="D24" s="715"/>
      <c r="E24" s="715"/>
      <c r="F24" s="715"/>
      <c r="G24" s="715"/>
    </row>
    <row r="25" spans="1:7">
      <c r="A25" s="766" t="s">
        <v>1191</v>
      </c>
      <c r="B25" s="715">
        <f>SUM(B26:B34)</f>
        <v>0</v>
      </c>
      <c r="C25" s="715">
        <f t="shared" ref="C25:F25" si="4">SUM(C26:C34)</f>
        <v>0</v>
      </c>
      <c r="D25" s="715">
        <f t="shared" si="4"/>
        <v>0</v>
      </c>
      <c r="E25" s="715">
        <f t="shared" si="4"/>
        <v>0</v>
      </c>
      <c r="F25" s="715">
        <f t="shared" si="4"/>
        <v>0</v>
      </c>
      <c r="G25" s="715">
        <f t="shared" si="2"/>
        <v>0</v>
      </c>
    </row>
    <row r="26" spans="1:7">
      <c r="A26" s="893" t="s">
        <v>1198</v>
      </c>
      <c r="B26" s="717">
        <f>+'LDF Trim'!CM32</f>
        <v>0</v>
      </c>
      <c r="C26" s="717">
        <f>+'LDF Trim'!CN32</f>
        <v>0</v>
      </c>
      <c r="D26" s="717">
        <f>+'LDF Trim'!CO32</f>
        <v>0</v>
      </c>
      <c r="E26" s="717">
        <f>+'LDF Trim'!CP32</f>
        <v>0</v>
      </c>
      <c r="F26" s="717">
        <f>+'LDF Trim'!CQ32</f>
        <v>0</v>
      </c>
      <c r="G26" s="717">
        <f t="shared" si="2"/>
        <v>0</v>
      </c>
    </row>
    <row r="27" spans="1:7">
      <c r="A27" s="893" t="s">
        <v>1205</v>
      </c>
      <c r="B27" s="717">
        <f>+'LDF Trim'!CM33</f>
        <v>0</v>
      </c>
      <c r="C27" s="717">
        <f>+'LDF Trim'!CN33</f>
        <v>0</v>
      </c>
      <c r="D27" s="717">
        <f>+'LDF Trim'!CO33</f>
        <v>0</v>
      </c>
      <c r="E27" s="717">
        <f>+'LDF Trim'!CP33</f>
        <v>0</v>
      </c>
      <c r="F27" s="717">
        <f>+'LDF Trim'!CQ33</f>
        <v>0</v>
      </c>
      <c r="G27" s="717">
        <f t="shared" si="2"/>
        <v>0</v>
      </c>
    </row>
    <row r="28" spans="1:7">
      <c r="A28" s="893" t="s">
        <v>1210</v>
      </c>
      <c r="B28" s="717">
        <f>+'LDF Trim'!CM34</f>
        <v>0</v>
      </c>
      <c r="C28" s="717">
        <f>+'LDF Trim'!CN34</f>
        <v>0</v>
      </c>
      <c r="D28" s="717">
        <f>+'LDF Trim'!CO34</f>
        <v>0</v>
      </c>
      <c r="E28" s="717">
        <f>+'LDF Trim'!CP34</f>
        <v>0</v>
      </c>
      <c r="F28" s="717">
        <f>+'LDF Trim'!CQ34</f>
        <v>0</v>
      </c>
      <c r="G28" s="717">
        <f t="shared" si="2"/>
        <v>0</v>
      </c>
    </row>
    <row r="29" spans="1:7">
      <c r="A29" s="893" t="s">
        <v>1216</v>
      </c>
      <c r="B29" s="717">
        <f>+'LDF Trim'!CM35</f>
        <v>0</v>
      </c>
      <c r="C29" s="717">
        <f>+'LDF Trim'!CN35</f>
        <v>0</v>
      </c>
      <c r="D29" s="717">
        <f>+'LDF Trim'!CO35</f>
        <v>0</v>
      </c>
      <c r="E29" s="717">
        <f>+'LDF Trim'!CP35</f>
        <v>0</v>
      </c>
      <c r="F29" s="717">
        <f>+'LDF Trim'!CQ35</f>
        <v>0</v>
      </c>
      <c r="G29" s="717">
        <f t="shared" si="2"/>
        <v>0</v>
      </c>
    </row>
    <row r="30" spans="1:7">
      <c r="A30" s="893" t="s">
        <v>1228</v>
      </c>
      <c r="B30" s="717">
        <f>+'LDF Trim'!CM36</f>
        <v>0</v>
      </c>
      <c r="C30" s="717">
        <f>+'LDF Trim'!CN36</f>
        <v>0</v>
      </c>
      <c r="D30" s="717">
        <f>+'LDF Trim'!CO36</f>
        <v>0</v>
      </c>
      <c r="E30" s="717">
        <f>+'LDF Trim'!CP36</f>
        <v>0</v>
      </c>
      <c r="F30" s="717">
        <f>+'LDF Trim'!CQ36</f>
        <v>0</v>
      </c>
      <c r="G30" s="717">
        <f t="shared" si="2"/>
        <v>0</v>
      </c>
    </row>
    <row r="31" spans="1:7">
      <c r="A31" s="893" t="s">
        <v>1233</v>
      </c>
      <c r="B31" s="717">
        <f>+'LDF Trim'!CM37</f>
        <v>0</v>
      </c>
      <c r="C31" s="717">
        <f>+'LDF Trim'!CN37</f>
        <v>0</v>
      </c>
      <c r="D31" s="717">
        <f>+'LDF Trim'!CO37</f>
        <v>0</v>
      </c>
      <c r="E31" s="717">
        <f>+'LDF Trim'!CP37</f>
        <v>0</v>
      </c>
      <c r="F31" s="717">
        <f>+'LDF Trim'!CQ37</f>
        <v>0</v>
      </c>
      <c r="G31" s="717">
        <f t="shared" si="2"/>
        <v>0</v>
      </c>
    </row>
    <row r="32" spans="1:7">
      <c r="A32" s="893" t="s">
        <v>1238</v>
      </c>
      <c r="B32" s="717">
        <f>+'LDF Trim'!CM38</f>
        <v>0</v>
      </c>
      <c r="C32" s="717">
        <f>+'LDF Trim'!CN38</f>
        <v>0</v>
      </c>
      <c r="D32" s="717">
        <f>+'LDF Trim'!CO38</f>
        <v>0</v>
      </c>
      <c r="E32" s="717">
        <f>+'LDF Trim'!CP38</f>
        <v>0</v>
      </c>
      <c r="F32" s="717">
        <f>+'LDF Trim'!CQ38</f>
        <v>0</v>
      </c>
      <c r="G32" s="717">
        <f t="shared" si="2"/>
        <v>0</v>
      </c>
    </row>
    <row r="33" spans="1:7">
      <c r="A33" s="893" t="s">
        <v>1247</v>
      </c>
      <c r="B33" s="717">
        <f>+'LDF Trim'!CM39</f>
        <v>0</v>
      </c>
      <c r="C33" s="717">
        <f>+'LDF Trim'!CN39</f>
        <v>0</v>
      </c>
      <c r="D33" s="717">
        <f>+'LDF Trim'!CO39</f>
        <v>0</v>
      </c>
      <c r="E33" s="717">
        <f>+'LDF Trim'!CP39</f>
        <v>0</v>
      </c>
      <c r="F33" s="717">
        <f>+'LDF Trim'!CQ39</f>
        <v>0</v>
      </c>
      <c r="G33" s="717">
        <f t="shared" si="2"/>
        <v>0</v>
      </c>
    </row>
    <row r="34" spans="1:7">
      <c r="A34" s="893" t="s">
        <v>1253</v>
      </c>
      <c r="B34" s="717">
        <f>+'LDF Trim'!CM40</f>
        <v>0</v>
      </c>
      <c r="C34" s="717">
        <f>+'LDF Trim'!CN40</f>
        <v>0</v>
      </c>
      <c r="D34" s="717">
        <f>+'LDF Trim'!CO40</f>
        <v>0</v>
      </c>
      <c r="E34" s="717">
        <f>+'LDF Trim'!CP40</f>
        <v>0</v>
      </c>
      <c r="F34" s="717">
        <f>+'LDF Trim'!CQ40</f>
        <v>0</v>
      </c>
      <c r="G34" s="717">
        <f t="shared" si="2"/>
        <v>0</v>
      </c>
    </row>
    <row r="35" spans="1:7" ht="5.0999999999999996" customHeight="1">
      <c r="A35" s="766"/>
      <c r="B35" s="715"/>
      <c r="C35" s="715"/>
      <c r="D35" s="715"/>
      <c r="E35" s="715"/>
      <c r="F35" s="715"/>
      <c r="G35" s="715"/>
    </row>
    <row r="36" spans="1:7">
      <c r="A36" s="766" t="s">
        <v>1266</v>
      </c>
      <c r="B36" s="715">
        <f>SUM(B37:B40)</f>
        <v>0</v>
      </c>
      <c r="C36" s="715">
        <f t="shared" ref="C36:F36" si="5">SUM(C37:C40)</f>
        <v>0</v>
      </c>
      <c r="D36" s="715">
        <f t="shared" si="5"/>
        <v>0</v>
      </c>
      <c r="E36" s="715">
        <f t="shared" si="5"/>
        <v>0</v>
      </c>
      <c r="F36" s="715">
        <f t="shared" si="5"/>
        <v>0</v>
      </c>
      <c r="G36" s="715">
        <f t="shared" si="2"/>
        <v>0</v>
      </c>
    </row>
    <row r="37" spans="1:7">
      <c r="A37" s="893" t="s">
        <v>1273</v>
      </c>
      <c r="B37" s="717">
        <f>+'LDF Trim'!CM43</f>
        <v>0</v>
      </c>
      <c r="C37" s="717">
        <f>+'LDF Trim'!CN43</f>
        <v>0</v>
      </c>
      <c r="D37" s="717">
        <f>+'LDF Trim'!CO43</f>
        <v>0</v>
      </c>
      <c r="E37" s="717">
        <f>+'LDF Trim'!CP43</f>
        <v>0</v>
      </c>
      <c r="F37" s="717">
        <f>+'LDF Trim'!CQ43</f>
        <v>0</v>
      </c>
      <c r="G37" s="717">
        <f t="shared" si="2"/>
        <v>0</v>
      </c>
    </row>
    <row r="38" spans="1:7">
      <c r="A38" s="893" t="s">
        <v>1279</v>
      </c>
      <c r="B38" s="717">
        <f>+'LDF Trim'!CM44</f>
        <v>0</v>
      </c>
      <c r="C38" s="717">
        <f>+'LDF Trim'!CN44</f>
        <v>0</v>
      </c>
      <c r="D38" s="717">
        <f>+'LDF Trim'!CO44</f>
        <v>0</v>
      </c>
      <c r="E38" s="717">
        <f>+'LDF Trim'!CP44</f>
        <v>0</v>
      </c>
      <c r="F38" s="717">
        <f>+'LDF Trim'!CQ44</f>
        <v>0</v>
      </c>
      <c r="G38" s="717">
        <f t="shared" si="2"/>
        <v>0</v>
      </c>
    </row>
    <row r="39" spans="1:7">
      <c r="A39" s="893" t="s">
        <v>1285</v>
      </c>
      <c r="B39" s="717">
        <f>+'LDF Trim'!CM45</f>
        <v>0</v>
      </c>
      <c r="C39" s="717">
        <f>+'LDF Trim'!CN45</f>
        <v>0</v>
      </c>
      <c r="D39" s="717">
        <f>+'LDF Trim'!CO45</f>
        <v>0</v>
      </c>
      <c r="E39" s="717">
        <f>+'LDF Trim'!CP45</f>
        <v>0</v>
      </c>
      <c r="F39" s="717">
        <f>+'LDF Trim'!CQ45</f>
        <v>0</v>
      </c>
      <c r="G39" s="717">
        <f t="shared" si="2"/>
        <v>0</v>
      </c>
    </row>
    <row r="40" spans="1:7">
      <c r="A40" s="893" t="s">
        <v>1290</v>
      </c>
      <c r="B40" s="717">
        <f>+'LDF Trim'!CM46</f>
        <v>0</v>
      </c>
      <c r="C40" s="717">
        <f>+'LDF Trim'!CN46</f>
        <v>0</v>
      </c>
      <c r="D40" s="717">
        <f>+'LDF Trim'!CO46</f>
        <v>0</v>
      </c>
      <c r="E40" s="717">
        <f>+'LDF Trim'!CP46</f>
        <v>0</v>
      </c>
      <c r="F40" s="717">
        <f>+'LDF Trim'!CQ46</f>
        <v>0</v>
      </c>
      <c r="G40" s="717">
        <f t="shared" si="2"/>
        <v>0</v>
      </c>
    </row>
    <row r="41" spans="1:7" ht="5.0999999999999996" customHeight="1">
      <c r="A41" s="766"/>
      <c r="B41" s="715"/>
      <c r="C41" s="715"/>
      <c r="D41" s="715"/>
      <c r="E41" s="715"/>
      <c r="F41" s="715"/>
      <c r="G41" s="715"/>
    </row>
    <row r="42" spans="1:7">
      <c r="A42" s="766" t="s">
        <v>1635</v>
      </c>
      <c r="B42" s="715">
        <f>B43+B53+B62+B73</f>
        <v>0</v>
      </c>
      <c r="C42" s="715">
        <f t="shared" ref="C42:G42" si="6">C43+C53+C62+C73</f>
        <v>0</v>
      </c>
      <c r="D42" s="715">
        <f t="shared" si="6"/>
        <v>0</v>
      </c>
      <c r="E42" s="715">
        <f t="shared" si="6"/>
        <v>0</v>
      </c>
      <c r="F42" s="715">
        <f t="shared" si="6"/>
        <v>0</v>
      </c>
      <c r="G42" s="715">
        <f t="shared" si="6"/>
        <v>0</v>
      </c>
    </row>
    <row r="43" spans="1:7">
      <c r="A43" s="766" t="s">
        <v>1038</v>
      </c>
      <c r="B43" s="715">
        <f>SUM(B44:B51)</f>
        <v>0</v>
      </c>
      <c r="C43" s="715">
        <f t="shared" ref="C43:G43" si="7">SUM(C44:C51)</f>
        <v>0</v>
      </c>
      <c r="D43" s="715">
        <f t="shared" si="7"/>
        <v>0</v>
      </c>
      <c r="E43" s="715">
        <f t="shared" si="7"/>
        <v>0</v>
      </c>
      <c r="F43" s="715">
        <f t="shared" si="7"/>
        <v>0</v>
      </c>
      <c r="G43" s="715">
        <f t="shared" si="7"/>
        <v>0</v>
      </c>
    </row>
    <row r="44" spans="1:7">
      <c r="A44" s="893" t="s">
        <v>1047</v>
      </c>
      <c r="B44" s="717">
        <f>+'LDF Trim'!CM50</f>
        <v>0</v>
      </c>
      <c r="C44" s="717">
        <f>+'LDF Trim'!CN50</f>
        <v>0</v>
      </c>
      <c r="D44" s="717">
        <f>+'LDF Trim'!CO50</f>
        <v>0</v>
      </c>
      <c r="E44" s="717">
        <f>+'LDF Trim'!CP50</f>
        <v>0</v>
      </c>
      <c r="F44" s="717">
        <f>+'LDF Trim'!CQ50</f>
        <v>0</v>
      </c>
      <c r="G44" s="717">
        <f>D44-E44</f>
        <v>0</v>
      </c>
    </row>
    <row r="45" spans="1:7">
      <c r="A45" s="893" t="s">
        <v>1057</v>
      </c>
      <c r="B45" s="717">
        <f>+'LDF Trim'!CM51</f>
        <v>0</v>
      </c>
      <c r="C45" s="717">
        <f>+'LDF Trim'!CN51</f>
        <v>0</v>
      </c>
      <c r="D45" s="717">
        <f>+'LDF Trim'!CO51</f>
        <v>0</v>
      </c>
      <c r="E45" s="717">
        <f>+'LDF Trim'!CP51</f>
        <v>0</v>
      </c>
      <c r="F45" s="717">
        <f>+'LDF Trim'!CQ51</f>
        <v>0</v>
      </c>
      <c r="G45" s="717">
        <f t="shared" ref="G45:G51" si="8">D45-E45</f>
        <v>0</v>
      </c>
    </row>
    <row r="46" spans="1:7">
      <c r="A46" s="893" t="s">
        <v>1065</v>
      </c>
      <c r="B46" s="717">
        <f>+'LDF Trim'!CM52</f>
        <v>0</v>
      </c>
      <c r="C46" s="717">
        <f>+'LDF Trim'!CN52</f>
        <v>0</v>
      </c>
      <c r="D46" s="717">
        <f>+'LDF Trim'!CO52</f>
        <v>0</v>
      </c>
      <c r="E46" s="717">
        <f>+'LDF Trim'!CP52</f>
        <v>0</v>
      </c>
      <c r="F46" s="717">
        <f>+'LDF Trim'!CQ52</f>
        <v>0</v>
      </c>
      <c r="G46" s="717">
        <f t="shared" si="8"/>
        <v>0</v>
      </c>
    </row>
    <row r="47" spans="1:7">
      <c r="A47" s="893" t="s">
        <v>1074</v>
      </c>
      <c r="B47" s="717">
        <f>+'LDF Trim'!CM53</f>
        <v>0</v>
      </c>
      <c r="C47" s="717">
        <f>+'LDF Trim'!CN53</f>
        <v>0</v>
      </c>
      <c r="D47" s="717">
        <f>+'LDF Trim'!CO53</f>
        <v>0</v>
      </c>
      <c r="E47" s="717">
        <f>+'LDF Trim'!CP53</f>
        <v>0</v>
      </c>
      <c r="F47" s="717">
        <f>+'LDF Trim'!CQ53</f>
        <v>0</v>
      </c>
      <c r="G47" s="717">
        <f t="shared" si="8"/>
        <v>0</v>
      </c>
    </row>
    <row r="48" spans="1:7">
      <c r="A48" s="893" t="s">
        <v>1083</v>
      </c>
      <c r="B48" s="717">
        <f>+'LDF Trim'!CM54</f>
        <v>0</v>
      </c>
      <c r="C48" s="717">
        <f>+'LDF Trim'!CN54</f>
        <v>0</v>
      </c>
      <c r="D48" s="717">
        <f>+'LDF Trim'!CO54</f>
        <v>0</v>
      </c>
      <c r="E48" s="717">
        <f>+'LDF Trim'!CP54</f>
        <v>0</v>
      </c>
      <c r="F48" s="717">
        <f>+'LDF Trim'!CQ54</f>
        <v>0</v>
      </c>
      <c r="G48" s="717">
        <f t="shared" si="8"/>
        <v>0</v>
      </c>
    </row>
    <row r="49" spans="1:7">
      <c r="A49" s="893" t="s">
        <v>1093</v>
      </c>
      <c r="B49" s="717">
        <f>+'LDF Trim'!CM55</f>
        <v>0</v>
      </c>
      <c r="C49" s="717">
        <f>+'LDF Trim'!CN55</f>
        <v>0</v>
      </c>
      <c r="D49" s="717">
        <f>+'LDF Trim'!CO55</f>
        <v>0</v>
      </c>
      <c r="E49" s="717">
        <f>+'LDF Trim'!CP55</f>
        <v>0</v>
      </c>
      <c r="F49" s="717">
        <f>+'LDF Trim'!CQ55</f>
        <v>0</v>
      </c>
      <c r="G49" s="717">
        <f t="shared" si="8"/>
        <v>0</v>
      </c>
    </row>
    <row r="50" spans="1:7">
      <c r="A50" s="893" t="s">
        <v>1102</v>
      </c>
      <c r="B50" s="717">
        <f>+'LDF Trim'!CM56</f>
        <v>0</v>
      </c>
      <c r="C50" s="717">
        <f>+'LDF Trim'!CN56</f>
        <v>0</v>
      </c>
      <c r="D50" s="717">
        <f>+'LDF Trim'!CO56</f>
        <v>0</v>
      </c>
      <c r="E50" s="717">
        <f>+'LDF Trim'!CP56</f>
        <v>0</v>
      </c>
      <c r="F50" s="717">
        <f>+'LDF Trim'!CQ56</f>
        <v>0</v>
      </c>
      <c r="G50" s="717">
        <f t="shared" si="8"/>
        <v>0</v>
      </c>
    </row>
    <row r="51" spans="1:7">
      <c r="A51" s="893" t="s">
        <v>1111</v>
      </c>
      <c r="B51" s="717">
        <f>+'LDF Trim'!CM57</f>
        <v>0</v>
      </c>
      <c r="C51" s="717">
        <f>+'LDF Trim'!CN57</f>
        <v>0</v>
      </c>
      <c r="D51" s="717">
        <f>+'LDF Trim'!CO57</f>
        <v>0</v>
      </c>
      <c r="E51" s="717">
        <f>+'LDF Trim'!CP57</f>
        <v>0</v>
      </c>
      <c r="F51" s="717">
        <f>+'LDF Trim'!CQ57</f>
        <v>0</v>
      </c>
      <c r="G51" s="717">
        <f t="shared" si="8"/>
        <v>0</v>
      </c>
    </row>
    <row r="52" spans="1:7" ht="5.0999999999999996" customHeight="1">
      <c r="A52" s="766"/>
      <c r="B52" s="715"/>
      <c r="C52" s="715"/>
      <c r="D52" s="715"/>
      <c r="E52" s="715"/>
      <c r="F52" s="715"/>
      <c r="G52" s="715"/>
    </row>
    <row r="53" spans="1:7">
      <c r="A53" s="766" t="s">
        <v>1129</v>
      </c>
      <c r="B53" s="715">
        <f>SUM(B54:B60)</f>
        <v>0</v>
      </c>
      <c r="C53" s="715">
        <f t="shared" ref="C53:F53" si="9">SUM(C54:C60)</f>
        <v>0</v>
      </c>
      <c r="D53" s="715">
        <f t="shared" si="9"/>
        <v>0</v>
      </c>
      <c r="E53" s="715">
        <f t="shared" si="9"/>
        <v>0</v>
      </c>
      <c r="F53" s="715">
        <f t="shared" si="9"/>
        <v>0</v>
      </c>
      <c r="G53" s="715">
        <f t="shared" ref="G53:G60" si="10">D53-E53</f>
        <v>0</v>
      </c>
    </row>
    <row r="54" spans="1:7">
      <c r="A54" s="893" t="s">
        <v>1136</v>
      </c>
      <c r="B54" s="717">
        <f>+'LDF Trim'!CM60</f>
        <v>0</v>
      </c>
      <c r="C54" s="717">
        <f>+'LDF Trim'!CN60</f>
        <v>0</v>
      </c>
      <c r="D54" s="717">
        <f>+'LDF Trim'!CO60</f>
        <v>0</v>
      </c>
      <c r="E54" s="717">
        <f>+'LDF Trim'!CP60</f>
        <v>0</v>
      </c>
      <c r="F54" s="717">
        <f>+'LDF Trim'!CQ60</f>
        <v>0</v>
      </c>
      <c r="G54" s="717">
        <f t="shared" si="10"/>
        <v>0</v>
      </c>
    </row>
    <row r="55" spans="1:7">
      <c r="A55" s="893" t="s">
        <v>1145</v>
      </c>
      <c r="B55" s="717">
        <f>+'LDF Trim'!CM61</f>
        <v>0</v>
      </c>
      <c r="C55" s="717">
        <f>+'LDF Trim'!CN61</f>
        <v>0</v>
      </c>
      <c r="D55" s="717">
        <f>+'LDF Trim'!CO61</f>
        <v>0</v>
      </c>
      <c r="E55" s="717">
        <f>+'LDF Trim'!CP61</f>
        <v>0</v>
      </c>
      <c r="F55" s="717">
        <f>+'LDF Trim'!CQ61</f>
        <v>0</v>
      </c>
      <c r="G55" s="717">
        <f t="shared" si="10"/>
        <v>0</v>
      </c>
    </row>
    <row r="56" spans="1:7">
      <c r="A56" s="893" t="s">
        <v>1153</v>
      </c>
      <c r="B56" s="717">
        <f>+'LDF Trim'!CM62</f>
        <v>0</v>
      </c>
      <c r="C56" s="717">
        <f>+'LDF Trim'!CN62</f>
        <v>0</v>
      </c>
      <c r="D56" s="717">
        <f>+'LDF Trim'!CO62</f>
        <v>0</v>
      </c>
      <c r="E56" s="717">
        <f>+'LDF Trim'!CP62</f>
        <v>0</v>
      </c>
      <c r="F56" s="717">
        <f>+'LDF Trim'!CQ62</f>
        <v>0</v>
      </c>
      <c r="G56" s="717">
        <f t="shared" si="10"/>
        <v>0</v>
      </c>
    </row>
    <row r="57" spans="1:7">
      <c r="A57" s="893" t="s">
        <v>1161</v>
      </c>
      <c r="B57" s="717">
        <f>+'LDF Trim'!CM63</f>
        <v>0</v>
      </c>
      <c r="C57" s="717">
        <f>+'LDF Trim'!CN63</f>
        <v>0</v>
      </c>
      <c r="D57" s="717">
        <f>+'LDF Trim'!CO63</f>
        <v>0</v>
      </c>
      <c r="E57" s="717">
        <f>+'LDF Trim'!CP63</f>
        <v>0</v>
      </c>
      <c r="F57" s="717">
        <f>+'LDF Trim'!CQ63</f>
        <v>0</v>
      </c>
      <c r="G57" s="717">
        <f t="shared" si="10"/>
        <v>0</v>
      </c>
    </row>
    <row r="58" spans="1:7">
      <c r="A58" s="893" t="s">
        <v>1167</v>
      </c>
      <c r="B58" s="717">
        <f>+'LDF Trim'!CM64</f>
        <v>0</v>
      </c>
      <c r="C58" s="717">
        <f>+'LDF Trim'!CN64</f>
        <v>0</v>
      </c>
      <c r="D58" s="717">
        <f>+'LDF Trim'!CO64</f>
        <v>0</v>
      </c>
      <c r="E58" s="717">
        <f>+'LDF Trim'!CP64</f>
        <v>0</v>
      </c>
      <c r="F58" s="717">
        <f>+'LDF Trim'!CQ64</f>
        <v>0</v>
      </c>
      <c r="G58" s="717">
        <f t="shared" si="10"/>
        <v>0</v>
      </c>
    </row>
    <row r="59" spans="1:7">
      <c r="A59" s="893" t="s">
        <v>1173</v>
      </c>
      <c r="B59" s="717">
        <f>+'LDF Trim'!CM65</f>
        <v>0</v>
      </c>
      <c r="C59" s="717">
        <f>+'LDF Trim'!CN65</f>
        <v>0</v>
      </c>
      <c r="D59" s="717">
        <f>+'LDF Trim'!CO65</f>
        <v>0</v>
      </c>
      <c r="E59" s="717">
        <f>+'LDF Trim'!CP65</f>
        <v>0</v>
      </c>
      <c r="F59" s="717">
        <f>+'LDF Trim'!CQ65</f>
        <v>0</v>
      </c>
      <c r="G59" s="717">
        <f t="shared" si="10"/>
        <v>0</v>
      </c>
    </row>
    <row r="60" spans="1:7">
      <c r="A60" s="893" t="s">
        <v>1178</v>
      </c>
      <c r="B60" s="717">
        <f>+'LDF Trim'!CM66</f>
        <v>0</v>
      </c>
      <c r="C60" s="717">
        <f>+'LDF Trim'!CN66</f>
        <v>0</v>
      </c>
      <c r="D60" s="717">
        <f>+'LDF Trim'!CO66</f>
        <v>0</v>
      </c>
      <c r="E60" s="717">
        <f>+'LDF Trim'!CP66</f>
        <v>0</v>
      </c>
      <c r="F60" s="717">
        <f>+'LDF Trim'!CQ66</f>
        <v>0</v>
      </c>
      <c r="G60" s="717">
        <f t="shared" si="10"/>
        <v>0</v>
      </c>
    </row>
    <row r="61" spans="1:7" ht="5.0999999999999996" customHeight="1">
      <c r="A61" s="766"/>
      <c r="B61" s="715"/>
      <c r="C61" s="715"/>
      <c r="D61" s="715"/>
      <c r="E61" s="715"/>
      <c r="F61" s="715"/>
      <c r="G61" s="715"/>
    </row>
    <row r="62" spans="1:7">
      <c r="A62" s="766" t="s">
        <v>1191</v>
      </c>
      <c r="B62" s="715">
        <f>SUM(B63:B71)</f>
        <v>0</v>
      </c>
      <c r="C62" s="715">
        <f t="shared" ref="C62:F62" si="11">SUM(C63:C71)</f>
        <v>0</v>
      </c>
      <c r="D62" s="715">
        <f t="shared" si="11"/>
        <v>0</v>
      </c>
      <c r="E62" s="715">
        <f t="shared" si="11"/>
        <v>0</v>
      </c>
      <c r="F62" s="715">
        <f t="shared" si="11"/>
        <v>0</v>
      </c>
      <c r="G62" s="715">
        <f t="shared" ref="G62:G71" si="12">D62-E62</f>
        <v>0</v>
      </c>
    </row>
    <row r="63" spans="1:7">
      <c r="A63" s="893" t="s">
        <v>1198</v>
      </c>
      <c r="B63" s="717">
        <f>+'LDF Trim'!CM69</f>
        <v>0</v>
      </c>
      <c r="C63" s="717">
        <f>+'LDF Trim'!CN69</f>
        <v>0</v>
      </c>
      <c r="D63" s="717">
        <f>+'LDF Trim'!CO69</f>
        <v>0</v>
      </c>
      <c r="E63" s="717">
        <f>+'LDF Trim'!CP69</f>
        <v>0</v>
      </c>
      <c r="F63" s="717">
        <f>+'LDF Trim'!CQ69</f>
        <v>0</v>
      </c>
      <c r="G63" s="717">
        <f t="shared" si="12"/>
        <v>0</v>
      </c>
    </row>
    <row r="64" spans="1:7">
      <c r="A64" s="893" t="s">
        <v>1205</v>
      </c>
      <c r="B64" s="717">
        <f>+'LDF Trim'!CM70</f>
        <v>0</v>
      </c>
      <c r="C64" s="717">
        <f>+'LDF Trim'!CN70</f>
        <v>0</v>
      </c>
      <c r="D64" s="717">
        <f>+'LDF Trim'!CO70</f>
        <v>0</v>
      </c>
      <c r="E64" s="717">
        <f>+'LDF Trim'!CP70</f>
        <v>0</v>
      </c>
      <c r="F64" s="717">
        <f>+'LDF Trim'!CQ70</f>
        <v>0</v>
      </c>
      <c r="G64" s="717">
        <f t="shared" si="12"/>
        <v>0</v>
      </c>
    </row>
    <row r="65" spans="1:7">
      <c r="A65" s="893" t="s">
        <v>1210</v>
      </c>
      <c r="B65" s="717">
        <f>+'LDF Trim'!CM71</f>
        <v>0</v>
      </c>
      <c r="C65" s="717">
        <f>+'LDF Trim'!CN71</f>
        <v>0</v>
      </c>
      <c r="D65" s="717">
        <f>+'LDF Trim'!CO71</f>
        <v>0</v>
      </c>
      <c r="E65" s="717">
        <f>+'LDF Trim'!CP71</f>
        <v>0</v>
      </c>
      <c r="F65" s="717">
        <f>+'LDF Trim'!CQ71</f>
        <v>0</v>
      </c>
      <c r="G65" s="717">
        <f t="shared" si="12"/>
        <v>0</v>
      </c>
    </row>
    <row r="66" spans="1:7">
      <c r="A66" s="893" t="s">
        <v>1216</v>
      </c>
      <c r="B66" s="717">
        <f>+'LDF Trim'!CM72</f>
        <v>0</v>
      </c>
      <c r="C66" s="717">
        <f>+'LDF Trim'!CN72</f>
        <v>0</v>
      </c>
      <c r="D66" s="717">
        <f>+'LDF Trim'!CO72</f>
        <v>0</v>
      </c>
      <c r="E66" s="717">
        <f>+'LDF Trim'!CP72</f>
        <v>0</v>
      </c>
      <c r="F66" s="717">
        <f>+'LDF Trim'!CQ72</f>
        <v>0</v>
      </c>
      <c r="G66" s="717">
        <f t="shared" si="12"/>
        <v>0</v>
      </c>
    </row>
    <row r="67" spans="1:7">
      <c r="A67" s="893" t="s">
        <v>1228</v>
      </c>
      <c r="B67" s="717">
        <f>+'LDF Trim'!CM73</f>
        <v>0</v>
      </c>
      <c r="C67" s="717">
        <f>+'LDF Trim'!CN73</f>
        <v>0</v>
      </c>
      <c r="D67" s="717">
        <f>+'LDF Trim'!CO73</f>
        <v>0</v>
      </c>
      <c r="E67" s="717">
        <f>+'LDF Trim'!CP73</f>
        <v>0</v>
      </c>
      <c r="F67" s="717">
        <f>+'LDF Trim'!CQ73</f>
        <v>0</v>
      </c>
      <c r="G67" s="717">
        <f t="shared" si="12"/>
        <v>0</v>
      </c>
    </row>
    <row r="68" spans="1:7">
      <c r="A68" s="893" t="s">
        <v>1233</v>
      </c>
      <c r="B68" s="717">
        <f>+'LDF Trim'!CM74</f>
        <v>0</v>
      </c>
      <c r="C68" s="717">
        <f>+'LDF Trim'!CN74</f>
        <v>0</v>
      </c>
      <c r="D68" s="717">
        <f>+'LDF Trim'!CO74</f>
        <v>0</v>
      </c>
      <c r="E68" s="717">
        <f>+'LDF Trim'!CP74</f>
        <v>0</v>
      </c>
      <c r="F68" s="717">
        <f>+'LDF Trim'!CQ74</f>
        <v>0</v>
      </c>
      <c r="G68" s="717">
        <f t="shared" si="12"/>
        <v>0</v>
      </c>
    </row>
    <row r="69" spans="1:7">
      <c r="A69" s="893" t="s">
        <v>1238</v>
      </c>
      <c r="B69" s="717">
        <f>+'LDF Trim'!CM75</f>
        <v>0</v>
      </c>
      <c r="C69" s="717">
        <f>+'LDF Trim'!CN75</f>
        <v>0</v>
      </c>
      <c r="D69" s="717">
        <f>+'LDF Trim'!CO75</f>
        <v>0</v>
      </c>
      <c r="E69" s="717">
        <f>+'LDF Trim'!CP75</f>
        <v>0</v>
      </c>
      <c r="F69" s="717">
        <f>+'LDF Trim'!CQ75</f>
        <v>0</v>
      </c>
      <c r="G69" s="717">
        <f t="shared" si="12"/>
        <v>0</v>
      </c>
    </row>
    <row r="70" spans="1:7">
      <c r="A70" s="893" t="s">
        <v>1247</v>
      </c>
      <c r="B70" s="717">
        <f>+'LDF Trim'!CM76</f>
        <v>0</v>
      </c>
      <c r="C70" s="717">
        <f>+'LDF Trim'!CN76</f>
        <v>0</v>
      </c>
      <c r="D70" s="717">
        <f>+'LDF Trim'!CO76</f>
        <v>0</v>
      </c>
      <c r="E70" s="717">
        <f>+'LDF Trim'!CP76</f>
        <v>0</v>
      </c>
      <c r="F70" s="717">
        <f>+'LDF Trim'!CQ76</f>
        <v>0</v>
      </c>
      <c r="G70" s="717">
        <f t="shared" si="12"/>
        <v>0</v>
      </c>
    </row>
    <row r="71" spans="1:7">
      <c r="A71" s="893" t="s">
        <v>1253</v>
      </c>
      <c r="B71" s="717">
        <f>+'LDF Trim'!CM77</f>
        <v>0</v>
      </c>
      <c r="C71" s="717">
        <f>+'LDF Trim'!CN77</f>
        <v>0</v>
      </c>
      <c r="D71" s="717">
        <f>+'LDF Trim'!CO77</f>
        <v>0</v>
      </c>
      <c r="E71" s="717">
        <f>+'LDF Trim'!CP77</f>
        <v>0</v>
      </c>
      <c r="F71" s="717">
        <f>+'LDF Trim'!CQ77</f>
        <v>0</v>
      </c>
      <c r="G71" s="717">
        <f t="shared" si="12"/>
        <v>0</v>
      </c>
    </row>
    <row r="72" spans="1:7" ht="5.0999999999999996" customHeight="1">
      <c r="A72" s="766"/>
      <c r="B72" s="715"/>
      <c r="C72" s="715"/>
      <c r="D72" s="715"/>
      <c r="E72" s="715"/>
      <c r="F72" s="715"/>
      <c r="G72" s="715"/>
    </row>
    <row r="73" spans="1:7">
      <c r="A73" s="766" t="s">
        <v>1266</v>
      </c>
      <c r="B73" s="715">
        <f>SUM(B74:B77)</f>
        <v>0</v>
      </c>
      <c r="C73" s="715">
        <f t="shared" ref="C73:F73" si="13">SUM(C74:C77)</f>
        <v>0</v>
      </c>
      <c r="D73" s="715">
        <f t="shared" si="13"/>
        <v>0</v>
      </c>
      <c r="E73" s="715">
        <f t="shared" si="13"/>
        <v>0</v>
      </c>
      <c r="F73" s="715">
        <f t="shared" si="13"/>
        <v>0</v>
      </c>
      <c r="G73" s="715">
        <f t="shared" ref="G73:G77" si="14">D73-E73</f>
        <v>0</v>
      </c>
    </row>
    <row r="74" spans="1:7">
      <c r="A74" s="893" t="s">
        <v>1273</v>
      </c>
      <c r="B74" s="717">
        <f>+'LDF Trim'!CM80</f>
        <v>0</v>
      </c>
      <c r="C74" s="717">
        <f>+'LDF Trim'!CN80</f>
        <v>0</v>
      </c>
      <c r="D74" s="717">
        <f>+'LDF Trim'!CO80</f>
        <v>0</v>
      </c>
      <c r="E74" s="717">
        <f>+'LDF Trim'!CP80</f>
        <v>0</v>
      </c>
      <c r="F74" s="717">
        <f>+'LDF Trim'!CQ80</f>
        <v>0</v>
      </c>
      <c r="G74" s="717">
        <f t="shared" si="14"/>
        <v>0</v>
      </c>
    </row>
    <row r="75" spans="1:7">
      <c r="A75" s="893" t="s">
        <v>1279</v>
      </c>
      <c r="B75" s="717">
        <f>+'LDF Trim'!CM81</f>
        <v>0</v>
      </c>
      <c r="C75" s="717">
        <f>+'LDF Trim'!CN81</f>
        <v>0</v>
      </c>
      <c r="D75" s="717">
        <f>+'LDF Trim'!CO81</f>
        <v>0</v>
      </c>
      <c r="E75" s="717">
        <f>+'LDF Trim'!CP81</f>
        <v>0</v>
      </c>
      <c r="F75" s="717">
        <f>+'LDF Trim'!CQ81</f>
        <v>0</v>
      </c>
      <c r="G75" s="717">
        <f t="shared" si="14"/>
        <v>0</v>
      </c>
    </row>
    <row r="76" spans="1:7">
      <c r="A76" s="893" t="s">
        <v>1285</v>
      </c>
      <c r="B76" s="717">
        <f>+'LDF Trim'!CM82</f>
        <v>0</v>
      </c>
      <c r="C76" s="717">
        <f>+'LDF Trim'!CN82</f>
        <v>0</v>
      </c>
      <c r="D76" s="717">
        <f>+'LDF Trim'!CO82</f>
        <v>0</v>
      </c>
      <c r="E76" s="717">
        <f>+'LDF Trim'!CP82</f>
        <v>0</v>
      </c>
      <c r="F76" s="717">
        <f>+'LDF Trim'!CQ82</f>
        <v>0</v>
      </c>
      <c r="G76" s="717">
        <f t="shared" si="14"/>
        <v>0</v>
      </c>
    </row>
    <row r="77" spans="1:7">
      <c r="A77" s="893" t="s">
        <v>1290</v>
      </c>
      <c r="B77" s="717">
        <f>+'LDF Trim'!CM83</f>
        <v>0</v>
      </c>
      <c r="C77" s="717">
        <f>+'LDF Trim'!CN83</f>
        <v>0</v>
      </c>
      <c r="D77" s="717">
        <f>+'LDF Trim'!CO83</f>
        <v>0</v>
      </c>
      <c r="E77" s="717">
        <f>+'LDF Trim'!CP83</f>
        <v>0</v>
      </c>
      <c r="F77" s="717">
        <f>+'LDF Trim'!CQ83</f>
        <v>0</v>
      </c>
      <c r="G77" s="717">
        <f t="shared" si="14"/>
        <v>0</v>
      </c>
    </row>
    <row r="78" spans="1:7" ht="5.0999999999999996" customHeight="1">
      <c r="A78" s="766"/>
      <c r="B78" s="715"/>
      <c r="C78" s="715"/>
      <c r="D78" s="715"/>
      <c r="E78" s="715"/>
      <c r="F78" s="715"/>
      <c r="G78" s="715"/>
    </row>
    <row r="79" spans="1:7">
      <c r="A79" s="766" t="s">
        <v>1190</v>
      </c>
      <c r="B79" s="715">
        <f>B5+B42</f>
        <v>80405840.509999976</v>
      </c>
      <c r="C79" s="715">
        <f t="shared" ref="C79:G79" si="15">C5+C42</f>
        <v>8457903.8100000042</v>
      </c>
      <c r="D79" s="715">
        <f t="shared" si="15"/>
        <v>88863744.319999978</v>
      </c>
      <c r="E79" s="715">
        <f t="shared" si="15"/>
        <v>86193205.110000029</v>
      </c>
      <c r="F79" s="715">
        <f t="shared" si="15"/>
        <v>84872096.260000035</v>
      </c>
      <c r="G79" s="715">
        <f t="shared" si="15"/>
        <v>2670539.2099999487</v>
      </c>
    </row>
    <row r="80" spans="1:7" ht="5.0999999999999996" customHeight="1">
      <c r="A80" s="791"/>
      <c r="B80" s="760"/>
      <c r="C80" s="760"/>
      <c r="D80" s="760"/>
      <c r="E80" s="760"/>
      <c r="F80" s="760"/>
      <c r="G80" s="760"/>
    </row>
  </sheetData>
  <mergeCells count="2">
    <mergeCell ref="A1:G1"/>
    <mergeCell ref="B2:F2"/>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activeCell="B5" sqref="B5:G5"/>
    </sheetView>
  </sheetViews>
  <sheetFormatPr baseColWidth="10" defaultColWidth="12" defaultRowHeight="11.25"/>
  <cols>
    <col min="1" max="1" width="56.7109375" style="709" customWidth="1"/>
    <col min="2" max="7" width="16.7109375" style="709" customWidth="1"/>
    <col min="8" max="16384" width="12" style="709"/>
  </cols>
  <sheetData>
    <row r="1" spans="1:7" ht="56.1" customHeight="1">
      <c r="A1" s="1097" t="s">
        <v>1636</v>
      </c>
      <c r="B1" s="1098"/>
      <c r="C1" s="1098"/>
      <c r="D1" s="1098"/>
      <c r="E1" s="1098"/>
      <c r="F1" s="1098"/>
      <c r="G1" s="1099"/>
    </row>
    <row r="2" spans="1:7">
      <c r="A2" s="790"/>
      <c r="B2" s="1041" t="s">
        <v>1013</v>
      </c>
      <c r="C2" s="1041"/>
      <c r="D2" s="1041"/>
      <c r="E2" s="1041"/>
      <c r="F2" s="1041"/>
      <c r="G2" s="786"/>
    </row>
    <row r="3" spans="1:7" ht="45.75" customHeight="1">
      <c r="A3" s="764" t="s">
        <v>1009</v>
      </c>
      <c r="B3" s="578" t="s">
        <v>1625</v>
      </c>
      <c r="C3" s="578" t="s">
        <v>1626</v>
      </c>
      <c r="D3" s="578" t="s">
        <v>1023</v>
      </c>
      <c r="E3" s="578" t="s">
        <v>1637</v>
      </c>
      <c r="F3" s="578" t="s">
        <v>397</v>
      </c>
      <c r="G3" s="726" t="s">
        <v>1627</v>
      </c>
    </row>
    <row r="4" spans="1:7">
      <c r="A4" s="792" t="s">
        <v>1030</v>
      </c>
      <c r="B4" s="793">
        <f>B5+B6+B7+B10+B11+B14</f>
        <v>59875476.900000006</v>
      </c>
      <c r="C4" s="793">
        <f t="shared" ref="C4:G4" si="0">C5+C6+C7+C10+C11+C14</f>
        <v>6048652.1900000013</v>
      </c>
      <c r="D4" s="793">
        <f t="shared" si="0"/>
        <v>65924129.090000004</v>
      </c>
      <c r="E4" s="793">
        <f t="shared" si="0"/>
        <v>65924124.189999998</v>
      </c>
      <c r="F4" s="793">
        <f t="shared" si="0"/>
        <v>64738024.339999996</v>
      </c>
      <c r="G4" s="793">
        <f t="shared" si="0"/>
        <v>4.9000000059604645</v>
      </c>
    </row>
    <row r="5" spans="1:7">
      <c r="A5" s="730" t="s">
        <v>1039</v>
      </c>
      <c r="B5" s="715">
        <f>+'LDF Trim'!CY12</f>
        <v>59875476.900000006</v>
      </c>
      <c r="C5" s="715">
        <f>+'LDF Trim'!CZ12</f>
        <v>6048652.1900000013</v>
      </c>
      <c r="D5" s="715">
        <f>+'LDF Trim'!DA12</f>
        <v>65924129.090000004</v>
      </c>
      <c r="E5" s="715">
        <f>+'LDF Trim'!DB12</f>
        <v>65924124.189999998</v>
      </c>
      <c r="F5" s="715">
        <f>+'LDF Trim'!DC12</f>
        <v>64738024.339999996</v>
      </c>
      <c r="G5" s="715">
        <f>D5-E5</f>
        <v>4.9000000059604645</v>
      </c>
    </row>
    <row r="6" spans="1:7">
      <c r="A6" s="730" t="s">
        <v>1049</v>
      </c>
      <c r="B6" s="715">
        <f>+'LDF Trim'!CY13</f>
        <v>0</v>
      </c>
      <c r="C6" s="715">
        <f>+'LDF Trim'!CZ13</f>
        <v>0</v>
      </c>
      <c r="D6" s="715">
        <f>+'LDF Trim'!DA13</f>
        <v>0</v>
      </c>
      <c r="E6" s="715">
        <f>+'LDF Trim'!DB13</f>
        <v>0</v>
      </c>
      <c r="F6" s="715">
        <f>+'LDF Trim'!DC13</f>
        <v>0</v>
      </c>
      <c r="G6" s="715">
        <f>D6-E6</f>
        <v>0</v>
      </c>
    </row>
    <row r="7" spans="1:7">
      <c r="A7" s="730" t="s">
        <v>1058</v>
      </c>
      <c r="B7" s="715">
        <f>SUM(B8:B9)</f>
        <v>0</v>
      </c>
      <c r="C7" s="715">
        <f t="shared" ref="C7:G7" si="1">SUM(C8:C9)</f>
        <v>0</v>
      </c>
      <c r="D7" s="715">
        <f t="shared" si="1"/>
        <v>0</v>
      </c>
      <c r="E7" s="715">
        <f t="shared" si="1"/>
        <v>0</v>
      </c>
      <c r="F7" s="715">
        <f t="shared" si="1"/>
        <v>0</v>
      </c>
      <c r="G7" s="715">
        <f t="shared" si="1"/>
        <v>0</v>
      </c>
    </row>
    <row r="8" spans="1:7">
      <c r="A8" s="771" t="s">
        <v>1066</v>
      </c>
      <c r="B8" s="717">
        <f>+'LDF Trim'!CY15</f>
        <v>0</v>
      </c>
      <c r="C8" s="717">
        <f>+'LDF Trim'!CZ15</f>
        <v>0</v>
      </c>
      <c r="D8" s="717">
        <f>+'LDF Trim'!DA15</f>
        <v>0</v>
      </c>
      <c r="E8" s="717">
        <f>+'LDF Trim'!DB15</f>
        <v>0</v>
      </c>
      <c r="F8" s="717">
        <f>+'LDF Trim'!DC15</f>
        <v>0</v>
      </c>
      <c r="G8" s="717">
        <f t="shared" ref="G8:G14" si="2">D8-E8</f>
        <v>0</v>
      </c>
    </row>
    <row r="9" spans="1:7">
      <c r="A9" s="771" t="s">
        <v>1075</v>
      </c>
      <c r="B9" s="717">
        <f>+'LDF Trim'!CY16</f>
        <v>0</v>
      </c>
      <c r="C9" s="717">
        <f>+'LDF Trim'!CZ16</f>
        <v>0</v>
      </c>
      <c r="D9" s="717">
        <f>+'LDF Trim'!DA16</f>
        <v>0</v>
      </c>
      <c r="E9" s="717">
        <f>+'LDF Trim'!DB16</f>
        <v>0</v>
      </c>
      <c r="F9" s="717">
        <f>+'LDF Trim'!DC16</f>
        <v>0</v>
      </c>
      <c r="G9" s="717">
        <f t="shared" si="2"/>
        <v>0</v>
      </c>
    </row>
    <row r="10" spans="1:7">
      <c r="A10" s="730" t="s">
        <v>1084</v>
      </c>
      <c r="B10" s="715">
        <f>+'LDF Trim'!CY17</f>
        <v>0</v>
      </c>
      <c r="C10" s="715">
        <f>+'LDF Trim'!CZ17</f>
        <v>0</v>
      </c>
      <c r="D10" s="715">
        <f>+'LDF Trim'!DA17</f>
        <v>0</v>
      </c>
      <c r="E10" s="715">
        <f>+'LDF Trim'!DB17</f>
        <v>0</v>
      </c>
      <c r="F10" s="715">
        <f>+'LDF Trim'!DC17</f>
        <v>0</v>
      </c>
      <c r="G10" s="715">
        <f t="shared" si="2"/>
        <v>0</v>
      </c>
    </row>
    <row r="11" spans="1:7" ht="22.5">
      <c r="A11" s="730" t="s">
        <v>1094</v>
      </c>
      <c r="B11" s="715">
        <f>SUM(B12:B13)</f>
        <v>0</v>
      </c>
      <c r="C11" s="715">
        <f t="shared" ref="C11:F11" si="3">SUM(C12:C13)</f>
        <v>0</v>
      </c>
      <c r="D11" s="715">
        <f t="shared" si="3"/>
        <v>0</v>
      </c>
      <c r="E11" s="715">
        <f t="shared" si="3"/>
        <v>0</v>
      </c>
      <c r="F11" s="715">
        <f t="shared" si="3"/>
        <v>0</v>
      </c>
      <c r="G11" s="715">
        <f t="shared" si="2"/>
        <v>0</v>
      </c>
    </row>
    <row r="12" spans="1:7">
      <c r="A12" s="771" t="s">
        <v>1103</v>
      </c>
      <c r="B12" s="717">
        <f>+'LDF Trim'!CY19</f>
        <v>0</v>
      </c>
      <c r="C12" s="717">
        <f>+'LDF Trim'!CZ19</f>
        <v>0</v>
      </c>
      <c r="D12" s="717">
        <f>+'LDF Trim'!DA19</f>
        <v>0</v>
      </c>
      <c r="E12" s="717">
        <f>+'LDF Trim'!DB19</f>
        <v>0</v>
      </c>
      <c r="F12" s="717">
        <f>+'LDF Trim'!DC19</f>
        <v>0</v>
      </c>
      <c r="G12" s="717">
        <f t="shared" si="2"/>
        <v>0</v>
      </c>
    </row>
    <row r="13" spans="1:7">
      <c r="A13" s="771" t="s">
        <v>1112</v>
      </c>
      <c r="B13" s="717">
        <f>+'LDF Trim'!CY20</f>
        <v>0</v>
      </c>
      <c r="C13" s="717">
        <f>+'LDF Trim'!CZ20</f>
        <v>0</v>
      </c>
      <c r="D13" s="717">
        <f>+'LDF Trim'!DA20</f>
        <v>0</v>
      </c>
      <c r="E13" s="717">
        <f>+'LDF Trim'!DB20</f>
        <v>0</v>
      </c>
      <c r="F13" s="717">
        <f>+'LDF Trim'!DC20</f>
        <v>0</v>
      </c>
      <c r="G13" s="717">
        <f t="shared" si="2"/>
        <v>0</v>
      </c>
    </row>
    <row r="14" spans="1:7">
      <c r="A14" s="730" t="s">
        <v>1121</v>
      </c>
      <c r="B14" s="715">
        <f>+'LDF Trim'!CY21</f>
        <v>0</v>
      </c>
      <c r="C14" s="715">
        <f>+'LDF Trim'!CZ21</f>
        <v>0</v>
      </c>
      <c r="D14" s="715">
        <f>+'LDF Trim'!DA21</f>
        <v>0</v>
      </c>
      <c r="E14" s="715">
        <f>+'LDF Trim'!DB21</f>
        <v>0</v>
      </c>
      <c r="F14" s="715">
        <f>+'LDF Trim'!DC21</f>
        <v>0</v>
      </c>
      <c r="G14" s="715">
        <f t="shared" si="2"/>
        <v>0</v>
      </c>
    </row>
    <row r="15" spans="1:7" ht="5.0999999999999996" customHeight="1">
      <c r="A15" s="730"/>
      <c r="B15" s="717"/>
      <c r="C15" s="717"/>
      <c r="D15" s="717"/>
      <c r="E15" s="717"/>
      <c r="F15" s="717"/>
      <c r="G15" s="717"/>
    </row>
    <row r="16" spans="1:7">
      <c r="A16" s="737" t="s">
        <v>1137</v>
      </c>
      <c r="B16" s="715">
        <f>B17+B18+B19+B22+B23+B26</f>
        <v>0</v>
      </c>
      <c r="C16" s="715">
        <f t="shared" ref="C16:F16" si="4">C17+C18+C19+C22+C23+C26</f>
        <v>0</v>
      </c>
      <c r="D16" s="715">
        <f t="shared" si="4"/>
        <v>0</v>
      </c>
      <c r="E16" s="715">
        <f t="shared" si="4"/>
        <v>0</v>
      </c>
      <c r="F16" s="715">
        <f t="shared" si="4"/>
        <v>0</v>
      </c>
      <c r="G16" s="715">
        <f t="shared" ref="G16" si="5">G17+G18+G19+G22+G23+G26</f>
        <v>0</v>
      </c>
    </row>
    <row r="17" spans="1:7">
      <c r="A17" s="730" t="s">
        <v>1039</v>
      </c>
      <c r="B17" s="715">
        <f>+'LDF Trim'!CY24</f>
        <v>0</v>
      </c>
      <c r="C17" s="715">
        <f>+'LDF Trim'!CZ24</f>
        <v>0</v>
      </c>
      <c r="D17" s="715">
        <f>+'LDF Trim'!DA24</f>
        <v>0</v>
      </c>
      <c r="E17" s="715">
        <f>+'LDF Trim'!DB24</f>
        <v>0</v>
      </c>
      <c r="F17" s="715">
        <f>+'LDF Trim'!DC24</f>
        <v>0</v>
      </c>
      <c r="G17" s="715">
        <f t="shared" ref="G17:G26" si="6">D17-E17</f>
        <v>0</v>
      </c>
    </row>
    <row r="18" spans="1:7">
      <c r="A18" s="730" t="s">
        <v>1049</v>
      </c>
      <c r="B18" s="715">
        <f>+'LDF Trim'!CY25</f>
        <v>0</v>
      </c>
      <c r="C18" s="715">
        <f>+'LDF Trim'!CZ25</f>
        <v>0</v>
      </c>
      <c r="D18" s="715">
        <f>+'LDF Trim'!DA25</f>
        <v>0</v>
      </c>
      <c r="E18" s="715">
        <f>+'LDF Trim'!DB25</f>
        <v>0</v>
      </c>
      <c r="F18" s="715">
        <f>+'LDF Trim'!DC25</f>
        <v>0</v>
      </c>
      <c r="G18" s="715">
        <f t="shared" si="6"/>
        <v>0</v>
      </c>
    </row>
    <row r="19" spans="1:7">
      <c r="A19" s="730" t="s">
        <v>1058</v>
      </c>
      <c r="B19" s="715">
        <f>SUM(B20:B21)</f>
        <v>0</v>
      </c>
      <c r="C19" s="715">
        <f t="shared" ref="C19:F19" si="7">SUM(C20:C21)</f>
        <v>0</v>
      </c>
      <c r="D19" s="715">
        <f t="shared" si="7"/>
        <v>0</v>
      </c>
      <c r="E19" s="715">
        <f t="shared" si="7"/>
        <v>0</v>
      </c>
      <c r="F19" s="715">
        <f t="shared" si="7"/>
        <v>0</v>
      </c>
      <c r="G19" s="715">
        <f t="shared" si="6"/>
        <v>0</v>
      </c>
    </row>
    <row r="20" spans="1:7">
      <c r="A20" s="771" t="s">
        <v>1066</v>
      </c>
      <c r="B20" s="717">
        <f>+'LDF Trim'!CY27</f>
        <v>0</v>
      </c>
      <c r="C20" s="717">
        <f>+'LDF Trim'!CZ27</f>
        <v>0</v>
      </c>
      <c r="D20" s="717">
        <f>+'LDF Trim'!DA27</f>
        <v>0</v>
      </c>
      <c r="E20" s="717">
        <f>+'LDF Trim'!DB27</f>
        <v>0</v>
      </c>
      <c r="F20" s="717">
        <f>+'LDF Trim'!DC27</f>
        <v>0</v>
      </c>
      <c r="G20" s="717">
        <f t="shared" si="6"/>
        <v>0</v>
      </c>
    </row>
    <row r="21" spans="1:7">
      <c r="A21" s="771" t="s">
        <v>1075</v>
      </c>
      <c r="B21" s="717">
        <f>+'LDF Trim'!CY28</f>
        <v>0</v>
      </c>
      <c r="C21" s="717">
        <f>+'LDF Trim'!CZ28</f>
        <v>0</v>
      </c>
      <c r="D21" s="717">
        <f>+'LDF Trim'!DA28</f>
        <v>0</v>
      </c>
      <c r="E21" s="717">
        <f>+'LDF Trim'!DB28</f>
        <v>0</v>
      </c>
      <c r="F21" s="717">
        <f>+'LDF Trim'!DC28</f>
        <v>0</v>
      </c>
      <c r="G21" s="717">
        <f t="shared" si="6"/>
        <v>0</v>
      </c>
    </row>
    <row r="22" spans="1:7">
      <c r="A22" s="730" t="s">
        <v>1084</v>
      </c>
      <c r="B22" s="715">
        <f>+'LDF Trim'!CY29</f>
        <v>0</v>
      </c>
      <c r="C22" s="715">
        <f>+'LDF Trim'!CZ29</f>
        <v>0</v>
      </c>
      <c r="D22" s="715">
        <f>+'LDF Trim'!DA29</f>
        <v>0</v>
      </c>
      <c r="E22" s="715">
        <f>+'LDF Trim'!DB29</f>
        <v>0</v>
      </c>
      <c r="F22" s="715">
        <f>+'LDF Trim'!DC29</f>
        <v>0</v>
      </c>
      <c r="G22" s="715">
        <f t="shared" si="6"/>
        <v>0</v>
      </c>
    </row>
    <row r="23" spans="1:7" ht="22.5">
      <c r="A23" s="730" t="s">
        <v>1094</v>
      </c>
      <c r="B23" s="715">
        <f>SUM(B24:B25)</f>
        <v>0</v>
      </c>
      <c r="C23" s="715">
        <f t="shared" ref="C23:F23" si="8">SUM(C24:C25)</f>
        <v>0</v>
      </c>
      <c r="D23" s="715">
        <f t="shared" si="8"/>
        <v>0</v>
      </c>
      <c r="E23" s="715">
        <f t="shared" si="8"/>
        <v>0</v>
      </c>
      <c r="F23" s="715">
        <f t="shared" si="8"/>
        <v>0</v>
      </c>
      <c r="G23" s="715">
        <f t="shared" si="6"/>
        <v>0</v>
      </c>
    </row>
    <row r="24" spans="1:7">
      <c r="A24" s="771" t="s">
        <v>1103</v>
      </c>
      <c r="B24" s="717">
        <f>+'LDF Trim'!CY31</f>
        <v>0</v>
      </c>
      <c r="C24" s="717">
        <f>+'LDF Trim'!CZ31</f>
        <v>0</v>
      </c>
      <c r="D24" s="717">
        <f>+'LDF Trim'!DA31</f>
        <v>0</v>
      </c>
      <c r="E24" s="717">
        <f>+'LDF Trim'!DB31</f>
        <v>0</v>
      </c>
      <c r="F24" s="717">
        <f>+'LDF Trim'!DC31</f>
        <v>0</v>
      </c>
      <c r="G24" s="717">
        <f t="shared" si="6"/>
        <v>0</v>
      </c>
    </row>
    <row r="25" spans="1:7">
      <c r="A25" s="771" t="s">
        <v>1112</v>
      </c>
      <c r="B25" s="717">
        <f>+'LDF Trim'!CY32</f>
        <v>0</v>
      </c>
      <c r="C25" s="717">
        <f>+'LDF Trim'!CZ32</f>
        <v>0</v>
      </c>
      <c r="D25" s="717">
        <f>+'LDF Trim'!DA32</f>
        <v>0</v>
      </c>
      <c r="E25" s="717">
        <f>+'LDF Trim'!DB32</f>
        <v>0</v>
      </c>
      <c r="F25" s="717">
        <f>+'LDF Trim'!DC32</f>
        <v>0</v>
      </c>
      <c r="G25" s="717">
        <f t="shared" si="6"/>
        <v>0</v>
      </c>
    </row>
    <row r="26" spans="1:7">
      <c r="A26" s="730" t="s">
        <v>1121</v>
      </c>
      <c r="B26" s="715">
        <f>+'LDF Trim'!CY33</f>
        <v>0</v>
      </c>
      <c r="C26" s="715">
        <f>+'LDF Trim'!CZ33</f>
        <v>0</v>
      </c>
      <c r="D26" s="715">
        <f>+'LDF Trim'!DA33</f>
        <v>0</v>
      </c>
      <c r="E26" s="715">
        <f>+'LDF Trim'!DB33</f>
        <v>0</v>
      </c>
      <c r="F26" s="715">
        <f>+'LDF Trim'!DC33</f>
        <v>0</v>
      </c>
      <c r="G26" s="715">
        <f t="shared" si="6"/>
        <v>0</v>
      </c>
    </row>
    <row r="27" spans="1:7">
      <c r="A27" s="737" t="s">
        <v>1217</v>
      </c>
      <c r="B27" s="715">
        <f>B4+B16</f>
        <v>59875476.900000006</v>
      </c>
      <c r="C27" s="715">
        <f t="shared" ref="C27:G27" si="9">C4+C16</f>
        <v>6048652.1900000013</v>
      </c>
      <c r="D27" s="715">
        <f t="shared" si="9"/>
        <v>65924129.090000004</v>
      </c>
      <c r="E27" s="715">
        <f t="shared" si="9"/>
        <v>65924124.189999998</v>
      </c>
      <c r="F27" s="715">
        <f t="shared" si="9"/>
        <v>64738024.339999996</v>
      </c>
      <c r="G27" s="715">
        <f t="shared" si="9"/>
        <v>4.9000000059604645</v>
      </c>
    </row>
    <row r="28" spans="1:7" ht="5.0999999999999996" customHeight="1">
      <c r="A28" s="794"/>
      <c r="B28" s="724"/>
      <c r="C28" s="724"/>
      <c r="D28" s="724"/>
      <c r="E28" s="724"/>
      <c r="F28" s="724"/>
      <c r="G28" s="724"/>
    </row>
  </sheetData>
  <mergeCells count="2">
    <mergeCell ref="A1:G1"/>
    <mergeCell ref="B2:F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workbookViewId="0">
      <selection activeCell="G7" sqref="G7"/>
    </sheetView>
  </sheetViews>
  <sheetFormatPr baseColWidth="10" defaultColWidth="12" defaultRowHeight="11.25"/>
  <cols>
    <col min="1" max="1" width="1" style="709" customWidth="1"/>
    <col min="2" max="2" width="55.7109375" style="709" customWidth="1"/>
    <col min="3" max="3" width="2.7109375" style="709" customWidth="1"/>
    <col min="4" max="4" width="31.28515625" style="709" customWidth="1"/>
    <col min="5" max="5" width="2.7109375" style="709" customWidth="1"/>
    <col min="6" max="6" width="16.42578125" style="821" customWidth="1"/>
    <col min="7" max="7" width="15.42578125" style="709" customWidth="1"/>
    <col min="8" max="8" width="14.42578125" style="709" bestFit="1" customWidth="1"/>
    <col min="9" max="9" width="28.28515625" style="709" bestFit="1" customWidth="1"/>
    <col min="10" max="10" width="18" style="709" customWidth="1"/>
    <col min="11" max="16384" width="12" style="709"/>
  </cols>
  <sheetData>
    <row r="1" spans="1:10" ht="45" customHeight="1">
      <c r="A1" s="998" t="s">
        <v>1638</v>
      </c>
      <c r="B1" s="999"/>
      <c r="C1" s="999"/>
      <c r="D1" s="999"/>
      <c r="E1" s="999"/>
      <c r="F1" s="999"/>
      <c r="G1" s="999"/>
      <c r="H1" s="999"/>
      <c r="I1" s="999"/>
      <c r="J1" s="1000"/>
    </row>
    <row r="2" spans="1:10" ht="24" customHeight="1">
      <c r="A2" s="795"/>
      <c r="B2" s="947"/>
      <c r="C2" s="998" t="s">
        <v>1639</v>
      </c>
      <c r="D2" s="999"/>
      <c r="E2" s="999"/>
      <c r="F2" s="1000"/>
      <c r="G2" s="998" t="s">
        <v>1415</v>
      </c>
      <c r="H2" s="1000"/>
      <c r="I2" s="796"/>
      <c r="J2" s="797"/>
    </row>
    <row r="3" spans="1:10" ht="33.75">
      <c r="A3" s="798"/>
      <c r="B3" s="799" t="s">
        <v>1640</v>
      </c>
      <c r="C3" s="1126" t="s">
        <v>1420</v>
      </c>
      <c r="D3" s="1127"/>
      <c r="E3" s="1126" t="s">
        <v>1421</v>
      </c>
      <c r="F3" s="1127"/>
      <c r="G3" s="944" t="s">
        <v>1422</v>
      </c>
      <c r="H3" s="944" t="s">
        <v>1641</v>
      </c>
      <c r="I3" s="800" t="s">
        <v>1416</v>
      </c>
      <c r="J3" s="801" t="s">
        <v>1417</v>
      </c>
    </row>
    <row r="4" spans="1:10" ht="15" customHeight="1">
      <c r="A4" s="802"/>
      <c r="B4" s="1124" t="s">
        <v>1424</v>
      </c>
      <c r="C4" s="1124"/>
      <c r="D4" s="1124"/>
      <c r="E4" s="1124"/>
      <c r="F4" s="1124"/>
      <c r="G4" s="1124"/>
      <c r="H4" s="1124"/>
      <c r="I4" s="1124"/>
      <c r="J4" s="1125"/>
    </row>
    <row r="5" spans="1:10" ht="15" customHeight="1">
      <c r="A5" s="803"/>
      <c r="B5" s="1130" t="s">
        <v>1425</v>
      </c>
      <c r="C5" s="1130"/>
      <c r="D5" s="1130"/>
      <c r="E5" s="1130"/>
      <c r="F5" s="1130"/>
      <c r="G5" s="1130"/>
      <c r="H5" s="1130"/>
      <c r="I5" s="1130"/>
      <c r="J5" s="1131"/>
    </row>
    <row r="6" spans="1:10" ht="15" customHeight="1">
      <c r="A6" s="803"/>
      <c r="B6" s="1128" t="s">
        <v>1642</v>
      </c>
      <c r="C6" s="1128"/>
      <c r="D6" s="1128"/>
      <c r="E6" s="1128"/>
      <c r="F6" s="1128"/>
      <c r="G6" s="1128"/>
      <c r="H6" s="1128"/>
      <c r="I6" s="1128"/>
      <c r="J6" s="1129"/>
    </row>
    <row r="7" spans="1:10" ht="24.95" customHeight="1">
      <c r="A7" s="804">
        <v>900001</v>
      </c>
      <c r="B7" s="805" t="s">
        <v>1643</v>
      </c>
      <c r="C7" s="806" t="str">
        <f>+'LDF Guia'!F14</f>
        <v>SI</v>
      </c>
      <c r="D7" s="807" t="s">
        <v>1429</v>
      </c>
      <c r="E7" s="806"/>
      <c r="F7" s="808"/>
      <c r="G7" s="809">
        <f>+'LDF Guia'!J14</f>
        <v>0</v>
      </c>
      <c r="H7" s="810" t="s">
        <v>1644</v>
      </c>
      <c r="I7" s="810" t="s">
        <v>1431</v>
      </c>
      <c r="J7" s="987" t="str">
        <f>+'LDF Guia'!M14</f>
        <v>liga</v>
      </c>
    </row>
    <row r="8" spans="1:10" ht="24.95" customHeight="1">
      <c r="A8" s="804">
        <v>900002</v>
      </c>
      <c r="B8" s="805" t="s">
        <v>1645</v>
      </c>
      <c r="C8" s="806" t="str">
        <f>+'LDF Guia'!F15</f>
        <v>SI</v>
      </c>
      <c r="D8" s="807" t="s">
        <v>1433</v>
      </c>
      <c r="E8" s="806"/>
      <c r="F8" s="808"/>
      <c r="G8" s="809">
        <f>+'LDF Guia'!J15</f>
        <v>0</v>
      </c>
      <c r="H8" s="810" t="s">
        <v>1644</v>
      </c>
      <c r="I8" s="810" t="s">
        <v>1431</v>
      </c>
      <c r="J8" s="987" t="str">
        <f>+'LDF Guia'!M15</f>
        <v>liga</v>
      </c>
    </row>
    <row r="9" spans="1:10" ht="20.100000000000001" customHeight="1">
      <c r="A9" s="804">
        <v>900003</v>
      </c>
      <c r="B9" s="805" t="s">
        <v>1646</v>
      </c>
      <c r="C9" s="806" t="str">
        <f>+'LDF Guia'!F16</f>
        <v>SI</v>
      </c>
      <c r="D9" s="807" t="s">
        <v>1435</v>
      </c>
      <c r="E9" s="806"/>
      <c r="F9" s="808"/>
      <c r="G9" s="809">
        <f>+'LDF Guia'!J16</f>
        <v>2670534.3099999577</v>
      </c>
      <c r="H9" s="810" t="s">
        <v>1644</v>
      </c>
      <c r="I9" s="810" t="s">
        <v>1431</v>
      </c>
      <c r="J9" s="987" t="str">
        <f>+'LDF Guia'!M16</f>
        <v>liga</v>
      </c>
    </row>
    <row r="10" spans="1:10" ht="15" customHeight="1">
      <c r="A10" s="811"/>
      <c r="B10" s="1128" t="s">
        <v>1647</v>
      </c>
      <c r="C10" s="1128"/>
      <c r="D10" s="1128"/>
      <c r="E10" s="1128"/>
      <c r="F10" s="1128"/>
      <c r="G10" s="1128"/>
      <c r="H10" s="1128"/>
      <c r="I10" s="1128"/>
      <c r="J10" s="1129"/>
    </row>
    <row r="11" spans="1:10" ht="24.95" customHeight="1">
      <c r="A11" s="804">
        <v>900004</v>
      </c>
      <c r="B11" s="805" t="s">
        <v>1643</v>
      </c>
      <c r="C11" s="806" t="str">
        <f>+'LDF Guia'!F18</f>
        <v>SI</v>
      </c>
      <c r="D11" s="807" t="s">
        <v>1429</v>
      </c>
      <c r="E11" s="806"/>
      <c r="F11" s="808"/>
      <c r="G11" s="809">
        <f>+'LDF Guia'!J18</f>
        <v>0</v>
      </c>
      <c r="H11" s="812" t="s">
        <v>1644</v>
      </c>
      <c r="I11" s="810" t="s">
        <v>1431</v>
      </c>
      <c r="J11" s="987" t="str">
        <f>+'LDF Guia'!M18</f>
        <v>liga</v>
      </c>
    </row>
    <row r="12" spans="1:10" ht="24.95" customHeight="1">
      <c r="A12" s="804">
        <v>900005</v>
      </c>
      <c r="B12" s="805" t="s">
        <v>1645</v>
      </c>
      <c r="C12" s="806" t="str">
        <f>+'LDF Guia'!F19</f>
        <v>SI</v>
      </c>
      <c r="D12" s="807" t="s">
        <v>1433</v>
      </c>
      <c r="E12" s="806"/>
      <c r="F12" s="808"/>
      <c r="G12" s="809">
        <f>+'LDF Guia'!J19</f>
        <v>0</v>
      </c>
      <c r="H12" s="812" t="s">
        <v>1644</v>
      </c>
      <c r="I12" s="810" t="s">
        <v>1431</v>
      </c>
      <c r="J12" s="987" t="str">
        <f>+'LDF Guia'!M19</f>
        <v>liga</v>
      </c>
    </row>
    <row r="13" spans="1:10" ht="20.100000000000001" customHeight="1">
      <c r="A13" s="804">
        <v>900006</v>
      </c>
      <c r="B13" s="805" t="s">
        <v>1646</v>
      </c>
      <c r="C13" s="806" t="str">
        <f>+'LDF Guia'!F20</f>
        <v>SI</v>
      </c>
      <c r="D13" s="807" t="s">
        <v>1435</v>
      </c>
      <c r="E13" s="806"/>
      <c r="F13" s="808"/>
      <c r="G13" s="809">
        <f>+'LDF Guia'!J20</f>
        <v>2670534.3099999577</v>
      </c>
      <c r="H13" s="812" t="s">
        <v>1644</v>
      </c>
      <c r="I13" s="810" t="s">
        <v>1431</v>
      </c>
      <c r="J13" s="987" t="str">
        <f>+'LDF Guia'!M20</f>
        <v>liga</v>
      </c>
    </row>
    <row r="14" spans="1:10" ht="15" customHeight="1">
      <c r="A14" s="811"/>
      <c r="B14" s="1128" t="s">
        <v>1648</v>
      </c>
      <c r="C14" s="1128"/>
      <c r="D14" s="1128"/>
      <c r="E14" s="1128"/>
      <c r="F14" s="1128"/>
      <c r="G14" s="1128"/>
      <c r="H14" s="1128"/>
      <c r="I14" s="1128"/>
      <c r="J14" s="1129"/>
    </row>
    <row r="15" spans="1:10" ht="20.100000000000001" customHeight="1">
      <c r="A15" s="804">
        <v>900007</v>
      </c>
      <c r="B15" s="805" t="s">
        <v>1643</v>
      </c>
      <c r="C15" s="806" t="str">
        <f>+'LDF Guia'!F22</f>
        <v>N.A.</v>
      </c>
      <c r="D15" s="807" t="s">
        <v>1649</v>
      </c>
      <c r="E15" s="806"/>
      <c r="F15" s="808"/>
      <c r="G15" s="809">
        <f>+'LDF Guia'!J22</f>
        <v>0</v>
      </c>
      <c r="H15" s="812" t="s">
        <v>1644</v>
      </c>
      <c r="I15" s="810" t="s">
        <v>1440</v>
      </c>
      <c r="J15" s="987" t="str">
        <f>+'LDF Guia'!M22</f>
        <v>SOLO ES FACULTAD DEL PODER EJECUTIVO</v>
      </c>
    </row>
    <row r="16" spans="1:10" ht="20.100000000000001" customHeight="1">
      <c r="A16" s="804">
        <v>900008</v>
      </c>
      <c r="B16" s="805" t="s">
        <v>1645</v>
      </c>
      <c r="C16" s="806" t="str">
        <f>+'LDF Guia'!F23</f>
        <v>N.A.</v>
      </c>
      <c r="D16" s="807" t="s">
        <v>1650</v>
      </c>
      <c r="E16" s="806"/>
      <c r="F16" s="808"/>
      <c r="G16" s="809">
        <f>+'LDF Guia'!J23</f>
        <v>0</v>
      </c>
      <c r="H16" s="812" t="s">
        <v>1644</v>
      </c>
      <c r="I16" s="810" t="s">
        <v>1440</v>
      </c>
      <c r="J16" s="987" t="str">
        <f>+'LDF Guia'!M23</f>
        <v>SOLO ES FACULTAD DEL PODER EJECUTIVO</v>
      </c>
    </row>
    <row r="17" spans="1:10" ht="20.100000000000001" customHeight="1">
      <c r="A17" s="804">
        <v>900009</v>
      </c>
      <c r="B17" s="805" t="s">
        <v>1646</v>
      </c>
      <c r="C17" s="806" t="str">
        <f>+'LDF Guia'!F24</f>
        <v>N.A.</v>
      </c>
      <c r="D17" s="807" t="s">
        <v>1435</v>
      </c>
      <c r="E17" s="806"/>
      <c r="F17" s="808"/>
      <c r="G17" s="809">
        <f>+'LDF Guia'!J24</f>
        <v>0</v>
      </c>
      <c r="H17" s="812" t="s">
        <v>1644</v>
      </c>
      <c r="I17" s="810" t="s">
        <v>1440</v>
      </c>
      <c r="J17" s="987" t="str">
        <f>+'LDF Guia'!M24</f>
        <v>SOLO ES FACULTAD DEL PODER EJECUTIVO</v>
      </c>
    </row>
    <row r="18" spans="1:10" ht="15" customHeight="1">
      <c r="A18" s="811"/>
      <c r="B18" s="1128" t="s">
        <v>1651</v>
      </c>
      <c r="C18" s="1128"/>
      <c r="D18" s="1128"/>
      <c r="E18" s="1128"/>
      <c r="F18" s="1128"/>
      <c r="G18" s="1128"/>
      <c r="H18" s="1128"/>
      <c r="I18" s="1128"/>
      <c r="J18" s="1129"/>
    </row>
    <row r="19" spans="1:10" ht="15" customHeight="1">
      <c r="A19" s="811"/>
      <c r="B19" s="1132" t="s">
        <v>1652</v>
      </c>
      <c r="C19" s="1132"/>
      <c r="D19" s="1132"/>
      <c r="E19" s="1132"/>
      <c r="F19" s="1132"/>
      <c r="G19" s="1132"/>
      <c r="H19" s="1132"/>
      <c r="I19" s="1132"/>
      <c r="J19" s="1133"/>
    </row>
    <row r="20" spans="1:10" ht="20.100000000000001" customHeight="1">
      <c r="A20" s="804">
        <v>9000010</v>
      </c>
      <c r="B20" s="813" t="s">
        <v>1653</v>
      </c>
      <c r="C20" s="806" t="str">
        <f>+'LDF Guia'!F27</f>
        <v>N.A.</v>
      </c>
      <c r="D20" s="807" t="s">
        <v>1446</v>
      </c>
      <c r="E20" s="806"/>
      <c r="F20" s="808"/>
      <c r="G20" s="809">
        <f>+'LDF Guia'!J27</f>
        <v>0</v>
      </c>
      <c r="H20" s="812" t="s">
        <v>1644</v>
      </c>
      <c r="I20" s="810" t="s">
        <v>1654</v>
      </c>
      <c r="J20" s="987" t="str">
        <f>+'LDF Guia'!M27</f>
        <v>SOLO ES FACULTAD DEL PODER EJECUTIVO</v>
      </c>
    </row>
    <row r="21" spans="1:10" ht="20.100000000000001" customHeight="1">
      <c r="A21" s="804">
        <v>9000011</v>
      </c>
      <c r="B21" s="813" t="s">
        <v>1655</v>
      </c>
      <c r="C21" s="806" t="str">
        <f>+'LDF Guia'!F28</f>
        <v>N.A.</v>
      </c>
      <c r="D21" s="807" t="s">
        <v>1449</v>
      </c>
      <c r="E21" s="806"/>
      <c r="F21" s="808"/>
      <c r="G21" s="809">
        <f>+'LDF Guia'!J28</f>
        <v>0</v>
      </c>
      <c r="H21" s="812" t="s">
        <v>1644</v>
      </c>
      <c r="I21" s="810" t="s">
        <v>1654</v>
      </c>
      <c r="J21" s="987" t="str">
        <f>+'LDF Guia'!M28</f>
        <v>SOLO ES FACULTAD DEL PODER EJECUTIVO</v>
      </c>
    </row>
    <row r="22" spans="1:10" ht="34.5" customHeight="1">
      <c r="A22" s="804">
        <v>9000012</v>
      </c>
      <c r="B22" s="814" t="s">
        <v>1656</v>
      </c>
      <c r="C22" s="815"/>
      <c r="D22" s="807" t="s">
        <v>1451</v>
      </c>
      <c r="E22" s="815"/>
      <c r="F22" s="808"/>
      <c r="G22" s="809">
        <f>+'LDF Guia'!J29</f>
        <v>0</v>
      </c>
      <c r="H22" s="812" t="s">
        <v>1644</v>
      </c>
      <c r="I22" s="810" t="s">
        <v>1654</v>
      </c>
      <c r="J22" s="987" t="str">
        <f>+'LDF Guia'!M29</f>
        <v>SOLO ES FACULTAD DEL PODER EJECUTIVO</v>
      </c>
    </row>
    <row r="23" spans="1:10" ht="20.100000000000001" customHeight="1">
      <c r="A23" s="804">
        <v>9000013</v>
      </c>
      <c r="B23" s="805" t="s">
        <v>1657</v>
      </c>
      <c r="C23" s="815"/>
      <c r="D23" s="807" t="s">
        <v>1453</v>
      </c>
      <c r="E23" s="815"/>
      <c r="F23" s="808"/>
      <c r="G23" s="809">
        <f>+'LDF Guia'!J30</f>
        <v>0</v>
      </c>
      <c r="H23" s="812" t="s">
        <v>1644</v>
      </c>
      <c r="I23" s="810" t="s">
        <v>1654</v>
      </c>
      <c r="J23" s="987" t="str">
        <f>+'LDF Guia'!M30</f>
        <v>SOLO ES FACULTAD DEL PODER EJECUTIVO</v>
      </c>
    </row>
    <row r="24" spans="1:10" ht="35.1" customHeight="1">
      <c r="A24" s="804">
        <v>9000014</v>
      </c>
      <c r="B24" s="814" t="s">
        <v>1658</v>
      </c>
      <c r="C24" s="815"/>
      <c r="D24" s="807" t="s">
        <v>1451</v>
      </c>
      <c r="E24" s="815"/>
      <c r="F24" s="808"/>
      <c r="G24" s="809">
        <f>+'LDF Guia'!J31</f>
        <v>0</v>
      </c>
      <c r="H24" s="812" t="s">
        <v>1644</v>
      </c>
      <c r="I24" s="810" t="s">
        <v>1654</v>
      </c>
      <c r="J24" s="987" t="str">
        <f>+'LDF Guia'!M31</f>
        <v>SOLO ES FACULTAD DEL PODER EJECUTIVO</v>
      </c>
    </row>
    <row r="25" spans="1:10" ht="15" customHeight="1">
      <c r="A25" s="811"/>
      <c r="B25" s="1128" t="s">
        <v>1659</v>
      </c>
      <c r="C25" s="1128"/>
      <c r="D25" s="1128"/>
      <c r="E25" s="1128"/>
      <c r="F25" s="1128"/>
      <c r="G25" s="1128"/>
      <c r="H25" s="1128"/>
      <c r="I25" s="1128"/>
      <c r="J25" s="1129"/>
    </row>
    <row r="26" spans="1:10" ht="20.100000000000001" customHeight="1">
      <c r="A26" s="804">
        <v>9000015</v>
      </c>
      <c r="B26" s="805" t="s">
        <v>1660</v>
      </c>
      <c r="C26" s="806" t="str">
        <f>+'LDF Guia'!F33</f>
        <v>SI</v>
      </c>
      <c r="D26" s="807" t="s">
        <v>1459</v>
      </c>
      <c r="E26" s="806"/>
      <c r="F26" s="808"/>
      <c r="G26" s="809">
        <f>+'LDF Guia'!J33</f>
        <v>59875476.900000006</v>
      </c>
      <c r="H26" s="812" t="s">
        <v>1644</v>
      </c>
      <c r="I26" s="807" t="s">
        <v>1460</v>
      </c>
      <c r="J26" s="987">
        <f>+'LDF Guia'!M33</f>
        <v>0</v>
      </c>
    </row>
    <row r="27" spans="1:10" ht="20.100000000000001" customHeight="1">
      <c r="A27" s="804">
        <v>9000016</v>
      </c>
      <c r="B27" s="805" t="s">
        <v>1661</v>
      </c>
      <c r="C27" s="806" t="str">
        <f>+'LDF Guia'!F34</f>
        <v>SI</v>
      </c>
      <c r="D27" s="807" t="s">
        <v>1459</v>
      </c>
      <c r="E27" s="806"/>
      <c r="F27" s="808"/>
      <c r="G27" s="809">
        <f>+'LDF Guia'!J34</f>
        <v>65924124.189999998</v>
      </c>
      <c r="H27" s="812" t="s">
        <v>1644</v>
      </c>
      <c r="I27" s="807" t="s">
        <v>1462</v>
      </c>
      <c r="J27" s="987">
        <f>+'LDF Guia'!M34</f>
        <v>0</v>
      </c>
    </row>
    <row r="28" spans="1:10" ht="15" customHeight="1">
      <c r="A28" s="811"/>
      <c r="B28" s="1128" t="s">
        <v>1662</v>
      </c>
      <c r="C28" s="1128"/>
      <c r="D28" s="1128"/>
      <c r="E28" s="1128"/>
      <c r="F28" s="1128"/>
      <c r="G28" s="1128"/>
      <c r="H28" s="1128"/>
      <c r="I28" s="1128"/>
      <c r="J28" s="1129"/>
    </row>
    <row r="29" spans="1:10" ht="20.100000000000001" customHeight="1">
      <c r="A29" s="804">
        <v>9000017</v>
      </c>
      <c r="B29" s="805" t="s">
        <v>1660</v>
      </c>
      <c r="C29" s="806" t="str">
        <f>+'LDF Guia'!F36</f>
        <v>N.A.</v>
      </c>
      <c r="D29" s="807" t="s">
        <v>1464</v>
      </c>
      <c r="E29" s="806"/>
      <c r="F29" s="808"/>
      <c r="G29" s="809">
        <f>+'LDF Guia'!J36</f>
        <v>0</v>
      </c>
      <c r="H29" s="812" t="s">
        <v>1644</v>
      </c>
      <c r="I29" s="810" t="s">
        <v>1465</v>
      </c>
      <c r="J29" s="987" t="str">
        <f>+'LDF Guia'!M36</f>
        <v>SOLO ES FACULTAD DEL PODER EJECUTIVO</v>
      </c>
    </row>
    <row r="30" spans="1:10" ht="15" customHeight="1">
      <c r="A30" s="811"/>
      <c r="B30" s="1128" t="s">
        <v>1663</v>
      </c>
      <c r="C30" s="1128"/>
      <c r="D30" s="1128"/>
      <c r="E30" s="1128"/>
      <c r="F30" s="1128"/>
      <c r="G30" s="1128"/>
      <c r="H30" s="1128"/>
      <c r="I30" s="1128"/>
      <c r="J30" s="1129"/>
    </row>
    <row r="31" spans="1:10" ht="20.100000000000001" customHeight="1">
      <c r="A31" s="804">
        <v>9000018</v>
      </c>
      <c r="B31" s="805" t="s">
        <v>1643</v>
      </c>
      <c r="C31" s="806" t="str">
        <f>+'LDF Guia'!F38</f>
        <v>N.A.</v>
      </c>
      <c r="D31" s="807" t="s">
        <v>1467</v>
      </c>
      <c r="E31" s="806"/>
      <c r="F31" s="808"/>
      <c r="G31" s="809">
        <f>+'LDF Guia'!J38</f>
        <v>0</v>
      </c>
      <c r="H31" s="812" t="s">
        <v>1644</v>
      </c>
      <c r="I31" s="810" t="s">
        <v>1468</v>
      </c>
      <c r="J31" s="987" t="str">
        <f>+'LDF Guia'!M38</f>
        <v>NO SE PRESUPUESTA ESTE CONCEPTO</v>
      </c>
    </row>
    <row r="32" spans="1:10" ht="20.100000000000001" customHeight="1">
      <c r="A32" s="804">
        <v>9000019</v>
      </c>
      <c r="B32" s="805" t="s">
        <v>1664</v>
      </c>
      <c r="C32" s="806" t="str">
        <f>+'LDF Guia'!F39</f>
        <v>N.A.</v>
      </c>
      <c r="D32" s="807" t="s">
        <v>1446</v>
      </c>
      <c r="E32" s="806"/>
      <c r="F32" s="808"/>
      <c r="G32" s="809">
        <f>+'LDF Guia'!J39</f>
        <v>0</v>
      </c>
      <c r="H32" s="812" t="s">
        <v>1644</v>
      </c>
      <c r="I32" s="810" t="s">
        <v>1468</v>
      </c>
      <c r="J32" s="987" t="str">
        <f>+'LDF Guia'!M39</f>
        <v>NO SE PRESUPUESTA ESTE CONCEPTO</v>
      </c>
    </row>
    <row r="33" spans="1:10" ht="20.100000000000001" customHeight="1">
      <c r="A33" s="804">
        <v>9000020</v>
      </c>
      <c r="B33" s="805" t="s">
        <v>1646</v>
      </c>
      <c r="C33" s="806" t="str">
        <f>+'LDF Guia'!F40</f>
        <v>N.A.</v>
      </c>
      <c r="D33" s="807" t="s">
        <v>1449</v>
      </c>
      <c r="E33" s="806"/>
      <c r="F33" s="808"/>
      <c r="G33" s="809">
        <f>+'LDF Guia'!J40</f>
        <v>0</v>
      </c>
      <c r="H33" s="812" t="s">
        <v>1644</v>
      </c>
      <c r="I33" s="810" t="s">
        <v>1468</v>
      </c>
      <c r="J33" s="987" t="str">
        <f>+'LDF Guia'!M40</f>
        <v>NO SE PRESUPUESTA ESTE CONCEPTO</v>
      </c>
    </row>
    <row r="34" spans="1:10" ht="15" customHeight="1">
      <c r="A34" s="803"/>
      <c r="B34" s="1130" t="s">
        <v>1470</v>
      </c>
      <c r="C34" s="1130"/>
      <c r="D34" s="1130"/>
      <c r="E34" s="1130"/>
      <c r="F34" s="1130"/>
      <c r="G34" s="1130"/>
      <c r="H34" s="1130"/>
      <c r="I34" s="1130"/>
      <c r="J34" s="1131"/>
    </row>
    <row r="35" spans="1:10" ht="15" customHeight="1">
      <c r="A35" s="803"/>
      <c r="B35" s="1128" t="s">
        <v>1665</v>
      </c>
      <c r="C35" s="1128"/>
      <c r="D35" s="1128"/>
      <c r="E35" s="1128"/>
      <c r="F35" s="1128"/>
      <c r="G35" s="1128"/>
      <c r="H35" s="1128"/>
      <c r="I35" s="1128"/>
      <c r="J35" s="1129"/>
    </row>
    <row r="36" spans="1:10" ht="24.95" customHeight="1">
      <c r="A36" s="804">
        <v>9000021</v>
      </c>
      <c r="B36" s="814" t="s">
        <v>1666</v>
      </c>
      <c r="C36" s="806" t="str">
        <f>+'LDF Guia'!F43</f>
        <v>N.A.</v>
      </c>
      <c r="D36" s="807" t="s">
        <v>1429</v>
      </c>
      <c r="E36" s="806"/>
      <c r="F36" s="808"/>
      <c r="G36" s="816"/>
      <c r="H36" s="817"/>
      <c r="I36" s="810" t="s">
        <v>1472</v>
      </c>
      <c r="J36" s="987" t="str">
        <f>+'LDF Guia'!M43</f>
        <v>SOLO ES FACULTAD DEL PODER EJECUTIVO</v>
      </c>
    </row>
    <row r="37" spans="1:10" ht="35.1" customHeight="1">
      <c r="A37" s="804">
        <v>9000022</v>
      </c>
      <c r="B37" s="805" t="s">
        <v>1667</v>
      </c>
      <c r="C37" s="806" t="str">
        <f>+'LDF Guia'!F44</f>
        <v>SI</v>
      </c>
      <c r="D37" s="807" t="s">
        <v>1474</v>
      </c>
      <c r="E37" s="806"/>
      <c r="F37" s="808"/>
      <c r="G37" s="816"/>
      <c r="H37" s="817"/>
      <c r="I37" s="810" t="s">
        <v>1472</v>
      </c>
      <c r="J37" s="987" t="str">
        <f>+'LDF Guia'!M44</f>
        <v>liga</v>
      </c>
    </row>
    <row r="38" spans="1:10" ht="24.95" customHeight="1">
      <c r="A38" s="804">
        <v>9000023</v>
      </c>
      <c r="B38" s="814" t="s">
        <v>1668</v>
      </c>
      <c r="C38" s="806" t="str">
        <f>+'LDF Guia'!F45</f>
        <v>N.A.</v>
      </c>
      <c r="D38" s="807" t="s">
        <v>1429</v>
      </c>
      <c r="E38" s="806"/>
      <c r="F38" s="808"/>
      <c r="G38" s="816"/>
      <c r="H38" s="817"/>
      <c r="I38" s="810" t="s">
        <v>1472</v>
      </c>
      <c r="J38" s="987" t="str">
        <f>+'LDF Guia'!M45</f>
        <v>SOLO ES FACULTAD DEL PODER EJECUTIVO</v>
      </c>
    </row>
    <row r="39" spans="1:10" ht="35.1" customHeight="1">
      <c r="A39" s="804">
        <v>9000024</v>
      </c>
      <c r="B39" s="814" t="s">
        <v>1669</v>
      </c>
      <c r="C39" s="806" t="str">
        <f>+'LDF Guia'!F46</f>
        <v>SI</v>
      </c>
      <c r="D39" s="807" t="s">
        <v>1477</v>
      </c>
      <c r="E39" s="806"/>
      <c r="F39" s="808"/>
      <c r="G39" s="816"/>
      <c r="H39" s="817"/>
      <c r="I39" s="810" t="s">
        <v>1472</v>
      </c>
      <c r="J39" s="987" t="str">
        <f>+'LDF Guia'!M46</f>
        <v>liga</v>
      </c>
    </row>
    <row r="40" spans="1:10" ht="24.95" customHeight="1">
      <c r="A40" s="804">
        <v>9000025</v>
      </c>
      <c r="B40" s="805" t="s">
        <v>1670</v>
      </c>
      <c r="C40" s="806" t="str">
        <f>+'LDF Guia'!F47</f>
        <v>SI</v>
      </c>
      <c r="D40" s="807" t="s">
        <v>1480</v>
      </c>
      <c r="E40" s="806"/>
      <c r="F40" s="808"/>
      <c r="G40" s="816"/>
      <c r="H40" s="817"/>
      <c r="I40" s="810" t="s">
        <v>1472</v>
      </c>
      <c r="J40" s="987" t="str">
        <f>+'LDF Guia'!M47</f>
        <v>liga</v>
      </c>
    </row>
    <row r="41" spans="1:10" ht="15" customHeight="1">
      <c r="A41" s="811"/>
      <c r="B41" s="1128" t="s">
        <v>1671</v>
      </c>
      <c r="C41" s="1128"/>
      <c r="D41" s="1128"/>
      <c r="E41" s="1128"/>
      <c r="F41" s="1128"/>
      <c r="G41" s="1128"/>
      <c r="H41" s="1128"/>
      <c r="I41" s="1128"/>
      <c r="J41" s="1129"/>
    </row>
    <row r="42" spans="1:10" ht="24.95" customHeight="1">
      <c r="A42" s="804">
        <v>9000026</v>
      </c>
      <c r="B42" s="814" t="s">
        <v>1672</v>
      </c>
      <c r="C42" s="806" t="str">
        <f>+'LDF Guia'!F49</f>
        <v>N.A.</v>
      </c>
      <c r="D42" s="807" t="s">
        <v>1483</v>
      </c>
      <c r="E42" s="806"/>
      <c r="F42" s="808"/>
      <c r="G42" s="816"/>
      <c r="H42" s="817"/>
      <c r="I42" s="810" t="s">
        <v>1431</v>
      </c>
      <c r="J42" s="987" t="str">
        <f>+'LDF Guia'!M49</f>
        <v>SE OBTUVO UN BALANCE PRESUPUESTARIO SOSTENIBLE</v>
      </c>
    </row>
    <row r="43" spans="1:10" ht="24.95" customHeight="1">
      <c r="A43" s="804">
        <v>9000027</v>
      </c>
      <c r="B43" s="814" t="s">
        <v>1673</v>
      </c>
      <c r="C43" s="806" t="str">
        <f>+'LDF Guia'!F50</f>
        <v>N.A.</v>
      </c>
      <c r="D43" s="807" t="s">
        <v>1483</v>
      </c>
      <c r="E43" s="806"/>
      <c r="F43" s="808"/>
      <c r="G43" s="816"/>
      <c r="H43" s="817"/>
      <c r="I43" s="810" t="s">
        <v>1431</v>
      </c>
      <c r="J43" s="987" t="str">
        <f>+'LDF Guia'!M50</f>
        <v>SE OBTUVO UN BALANCE PRESUPUESTARIO SOSTENIBLE</v>
      </c>
    </row>
    <row r="44" spans="1:10" ht="35.1" customHeight="1">
      <c r="A44" s="804">
        <v>9000028</v>
      </c>
      <c r="B44" s="814" t="s">
        <v>1674</v>
      </c>
      <c r="C44" s="806" t="str">
        <f>+'LDF Guia'!F51</f>
        <v>N.A.</v>
      </c>
      <c r="D44" s="807" t="s">
        <v>1483</v>
      </c>
      <c r="E44" s="806"/>
      <c r="F44" s="808"/>
      <c r="G44" s="816"/>
      <c r="H44" s="817"/>
      <c r="I44" s="810" t="s">
        <v>1431</v>
      </c>
      <c r="J44" s="987" t="str">
        <f>+'LDF Guia'!M51</f>
        <v>SE OBTUVO UN BALANCE PRESUPUESTARIO SOSTENIBLE</v>
      </c>
    </row>
    <row r="45" spans="1:10" ht="35.1" customHeight="1">
      <c r="A45" s="804">
        <v>9000029</v>
      </c>
      <c r="B45" s="814" t="s">
        <v>1675</v>
      </c>
      <c r="C45" s="806" t="str">
        <f>+'LDF Guia'!F52</f>
        <v>N.A.</v>
      </c>
      <c r="D45" s="807" t="s">
        <v>1488</v>
      </c>
      <c r="E45" s="806"/>
      <c r="F45" s="808"/>
      <c r="G45" s="816"/>
      <c r="H45" s="817"/>
      <c r="I45" s="810" t="s">
        <v>1431</v>
      </c>
      <c r="J45" s="987" t="str">
        <f>+'LDF Guia'!M52</f>
        <v>SE OBTUVO UN BALANCE PRESUPUESTARIO SOSTENIBLE</v>
      </c>
    </row>
    <row r="46" spans="1:10" ht="15" customHeight="1">
      <c r="A46" s="811"/>
      <c r="B46" s="1128" t="s">
        <v>1676</v>
      </c>
      <c r="C46" s="1128"/>
      <c r="D46" s="1128"/>
      <c r="E46" s="1128"/>
      <c r="F46" s="1128"/>
      <c r="G46" s="1128"/>
      <c r="H46" s="1128"/>
      <c r="I46" s="1128"/>
      <c r="J46" s="1129"/>
    </row>
    <row r="47" spans="1:10" ht="20.100000000000001" customHeight="1">
      <c r="A47" s="804">
        <v>9000030</v>
      </c>
      <c r="B47" s="805" t="s">
        <v>1677</v>
      </c>
      <c r="C47" s="806" t="str">
        <f>+'LDF Guia'!F54</f>
        <v>N.A.</v>
      </c>
      <c r="D47" s="807" t="s">
        <v>1491</v>
      </c>
      <c r="E47" s="806"/>
      <c r="F47" s="808"/>
      <c r="G47" s="816"/>
      <c r="H47" s="817"/>
      <c r="I47" s="810" t="s">
        <v>1460</v>
      </c>
      <c r="J47" s="987" t="str">
        <f>+'LDF Guia'!M54</f>
        <v>SOLO ES FACULTAD DEL PODER EJECUTIVO</v>
      </c>
    </row>
    <row r="48" spans="1:10" ht="24.95" customHeight="1">
      <c r="A48" s="804">
        <v>9000031</v>
      </c>
      <c r="B48" s="814" t="s">
        <v>1678</v>
      </c>
      <c r="C48" s="806" t="str">
        <f>+'LDF Guia'!F55</f>
        <v>N.A.</v>
      </c>
      <c r="D48" s="807" t="s">
        <v>1491</v>
      </c>
      <c r="E48" s="806"/>
      <c r="F48" s="808"/>
      <c r="G48" s="816"/>
      <c r="H48" s="817"/>
      <c r="I48" s="810" t="s">
        <v>1460</v>
      </c>
      <c r="J48" s="987" t="str">
        <f>+'LDF Guia'!M55</f>
        <v>SOLO ES FACULTAD DEL PODER EJECUTIVO</v>
      </c>
    </row>
    <row r="49" spans="1:10" ht="15" customHeight="1">
      <c r="A49" s="818"/>
      <c r="B49" s="1124" t="s">
        <v>1493</v>
      </c>
      <c r="C49" s="1124"/>
      <c r="D49" s="1124"/>
      <c r="E49" s="1124"/>
      <c r="F49" s="1124"/>
      <c r="G49" s="1124"/>
      <c r="H49" s="1124"/>
      <c r="I49" s="1124"/>
      <c r="J49" s="1125"/>
    </row>
    <row r="50" spans="1:10" ht="15" customHeight="1">
      <c r="A50" s="803"/>
      <c r="B50" s="1130" t="s">
        <v>1425</v>
      </c>
      <c r="C50" s="1130"/>
      <c r="D50" s="1130"/>
      <c r="E50" s="1130"/>
      <c r="F50" s="1130"/>
      <c r="G50" s="1130"/>
      <c r="H50" s="1130"/>
      <c r="I50" s="1130"/>
      <c r="J50" s="1131"/>
    </row>
    <row r="51" spans="1:10" ht="15" customHeight="1">
      <c r="A51" s="803"/>
      <c r="B51" s="1128" t="s">
        <v>1679</v>
      </c>
      <c r="C51" s="1128"/>
      <c r="D51" s="1128"/>
      <c r="E51" s="1128"/>
      <c r="F51" s="1128"/>
      <c r="G51" s="1128"/>
      <c r="H51" s="1128"/>
      <c r="I51" s="1128"/>
      <c r="J51" s="1129"/>
    </row>
    <row r="52" spans="1:10" ht="20.100000000000001" customHeight="1">
      <c r="A52" s="804">
        <v>9000032</v>
      </c>
      <c r="B52" s="814" t="s">
        <v>1680</v>
      </c>
      <c r="C52" s="806" t="str">
        <f>+'LDF Guia'!F59</f>
        <v>N.A.</v>
      </c>
      <c r="D52" s="807" t="s">
        <v>1496</v>
      </c>
      <c r="E52" s="806"/>
      <c r="F52" s="808"/>
      <c r="G52" s="809">
        <f>+'LDF Guia'!J59</f>
        <v>1577823.9600000083</v>
      </c>
      <c r="H52" s="812" t="s">
        <v>1644</v>
      </c>
      <c r="I52" s="810" t="s">
        <v>1497</v>
      </c>
      <c r="J52" s="987" t="str">
        <f>+'LDF Guia'!M59</f>
        <v>liga</v>
      </c>
    </row>
    <row r="53" spans="1:10" ht="24.95" customHeight="1">
      <c r="A53" s="804">
        <v>9000033</v>
      </c>
      <c r="B53" s="814" t="s">
        <v>1681</v>
      </c>
      <c r="C53" s="806" t="str">
        <f>+'LDF Guia'!F60</f>
        <v>N.A.</v>
      </c>
      <c r="D53" s="807" t="s">
        <v>1499</v>
      </c>
      <c r="E53" s="806"/>
      <c r="F53" s="808"/>
      <c r="G53" s="809">
        <f>+'LDF Guia'!J60</f>
        <v>0</v>
      </c>
      <c r="H53" s="812" t="s">
        <v>1644</v>
      </c>
      <c r="I53" s="810" t="s">
        <v>1497</v>
      </c>
      <c r="J53" s="987" t="str">
        <f>+'LDF Guia'!M60</f>
        <v>NO HAY AMORTIZACIÓN ANTICIPADA DE LA DEUDA PÚBLICA, EL PAGO DE ADEUDOS DE EJERCICIOS FISCALES ANTERIORES, PASIVOS CIRCULANTES Y OTRAS OBLIGACIONES, EN CUYOS CONTRATOS SE HAYA PACTADO EL PAGO ANTICIPADO SIN INCURRIR EN PENALIDADES Y REPRESENTEN UNA DISMINUCIÓN DEL SALDO REGISTRADO EN LA CUENTA PÚBLICA DEL CIERRE DEL EJERCICIO INMEDIATO ANTERIOR, ASÍ COMO EL PAGO DE SENTENCIAS DEFINITIVAS EMITIDAS POR LA AUTORIDAD COMPETENTE, LA APORTACIÓN A FONDOS PARA LA ATENCIÓN DE DESASTRES NATURALES Y DE PENSIONES</v>
      </c>
    </row>
    <row r="54" spans="1:10" ht="24.95" customHeight="1">
      <c r="A54" s="804">
        <v>9000034</v>
      </c>
      <c r="B54" s="814" t="s">
        <v>1682</v>
      </c>
      <c r="C54" s="806" t="str">
        <f>+'LDF Guia'!F61</f>
        <v>N.A.</v>
      </c>
      <c r="D54" s="807" t="s">
        <v>1499</v>
      </c>
      <c r="E54" s="806"/>
      <c r="F54" s="808"/>
      <c r="G54" s="809">
        <f>+'LDF Guia'!J61</f>
        <v>0</v>
      </c>
      <c r="H54" s="812" t="s">
        <v>1644</v>
      </c>
      <c r="I54" s="810" t="s">
        <v>1497</v>
      </c>
      <c r="J54" s="987" t="str">
        <f>+'LDF Guia'!M61</f>
        <v>NO HAY INVERSIÓN PÚBLICA PRODUCTIVA, A TRAVÉS DE UN FONDO QUE SE CONSTITUYA PARA TAL EFECTO, CON EL FIN DE QUE LOS RECURSOS CORRESPONDIENTES SE EJERZAN A MÁS TARDAR EN EL EJERCICIO INMEDIATO SIGUIENTE</v>
      </c>
    </row>
    <row r="55" spans="1:10" ht="24.95" customHeight="1">
      <c r="A55" s="804">
        <v>9000035</v>
      </c>
      <c r="B55" s="814" t="s">
        <v>1683</v>
      </c>
      <c r="C55" s="806" t="str">
        <f>+'LDF Guia'!F62</f>
        <v>N.A.</v>
      </c>
      <c r="D55" s="807" t="s">
        <v>1499</v>
      </c>
      <c r="E55" s="806"/>
      <c r="F55" s="808"/>
      <c r="G55" s="809">
        <f>+'LDF Guia'!J62</f>
        <v>1577823.9600000083</v>
      </c>
      <c r="H55" s="812" t="s">
        <v>1644</v>
      </c>
      <c r="I55" s="810" t="s">
        <v>1497</v>
      </c>
      <c r="J55" s="987" t="str">
        <f>+'LDF Guia'!M62</f>
        <v>HAY LA CREACIÓN DE UN FONDO CUYO OBJETIVO SEA COMPENSAR LA CAÍDA DE INGRESOS DE LIBRE DISPOSICIÓN DE EJERCICIOS SUBSECUENTES.</v>
      </c>
    </row>
    <row r="56" spans="1:10" ht="24.95" customHeight="1">
      <c r="A56" s="804">
        <v>9000036</v>
      </c>
      <c r="B56" s="814" t="s">
        <v>1684</v>
      </c>
      <c r="C56" s="806" t="str">
        <f>+'LDF Guia'!F63</f>
        <v>N.A.</v>
      </c>
      <c r="D56" s="807"/>
      <c r="E56" s="806"/>
      <c r="F56" s="808"/>
      <c r="G56" s="809">
        <f>+'LDF Guia'!J63</f>
        <v>0</v>
      </c>
      <c r="H56" s="812" t="s">
        <v>1644</v>
      </c>
      <c r="I56" s="810" t="s">
        <v>1506</v>
      </c>
      <c r="J56" s="987" t="str">
        <f>+'LDF Guia'!M63</f>
        <v>NO HAY BALANCE PRESUPUESTARIO DE RECURSOS DISPONIBLES NEGATIVO DE EJERCICIOS ANTERIORES</v>
      </c>
    </row>
    <row r="57" spans="1:10" ht="15" customHeight="1">
      <c r="A57" s="803"/>
      <c r="B57" s="1130" t="s">
        <v>1470</v>
      </c>
      <c r="C57" s="1130"/>
      <c r="D57" s="1130"/>
      <c r="E57" s="1130"/>
      <c r="F57" s="1130"/>
      <c r="G57" s="1130"/>
      <c r="H57" s="1130"/>
      <c r="I57" s="1130"/>
      <c r="J57" s="1131"/>
    </row>
    <row r="58" spans="1:10" ht="24.95" customHeight="1">
      <c r="A58" s="804">
        <v>9000037</v>
      </c>
      <c r="B58" s="819" t="s">
        <v>1685</v>
      </c>
      <c r="C58" s="806" t="str">
        <f>+'LDF Guia'!F65</f>
        <v>N.A.</v>
      </c>
      <c r="D58" s="807" t="s">
        <v>1509</v>
      </c>
      <c r="E58" s="806"/>
      <c r="F58" s="808"/>
      <c r="G58" s="816"/>
      <c r="H58" s="817"/>
      <c r="I58" s="810" t="s">
        <v>1510</v>
      </c>
      <c r="J58" s="987" t="str">
        <f>+'LDF Guia'!M65</f>
        <v>SOLO ES FACULTAD DEL PODER EJECUTIVO</v>
      </c>
    </row>
    <row r="59" spans="1:10" ht="24.95" customHeight="1">
      <c r="A59" s="804">
        <v>9000038</v>
      </c>
      <c r="B59" s="819" t="s">
        <v>1686</v>
      </c>
      <c r="C59" s="806" t="str">
        <f>+'LDF Guia'!F66</f>
        <v>N.A.</v>
      </c>
      <c r="D59" s="807" t="s">
        <v>1509</v>
      </c>
      <c r="E59" s="806"/>
      <c r="F59" s="808"/>
      <c r="G59" s="816"/>
      <c r="H59" s="817"/>
      <c r="I59" s="810" t="s">
        <v>1510</v>
      </c>
      <c r="J59" s="987" t="str">
        <f>+'LDF Guia'!M66</f>
        <v>SOLO ES FACULTAD DEL PODER EJECUTIVO</v>
      </c>
    </row>
    <row r="60" spans="1:10" ht="24.95" customHeight="1">
      <c r="A60" s="804">
        <v>9000039</v>
      </c>
      <c r="B60" s="819" t="s">
        <v>1687</v>
      </c>
      <c r="C60" s="806" t="str">
        <f>+'LDF Guia'!F67</f>
        <v>N.A.</v>
      </c>
      <c r="D60" s="807" t="s">
        <v>1509</v>
      </c>
      <c r="E60" s="806"/>
      <c r="F60" s="808"/>
      <c r="G60" s="816"/>
      <c r="H60" s="817"/>
      <c r="I60" s="810" t="s">
        <v>1513</v>
      </c>
      <c r="J60" s="987" t="str">
        <f>+'LDF Guia'!M67</f>
        <v>SOLO ES FACULTAD DEL PODER EJECUTIVO</v>
      </c>
    </row>
    <row r="61" spans="1:10" ht="15" customHeight="1">
      <c r="A61" s="811"/>
      <c r="B61" s="1124" t="s">
        <v>1514</v>
      </c>
      <c r="C61" s="1124"/>
      <c r="D61" s="1124"/>
      <c r="E61" s="1124"/>
      <c r="F61" s="1124"/>
      <c r="G61" s="1124"/>
      <c r="H61" s="1124"/>
      <c r="I61" s="1124"/>
      <c r="J61" s="1125"/>
    </row>
    <row r="62" spans="1:10" ht="15" customHeight="1">
      <c r="A62" s="811"/>
      <c r="B62" s="1130" t="s">
        <v>1425</v>
      </c>
      <c r="C62" s="1130"/>
      <c r="D62" s="1130"/>
      <c r="E62" s="1130"/>
      <c r="F62" s="1130"/>
      <c r="G62" s="1130"/>
      <c r="H62" s="1130"/>
      <c r="I62" s="1130"/>
      <c r="J62" s="1131"/>
    </row>
    <row r="63" spans="1:10" ht="15" customHeight="1">
      <c r="A63" s="803"/>
      <c r="B63" s="1128" t="s">
        <v>1688</v>
      </c>
      <c r="C63" s="1128"/>
      <c r="D63" s="1128"/>
      <c r="E63" s="1128"/>
      <c r="F63" s="1128"/>
      <c r="G63" s="1128"/>
      <c r="H63" s="1128"/>
      <c r="I63" s="1128"/>
      <c r="J63" s="1129"/>
    </row>
    <row r="64" spans="1:10" ht="20.100000000000001" customHeight="1">
      <c r="A64" s="804">
        <v>9000040</v>
      </c>
      <c r="B64" s="805" t="s">
        <v>1689</v>
      </c>
      <c r="C64" s="806" t="str">
        <f>+'LDF Guia'!F71</f>
        <v>SI</v>
      </c>
      <c r="D64" s="820"/>
      <c r="E64" s="806"/>
      <c r="F64" s="808"/>
      <c r="G64" s="809">
        <f>+'LDF Guia'!J71</f>
        <v>5331824.365199999</v>
      </c>
      <c r="H64" s="812" t="s">
        <v>1644</v>
      </c>
      <c r="I64" s="810" t="s">
        <v>1516</v>
      </c>
      <c r="J64" s="987" t="str">
        <f>+'LDF Guia'!M71</f>
        <v>NO HAY NECESIDAD PARA UNA OBLIGACION A CORTO PLAZO</v>
      </c>
    </row>
    <row r="65" spans="1:10" ht="20.100000000000001" customHeight="1">
      <c r="A65" s="804">
        <v>9000041</v>
      </c>
      <c r="B65" s="805" t="s">
        <v>1690</v>
      </c>
      <c r="C65" s="806" t="str">
        <f>+'LDF Guia'!F72</f>
        <v>N.A.</v>
      </c>
      <c r="D65" s="820"/>
      <c r="E65" s="806"/>
      <c r="F65" s="808"/>
      <c r="G65" s="809">
        <f>+'LDF Guia'!J72</f>
        <v>0</v>
      </c>
      <c r="H65" s="812" t="s">
        <v>1644</v>
      </c>
      <c r="I65" s="810" t="s">
        <v>1516</v>
      </c>
      <c r="J65" s="987" t="str">
        <f>+'LDF Guia'!M72</f>
        <v>NO HAY NECESIDAD PARA UNA OBLIGACION A CORTO PLAZO</v>
      </c>
    </row>
  </sheetData>
  <sheetProtection autoFilter="0"/>
  <protectedRanges>
    <protectedRange sqref="D4:J4 D49:J49 D61:J61" name="Rango1_2"/>
  </protectedRanges>
  <mergeCells count="26">
    <mergeCell ref="B62:J62"/>
    <mergeCell ref="B63:J63"/>
    <mergeCell ref="B46:J46"/>
    <mergeCell ref="B49:J49"/>
    <mergeCell ref="B50:J50"/>
    <mergeCell ref="B51:J51"/>
    <mergeCell ref="B57:J57"/>
    <mergeCell ref="B61:J61"/>
    <mergeCell ref="B41:J41"/>
    <mergeCell ref="B5:J5"/>
    <mergeCell ref="B6:J6"/>
    <mergeCell ref="B10:J10"/>
    <mergeCell ref="B14:J14"/>
    <mergeCell ref="B18:J18"/>
    <mergeCell ref="B19:J19"/>
    <mergeCell ref="B25:J25"/>
    <mergeCell ref="B28:J28"/>
    <mergeCell ref="B30:J30"/>
    <mergeCell ref="B34:J34"/>
    <mergeCell ref="B35:J35"/>
    <mergeCell ref="B4:J4"/>
    <mergeCell ref="A1:J1"/>
    <mergeCell ref="C2:F2"/>
    <mergeCell ref="G2:H2"/>
    <mergeCell ref="C3:D3"/>
    <mergeCell ref="E3:F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
  <sheetViews>
    <sheetView showGridLines="0" workbookViewId="0">
      <pane xSplit="3" ySplit="4" topLeftCell="R5" activePane="bottomRight" state="frozen"/>
      <selection activeCell="C5" sqref="C5:M5"/>
      <selection pane="topRight" activeCell="C5" sqref="C5:M5"/>
      <selection pane="bottomLeft" activeCell="C5" sqref="C5:M5"/>
      <selection pane="bottomRight" activeCell="U7" sqref="U7"/>
    </sheetView>
  </sheetViews>
  <sheetFormatPr baseColWidth="10" defaultColWidth="9.28515625" defaultRowHeight="11.25"/>
  <cols>
    <col min="1" max="1" width="5.42578125" style="226" bestFit="1" customWidth="1"/>
    <col min="2" max="3" width="9.28515625" style="226"/>
    <col min="4" max="4" width="4.7109375" style="226" customWidth="1"/>
    <col min="5" max="5" width="8.28515625" style="226" customWidth="1"/>
    <col min="6" max="6" width="8.7109375" style="226" customWidth="1"/>
    <col min="7" max="7" width="13.85546875" style="226" bestFit="1" customWidth="1"/>
    <col min="8" max="8" width="4.7109375" style="226" customWidth="1"/>
    <col min="9" max="9" width="12.5703125" style="226" customWidth="1"/>
    <col min="10" max="10" width="14.28515625" style="226" customWidth="1"/>
    <col min="11" max="11" width="9.28515625" style="226"/>
    <col min="12" max="12" width="4.7109375" style="226" customWidth="1"/>
    <col min="13" max="13" width="8.28515625" style="226" customWidth="1"/>
    <col min="14" max="14" width="8.7109375" style="226" customWidth="1"/>
    <col min="15" max="15" width="4.7109375" style="226" customWidth="1"/>
    <col min="16" max="16" width="7.28515625" style="226" customWidth="1"/>
    <col min="17" max="22" width="14.28515625" style="226" customWidth="1"/>
    <col min="23" max="269" width="9.28515625" style="226"/>
    <col min="270" max="270" width="7.140625" style="226" customWidth="1"/>
    <col min="271" max="271" width="47.5703125" style="226" bestFit="1" customWidth="1"/>
    <col min="272" max="277" width="14.28515625" style="226" customWidth="1"/>
    <col min="278" max="525" width="9.28515625" style="226"/>
    <col min="526" max="526" width="7.140625" style="226" customWidth="1"/>
    <col min="527" max="527" width="47.5703125" style="226" bestFit="1" customWidth="1"/>
    <col min="528" max="533" width="14.28515625" style="226" customWidth="1"/>
    <col min="534" max="781" width="9.28515625" style="226"/>
    <col min="782" max="782" width="7.140625" style="226" customWidth="1"/>
    <col min="783" max="783" width="47.5703125" style="226" bestFit="1" customWidth="1"/>
    <col min="784" max="789" width="14.28515625" style="226" customWidth="1"/>
    <col min="790" max="1037" width="9.28515625" style="226"/>
    <col min="1038" max="1038" width="7.140625" style="226" customWidth="1"/>
    <col min="1039" max="1039" width="47.5703125" style="226" bestFit="1" customWidth="1"/>
    <col min="1040" max="1045" width="14.28515625" style="226" customWidth="1"/>
    <col min="1046" max="1293" width="9.28515625" style="226"/>
    <col min="1294" max="1294" width="7.140625" style="226" customWidth="1"/>
    <col min="1295" max="1295" width="47.5703125" style="226" bestFit="1" customWidth="1"/>
    <col min="1296" max="1301" width="14.28515625" style="226" customWidth="1"/>
    <col min="1302" max="1549" width="9.28515625" style="226"/>
    <col min="1550" max="1550" width="7.140625" style="226" customWidth="1"/>
    <col min="1551" max="1551" width="47.5703125" style="226" bestFit="1" customWidth="1"/>
    <col min="1552" max="1557" width="14.28515625" style="226" customWidth="1"/>
    <col min="1558" max="1805" width="9.28515625" style="226"/>
    <col min="1806" max="1806" width="7.140625" style="226" customWidth="1"/>
    <col min="1807" max="1807" width="47.5703125" style="226" bestFit="1" customWidth="1"/>
    <col min="1808" max="1813" width="14.28515625" style="226" customWidth="1"/>
    <col min="1814" max="2061" width="9.28515625" style="226"/>
    <col min="2062" max="2062" width="7.140625" style="226" customWidth="1"/>
    <col min="2063" max="2063" width="47.5703125" style="226" bestFit="1" customWidth="1"/>
    <col min="2064" max="2069" width="14.28515625" style="226" customWidth="1"/>
    <col min="2070" max="2317" width="9.28515625" style="226"/>
    <col min="2318" max="2318" width="7.140625" style="226" customWidth="1"/>
    <col min="2319" max="2319" width="47.5703125" style="226" bestFit="1" customWidth="1"/>
    <col min="2320" max="2325" width="14.28515625" style="226" customWidth="1"/>
    <col min="2326" max="2573" width="9.28515625" style="226"/>
    <col min="2574" max="2574" width="7.140625" style="226" customWidth="1"/>
    <col min="2575" max="2575" width="47.5703125" style="226" bestFit="1" customWidth="1"/>
    <col min="2576" max="2581" width="14.28515625" style="226" customWidth="1"/>
    <col min="2582" max="2829" width="9.28515625" style="226"/>
    <col min="2830" max="2830" width="7.140625" style="226" customWidth="1"/>
    <col min="2831" max="2831" width="47.5703125" style="226" bestFit="1" customWidth="1"/>
    <col min="2832" max="2837" width="14.28515625" style="226" customWidth="1"/>
    <col min="2838" max="3085" width="9.28515625" style="226"/>
    <col min="3086" max="3086" width="7.140625" style="226" customWidth="1"/>
    <col min="3087" max="3087" width="47.5703125" style="226" bestFit="1" customWidth="1"/>
    <col min="3088" max="3093" width="14.28515625" style="226" customWidth="1"/>
    <col min="3094" max="3341" width="9.28515625" style="226"/>
    <col min="3342" max="3342" width="7.140625" style="226" customWidth="1"/>
    <col min="3343" max="3343" width="47.5703125" style="226" bestFit="1" customWidth="1"/>
    <col min="3344" max="3349" width="14.28515625" style="226" customWidth="1"/>
    <col min="3350" max="3597" width="9.28515625" style="226"/>
    <col min="3598" max="3598" width="7.140625" style="226" customWidth="1"/>
    <col min="3599" max="3599" width="47.5703125" style="226" bestFit="1" customWidth="1"/>
    <col min="3600" max="3605" width="14.28515625" style="226" customWidth="1"/>
    <col min="3606" max="3853" width="9.28515625" style="226"/>
    <col min="3854" max="3854" width="7.140625" style="226" customWidth="1"/>
    <col min="3855" max="3855" width="47.5703125" style="226" bestFit="1" customWidth="1"/>
    <col min="3856" max="3861" width="14.28515625" style="226" customWidth="1"/>
    <col min="3862" max="4109" width="9.28515625" style="226"/>
    <col min="4110" max="4110" width="7.140625" style="226" customWidth="1"/>
    <col min="4111" max="4111" width="47.5703125" style="226" bestFit="1" customWidth="1"/>
    <col min="4112" max="4117" width="14.28515625" style="226" customWidth="1"/>
    <col min="4118" max="4365" width="9.28515625" style="226"/>
    <col min="4366" max="4366" width="7.140625" style="226" customWidth="1"/>
    <col min="4367" max="4367" width="47.5703125" style="226" bestFit="1" customWidth="1"/>
    <col min="4368" max="4373" width="14.28515625" style="226" customWidth="1"/>
    <col min="4374" max="4621" width="9.28515625" style="226"/>
    <col min="4622" max="4622" width="7.140625" style="226" customWidth="1"/>
    <col min="4623" max="4623" width="47.5703125" style="226" bestFit="1" customWidth="1"/>
    <col min="4624" max="4629" width="14.28515625" style="226" customWidth="1"/>
    <col min="4630" max="4877" width="9.28515625" style="226"/>
    <col min="4878" max="4878" width="7.140625" style="226" customWidth="1"/>
    <col min="4879" max="4879" width="47.5703125" style="226" bestFit="1" customWidth="1"/>
    <col min="4880" max="4885" width="14.28515625" style="226" customWidth="1"/>
    <col min="4886" max="5133" width="9.28515625" style="226"/>
    <col min="5134" max="5134" width="7.140625" style="226" customWidth="1"/>
    <col min="5135" max="5135" width="47.5703125" style="226" bestFit="1" customWidth="1"/>
    <col min="5136" max="5141" width="14.28515625" style="226" customWidth="1"/>
    <col min="5142" max="5389" width="9.28515625" style="226"/>
    <col min="5390" max="5390" width="7.140625" style="226" customWidth="1"/>
    <col min="5391" max="5391" width="47.5703125" style="226" bestFit="1" customWidth="1"/>
    <col min="5392" max="5397" width="14.28515625" style="226" customWidth="1"/>
    <col min="5398" max="5645" width="9.28515625" style="226"/>
    <col min="5646" max="5646" width="7.140625" style="226" customWidth="1"/>
    <col min="5647" max="5647" width="47.5703125" style="226" bestFit="1" customWidth="1"/>
    <col min="5648" max="5653" width="14.28515625" style="226" customWidth="1"/>
    <col min="5654" max="5901" width="9.28515625" style="226"/>
    <col min="5902" max="5902" width="7.140625" style="226" customWidth="1"/>
    <col min="5903" max="5903" width="47.5703125" style="226" bestFit="1" customWidth="1"/>
    <col min="5904" max="5909" width="14.28515625" style="226" customWidth="1"/>
    <col min="5910" max="6157" width="9.28515625" style="226"/>
    <col min="6158" max="6158" width="7.140625" style="226" customWidth="1"/>
    <col min="6159" max="6159" width="47.5703125" style="226" bestFit="1" customWidth="1"/>
    <col min="6160" max="6165" width="14.28515625" style="226" customWidth="1"/>
    <col min="6166" max="6413" width="9.28515625" style="226"/>
    <col min="6414" max="6414" width="7.140625" style="226" customWidth="1"/>
    <col min="6415" max="6415" width="47.5703125" style="226" bestFit="1" customWidth="1"/>
    <col min="6416" max="6421" width="14.28515625" style="226" customWidth="1"/>
    <col min="6422" max="6669" width="9.28515625" style="226"/>
    <col min="6670" max="6670" width="7.140625" style="226" customWidth="1"/>
    <col min="6671" max="6671" width="47.5703125" style="226" bestFit="1" customWidth="1"/>
    <col min="6672" max="6677" width="14.28515625" style="226" customWidth="1"/>
    <col min="6678" max="6925" width="9.28515625" style="226"/>
    <col min="6926" max="6926" width="7.140625" style="226" customWidth="1"/>
    <col min="6927" max="6927" width="47.5703125" style="226" bestFit="1" customWidth="1"/>
    <col min="6928" max="6933" width="14.28515625" style="226" customWidth="1"/>
    <col min="6934" max="7181" width="9.28515625" style="226"/>
    <col min="7182" max="7182" width="7.140625" style="226" customWidth="1"/>
    <col min="7183" max="7183" width="47.5703125" style="226" bestFit="1" customWidth="1"/>
    <col min="7184" max="7189" width="14.28515625" style="226" customWidth="1"/>
    <col min="7190" max="7437" width="9.28515625" style="226"/>
    <col min="7438" max="7438" width="7.140625" style="226" customWidth="1"/>
    <col min="7439" max="7439" width="47.5703125" style="226" bestFit="1" customWidth="1"/>
    <col min="7440" max="7445" width="14.28515625" style="226" customWidth="1"/>
    <col min="7446" max="7693" width="9.28515625" style="226"/>
    <col min="7694" max="7694" width="7.140625" style="226" customWidth="1"/>
    <col min="7695" max="7695" width="47.5703125" style="226" bestFit="1" customWidth="1"/>
    <col min="7696" max="7701" width="14.28515625" style="226" customWidth="1"/>
    <col min="7702" max="7949" width="9.28515625" style="226"/>
    <col min="7950" max="7950" width="7.140625" style="226" customWidth="1"/>
    <col min="7951" max="7951" width="47.5703125" style="226" bestFit="1" customWidth="1"/>
    <col min="7952" max="7957" width="14.28515625" style="226" customWidth="1"/>
    <col min="7958" max="8205" width="9.28515625" style="226"/>
    <col min="8206" max="8206" width="7.140625" style="226" customWidth="1"/>
    <col min="8207" max="8207" width="47.5703125" style="226" bestFit="1" customWidth="1"/>
    <col min="8208" max="8213" width="14.28515625" style="226" customWidth="1"/>
    <col min="8214" max="8461" width="9.28515625" style="226"/>
    <col min="8462" max="8462" width="7.140625" style="226" customWidth="1"/>
    <col min="8463" max="8463" width="47.5703125" style="226" bestFit="1" customWidth="1"/>
    <col min="8464" max="8469" width="14.28515625" style="226" customWidth="1"/>
    <col min="8470" max="8717" width="9.28515625" style="226"/>
    <col min="8718" max="8718" width="7.140625" style="226" customWidth="1"/>
    <col min="8719" max="8719" width="47.5703125" style="226" bestFit="1" customWidth="1"/>
    <col min="8720" max="8725" width="14.28515625" style="226" customWidth="1"/>
    <col min="8726" max="8973" width="9.28515625" style="226"/>
    <col min="8974" max="8974" width="7.140625" style="226" customWidth="1"/>
    <col min="8975" max="8975" width="47.5703125" style="226" bestFit="1" customWidth="1"/>
    <col min="8976" max="8981" width="14.28515625" style="226" customWidth="1"/>
    <col min="8982" max="9229" width="9.28515625" style="226"/>
    <col min="9230" max="9230" width="7.140625" style="226" customWidth="1"/>
    <col min="9231" max="9231" width="47.5703125" style="226" bestFit="1" customWidth="1"/>
    <col min="9232" max="9237" width="14.28515625" style="226" customWidth="1"/>
    <col min="9238" max="9485" width="9.28515625" style="226"/>
    <col min="9486" max="9486" width="7.140625" style="226" customWidth="1"/>
    <col min="9487" max="9487" width="47.5703125" style="226" bestFit="1" customWidth="1"/>
    <col min="9488" max="9493" width="14.28515625" style="226" customWidth="1"/>
    <col min="9494" max="9741" width="9.28515625" style="226"/>
    <col min="9742" max="9742" width="7.140625" style="226" customWidth="1"/>
    <col min="9743" max="9743" width="47.5703125" style="226" bestFit="1" customWidth="1"/>
    <col min="9744" max="9749" width="14.28515625" style="226" customWidth="1"/>
    <col min="9750" max="9997" width="9.28515625" style="226"/>
    <col min="9998" max="9998" width="7.140625" style="226" customWidth="1"/>
    <col min="9999" max="9999" width="47.5703125" style="226" bestFit="1" customWidth="1"/>
    <col min="10000" max="10005" width="14.28515625" style="226" customWidth="1"/>
    <col min="10006" max="10253" width="9.28515625" style="226"/>
    <col min="10254" max="10254" width="7.140625" style="226" customWidth="1"/>
    <col min="10255" max="10255" width="47.5703125" style="226" bestFit="1" customWidth="1"/>
    <col min="10256" max="10261" width="14.28515625" style="226" customWidth="1"/>
    <col min="10262" max="10509" width="9.28515625" style="226"/>
    <col min="10510" max="10510" width="7.140625" style="226" customWidth="1"/>
    <col min="10511" max="10511" width="47.5703125" style="226" bestFit="1" customWidth="1"/>
    <col min="10512" max="10517" width="14.28515625" style="226" customWidth="1"/>
    <col min="10518" max="10765" width="9.28515625" style="226"/>
    <col min="10766" max="10766" width="7.140625" style="226" customWidth="1"/>
    <col min="10767" max="10767" width="47.5703125" style="226" bestFit="1" customWidth="1"/>
    <col min="10768" max="10773" width="14.28515625" style="226" customWidth="1"/>
    <col min="10774" max="11021" width="9.28515625" style="226"/>
    <col min="11022" max="11022" width="7.140625" style="226" customWidth="1"/>
    <col min="11023" max="11023" width="47.5703125" style="226" bestFit="1" customWidth="1"/>
    <col min="11024" max="11029" width="14.28515625" style="226" customWidth="1"/>
    <col min="11030" max="11277" width="9.28515625" style="226"/>
    <col min="11278" max="11278" width="7.140625" style="226" customWidth="1"/>
    <col min="11279" max="11279" width="47.5703125" style="226" bestFit="1" customWidth="1"/>
    <col min="11280" max="11285" width="14.28515625" style="226" customWidth="1"/>
    <col min="11286" max="11533" width="9.28515625" style="226"/>
    <col min="11534" max="11534" width="7.140625" style="226" customWidth="1"/>
    <col min="11535" max="11535" width="47.5703125" style="226" bestFit="1" customWidth="1"/>
    <col min="11536" max="11541" width="14.28515625" style="226" customWidth="1"/>
    <col min="11542" max="11789" width="9.28515625" style="226"/>
    <col min="11790" max="11790" width="7.140625" style="226" customWidth="1"/>
    <col min="11791" max="11791" width="47.5703125" style="226" bestFit="1" customWidth="1"/>
    <col min="11792" max="11797" width="14.28515625" style="226" customWidth="1"/>
    <col min="11798" max="12045" width="9.28515625" style="226"/>
    <col min="12046" max="12046" width="7.140625" style="226" customWidth="1"/>
    <col min="12047" max="12047" width="47.5703125" style="226" bestFit="1" customWidth="1"/>
    <col min="12048" max="12053" width="14.28515625" style="226" customWidth="1"/>
    <col min="12054" max="12301" width="9.28515625" style="226"/>
    <col min="12302" max="12302" width="7.140625" style="226" customWidth="1"/>
    <col min="12303" max="12303" width="47.5703125" style="226" bestFit="1" customWidth="1"/>
    <col min="12304" max="12309" width="14.28515625" style="226" customWidth="1"/>
    <col min="12310" max="12557" width="9.28515625" style="226"/>
    <col min="12558" max="12558" width="7.140625" style="226" customWidth="1"/>
    <col min="12559" max="12559" width="47.5703125" style="226" bestFit="1" customWidth="1"/>
    <col min="12560" max="12565" width="14.28515625" style="226" customWidth="1"/>
    <col min="12566" max="12813" width="9.28515625" style="226"/>
    <col min="12814" max="12814" width="7.140625" style="226" customWidth="1"/>
    <col min="12815" max="12815" width="47.5703125" style="226" bestFit="1" customWidth="1"/>
    <col min="12816" max="12821" width="14.28515625" style="226" customWidth="1"/>
    <col min="12822" max="13069" width="9.28515625" style="226"/>
    <col min="13070" max="13070" width="7.140625" style="226" customWidth="1"/>
    <col min="13071" max="13071" width="47.5703125" style="226" bestFit="1" customWidth="1"/>
    <col min="13072" max="13077" width="14.28515625" style="226" customWidth="1"/>
    <col min="13078" max="13325" width="9.28515625" style="226"/>
    <col min="13326" max="13326" width="7.140625" style="226" customWidth="1"/>
    <col min="13327" max="13327" width="47.5703125" style="226" bestFit="1" customWidth="1"/>
    <col min="13328" max="13333" width="14.28515625" style="226" customWidth="1"/>
    <col min="13334" max="13581" width="9.28515625" style="226"/>
    <col min="13582" max="13582" width="7.140625" style="226" customWidth="1"/>
    <col min="13583" max="13583" width="47.5703125" style="226" bestFit="1" customWidth="1"/>
    <col min="13584" max="13589" width="14.28515625" style="226" customWidth="1"/>
    <col min="13590" max="13837" width="9.28515625" style="226"/>
    <col min="13838" max="13838" width="7.140625" style="226" customWidth="1"/>
    <col min="13839" max="13839" width="47.5703125" style="226" bestFit="1" customWidth="1"/>
    <col min="13840" max="13845" width="14.28515625" style="226" customWidth="1"/>
    <col min="13846" max="14093" width="9.28515625" style="226"/>
    <col min="14094" max="14094" width="7.140625" style="226" customWidth="1"/>
    <col min="14095" max="14095" width="47.5703125" style="226" bestFit="1" customWidth="1"/>
    <col min="14096" max="14101" width="14.28515625" style="226" customWidth="1"/>
    <col min="14102" max="14349" width="9.28515625" style="226"/>
    <col min="14350" max="14350" width="7.140625" style="226" customWidth="1"/>
    <col min="14351" max="14351" width="47.5703125" style="226" bestFit="1" customWidth="1"/>
    <col min="14352" max="14357" width="14.28515625" style="226" customWidth="1"/>
    <col min="14358" max="14605" width="9.28515625" style="226"/>
    <col min="14606" max="14606" width="7.140625" style="226" customWidth="1"/>
    <col min="14607" max="14607" width="47.5703125" style="226" bestFit="1" customWidth="1"/>
    <col min="14608" max="14613" width="14.28515625" style="226" customWidth="1"/>
    <col min="14614" max="14861" width="9.28515625" style="226"/>
    <col min="14862" max="14862" width="7.140625" style="226" customWidth="1"/>
    <col min="14863" max="14863" width="47.5703125" style="226" bestFit="1" customWidth="1"/>
    <col min="14864" max="14869" width="14.28515625" style="226" customWidth="1"/>
    <col min="14870" max="15117" width="9.28515625" style="226"/>
    <col min="15118" max="15118" width="7.140625" style="226" customWidth="1"/>
    <col min="15119" max="15119" width="47.5703125" style="226" bestFit="1" customWidth="1"/>
    <col min="15120" max="15125" width="14.28515625" style="226" customWidth="1"/>
    <col min="15126" max="15373" width="9.28515625" style="226"/>
    <col min="15374" max="15374" width="7.140625" style="226" customWidth="1"/>
    <col min="15375" max="15375" width="47.5703125" style="226" bestFit="1" customWidth="1"/>
    <col min="15376" max="15381" width="14.28515625" style="226" customWidth="1"/>
    <col min="15382" max="15629" width="9.28515625" style="226"/>
    <col min="15630" max="15630" width="7.140625" style="226" customWidth="1"/>
    <col min="15631" max="15631" width="47.5703125" style="226" bestFit="1" customWidth="1"/>
    <col min="15632" max="15637" width="14.28515625" style="226" customWidth="1"/>
    <col min="15638" max="15885" width="9.28515625" style="226"/>
    <col min="15886" max="15886" width="7.140625" style="226" customWidth="1"/>
    <col min="15887" max="15887" width="47.5703125" style="226" bestFit="1" customWidth="1"/>
    <col min="15888" max="15893" width="14.28515625" style="226" customWidth="1"/>
    <col min="15894" max="16141" width="9.28515625" style="226"/>
    <col min="16142" max="16142" width="7.140625" style="226" customWidth="1"/>
    <col min="16143" max="16143" width="47.5703125" style="226" bestFit="1" customWidth="1"/>
    <col min="16144" max="16149" width="14.28515625" style="226" customWidth="1"/>
    <col min="16150" max="16384" width="9.28515625" style="226"/>
  </cols>
  <sheetData>
    <row r="1" spans="1:22" ht="34.9" customHeight="1">
      <c r="D1" s="1051" t="s">
        <v>2619</v>
      </c>
      <c r="E1" s="1051"/>
      <c r="F1" s="1051"/>
      <c r="G1" s="1051"/>
      <c r="H1" s="1051"/>
      <c r="I1" s="1051"/>
      <c r="J1" s="1051"/>
      <c r="L1" s="1051" t="s">
        <v>2620</v>
      </c>
      <c r="M1" s="1051"/>
      <c r="N1" s="1051"/>
      <c r="O1" s="1051"/>
      <c r="P1" s="1051"/>
      <c r="Q1" s="1051"/>
      <c r="R1" s="1051"/>
      <c r="S1" s="1051"/>
      <c r="T1" s="1051"/>
      <c r="U1" s="1051"/>
      <c r="V1" s="1051"/>
    </row>
    <row r="2" spans="1:22" ht="18" customHeight="1">
      <c r="D2" s="1052" t="s">
        <v>2621</v>
      </c>
      <c r="E2" s="1052"/>
      <c r="F2" s="1052"/>
      <c r="G2" s="1052"/>
      <c r="H2" s="1052"/>
      <c r="I2" s="1052"/>
      <c r="J2" s="1052"/>
      <c r="L2" s="1052" t="s">
        <v>2622</v>
      </c>
      <c r="M2" s="1052"/>
      <c r="N2" s="1052"/>
      <c r="O2" s="1052"/>
      <c r="P2" s="1052"/>
      <c r="Q2" s="1052"/>
      <c r="R2" s="1052"/>
      <c r="S2" s="1052"/>
      <c r="T2" s="1052"/>
      <c r="U2" s="1052"/>
      <c r="V2" s="1052"/>
    </row>
    <row r="3" spans="1:22" ht="18">
      <c r="D3" s="1052" t="s">
        <v>2623</v>
      </c>
      <c r="E3" s="1052"/>
      <c r="F3" s="1052"/>
      <c r="G3" s="1052"/>
      <c r="H3" s="1052"/>
      <c r="I3" s="1052"/>
      <c r="J3" s="1052"/>
      <c r="L3" s="1052" t="s">
        <v>2624</v>
      </c>
      <c r="M3" s="1052"/>
      <c r="N3" s="1052"/>
      <c r="O3" s="1052"/>
      <c r="P3" s="1052"/>
      <c r="Q3" s="1052"/>
      <c r="R3" s="1052"/>
      <c r="S3" s="1052"/>
      <c r="T3" s="1052"/>
      <c r="U3" s="1052"/>
      <c r="V3" s="1052"/>
    </row>
    <row r="4" spans="1:22" ht="90">
      <c r="A4" s="943" t="s">
        <v>252</v>
      </c>
      <c r="B4" s="943" t="s">
        <v>71</v>
      </c>
      <c r="D4" s="948" t="s">
        <v>2625</v>
      </c>
      <c r="E4" s="948" t="s">
        <v>2626</v>
      </c>
      <c r="F4" s="948" t="s">
        <v>2627</v>
      </c>
      <c r="G4" s="948" t="s">
        <v>2628</v>
      </c>
      <c r="H4" s="948" t="s">
        <v>2629</v>
      </c>
      <c r="I4" s="948" t="s">
        <v>2630</v>
      </c>
      <c r="J4" s="974" t="s">
        <v>2631</v>
      </c>
      <c r="L4" s="948" t="s">
        <v>2625</v>
      </c>
      <c r="M4" s="948" t="s">
        <v>2626</v>
      </c>
      <c r="N4" s="948" t="s">
        <v>2627</v>
      </c>
      <c r="O4" s="948" t="s">
        <v>2629</v>
      </c>
      <c r="P4" s="948" t="s">
        <v>2630</v>
      </c>
      <c r="Q4" s="974" t="s">
        <v>2631</v>
      </c>
      <c r="R4" s="974" t="s">
        <v>2632</v>
      </c>
      <c r="S4" s="974" t="s">
        <v>358</v>
      </c>
      <c r="T4" s="974" t="s">
        <v>359</v>
      </c>
      <c r="U4" s="974" t="s">
        <v>397</v>
      </c>
      <c r="V4" s="974" t="s">
        <v>2633</v>
      </c>
    </row>
    <row r="5" spans="1:22">
      <c r="A5" s="229">
        <v>1000</v>
      </c>
      <c r="B5" s="230" t="s">
        <v>258</v>
      </c>
      <c r="C5" s="975" t="s">
        <v>286</v>
      </c>
      <c r="D5" s="976">
        <v>2017</v>
      </c>
      <c r="E5" s="977">
        <v>42736</v>
      </c>
      <c r="F5" s="977">
        <v>43100</v>
      </c>
      <c r="G5" s="978">
        <f>SUMIF(PE_COG,"*",PE_A)</f>
        <v>80405840.509999976</v>
      </c>
      <c r="H5" s="976">
        <f>IF(MID(A5,2,1)="0",A5,"")</f>
        <v>1000</v>
      </c>
      <c r="I5" s="979" t="str">
        <f>+B5</f>
        <v>SERVICIOS PERSONALES</v>
      </c>
      <c r="J5" s="978">
        <f t="shared" ref="J5:J13" si="0">IF(MID(A5,2,1)="0",SUMIF(PE_COG,MID(A5,1,1)&amp;"*",PE_A),
IF(AND(MID(A5,2,1)&gt;"0",MID(A5,3,1)="0"),SUMIF(PE_COG,MID(A5,1,2)&amp;"*",PE_A),
IF(MID(A5,3,1)&gt;"0",SUMIF(PE_COG,MID(A5,1,3)&amp;"*",PE_A),"")))</f>
        <v>59875476.900000006</v>
      </c>
      <c r="L5" s="976">
        <v>2017</v>
      </c>
      <c r="M5" s="977">
        <v>42736</v>
      </c>
      <c r="N5" s="977">
        <v>43100</v>
      </c>
      <c r="O5" s="976">
        <f t="shared" ref="O5:O13" si="1">IF(MID(A5,2,1)="0",A5,"")</f>
        <v>1000</v>
      </c>
      <c r="P5" s="979" t="str">
        <f t="shared" ref="P5:P13" si="2">+B5</f>
        <v>SERVICIOS PERSONALES</v>
      </c>
      <c r="Q5" s="978">
        <f t="shared" ref="Q5:Q13" si="3">IF(MID(A5,2,1)="0",SUMIF(PE_COG,MID(A5,1,1)&amp;"*",PE_A),
IF(AND(MID(A5,2,1)&gt;"0",MID(A5,3,1)="0"),SUMIF(PE_COG,MID(A5,1,2)&amp;"*",PE_A),
IF(MID(A5,3,1)&gt;"0",SUMIF(PE_COG,MID(A5,1,3)&amp;"*",PE_A),"")))</f>
        <v>59875476.900000006</v>
      </c>
      <c r="R5" s="978">
        <f t="shared" ref="R5:R13" si="4">IF(MID(A5,2,1)="0",SUMIF(PE_COG,MID(A5,1,1)&amp;"*",PE_M),
IF(AND(MID(A5,2,1)&gt;"0",MID(A5,3,1)="0"),SUMIF(PE_COG,MID(A5,1,2)&amp;"*",PE_M),
IF(MID(A5,3,1)&gt;"0",SUMIF(PE_COG,MID(A5,1,3)&amp;"*",PE_M),"")))</f>
        <v>6048652.1900000013</v>
      </c>
      <c r="S5" s="978">
        <f t="shared" ref="S5:S13" si="5">IF(MID(A5,2,1)="0",SUMIF(PE_COG,MID(A5,1,1)&amp;"*",PE_A),
IF(AND(MID(A5,2,1)&gt;"0",MID(A5,3,1)="0"),SUMIF(PE_COG,MID(A5,1,2)&amp;"*",PE_A),
IF(MID(A5,3,1)&gt;"0",SUMIF(PE_COG,MID(A5,1,3)&amp;"*",PE_A),"")))
+IF(MID(A5,2,1)="0",SUMIF(PE_COG,MID(A5,1,1)&amp;"*",PE_M),
IF(AND(MID(A5,2,1)&gt;"0",MID(A5,3,1)="0"),SUMIF(PE_COG,MID(A5,1,2)&amp;"*",PE_M),
IF(MID(A5,3,1)&gt;"0",SUMIF(PE_COG,MID(A5,1,3)&amp;"*",PE_M),"")))</f>
        <v>65924129.090000004</v>
      </c>
      <c r="T5" s="978">
        <f t="shared" ref="T5:T13" si="6">IF(MID(A5,2,1)="0",SUMIF(PE_COG,MID(A5,1,1)&amp;"*",PE_D),
IF(AND(MID(A5,2,1)&gt;"0",MID(A5,3,1)="0"),SUMIF(PE_COG,MID(A5,1,2)&amp;"*",PE_D),
IF(MID(A5,3,1)&gt;"0",SUMIF(PE_COG,MID(A5,1,3)&amp;"*",PE_D),"")))</f>
        <v>65924124.189999998</v>
      </c>
      <c r="U5" s="978">
        <f t="shared" ref="U5:U13" si="7">IF(MID(A5,2,1)="0",SUMIF(PE_COG,MID(A5,1,1)&amp;"*",PE_P),
IF(AND(MID(A5,2,1)&gt;"0",MID(A5,3,1)="0"),SUMIF(PE_COG,MID(A5,1,2)&amp;"*",PE_P),
IF(MID(A5,3,1)&gt;"0",SUMIF(PE_COG,MID(A5,1,3)&amp;"*",PE_P),"")))</f>
        <v>64738024.339999996</v>
      </c>
      <c r="V5" s="978">
        <f t="shared" ref="V5:V13" si="8">IF(MID(A5,2,1)="0",SUMIF(PE_COG,MID(A5,1,1)&amp;"*",PE_A),
IF(AND(MID(A5,2,1)&gt;"0",MID(A5,3,1)="0"),SUMIF(PE_COG,MID(A5,1,2)&amp;"*",PE_A),
IF(MID(A5,3,1)&gt;"0",SUMIF(PE_COG,MID(A5,1,3)&amp;"*",PE_A),"")))
+IF(MID(A5,2,1)="0",SUMIF(PE_COG,MID(A5,1,1)&amp;"*",PE_M),
IF(AND(MID(A5,2,1)&gt;"0",MID(A5,3,1)="0"),SUMIF(PE_COG,MID(A5,1,2)&amp;"*",PE_M),
IF(MID(A5,3,1)&gt;"0",SUMIF(PE_COG,MID(A5,1,3)&amp;"*",PE_M),"")))
-IF(MID(A5,2,1)="0",SUMIF(PE_COG,MID(A5,1,1)&amp;"*",PE_D),
IF(AND(MID(A5,2,1)&gt;"0",MID(A5,3,1)="0"),SUMIF(PE_COG,MID(A5,1,2)&amp;"*",PE_D),
IF(MID(A5,3,1)&gt;"0",SUMIF(PE_COG,MID(A5,1,3)&amp;"*",PE_D),"")))</f>
        <v>4.9000000059604645</v>
      </c>
    </row>
    <row r="6" spans="1:22">
      <c r="A6" s="229">
        <v>2000</v>
      </c>
      <c r="B6" s="230" t="s">
        <v>261</v>
      </c>
      <c r="C6" s="975" t="s">
        <v>286</v>
      </c>
      <c r="D6" s="401"/>
      <c r="E6" s="980"/>
      <c r="F6" s="980"/>
      <c r="G6" s="980"/>
      <c r="H6" s="401">
        <f t="shared" ref="H6:H13" si="9">IF(MID(A6,2,1)="0",A6,"")</f>
        <v>2000</v>
      </c>
      <c r="I6" s="981" t="str">
        <f t="shared" ref="I6:I13" si="10">+B6</f>
        <v>MATERIALES Y SUMINISTROS</v>
      </c>
      <c r="J6" s="338">
        <f t="shared" si="0"/>
        <v>2249254.5200000005</v>
      </c>
      <c r="L6" s="401"/>
      <c r="M6" s="980"/>
      <c r="N6" s="980"/>
      <c r="O6" s="401">
        <f t="shared" si="1"/>
        <v>2000</v>
      </c>
      <c r="P6" s="981" t="str">
        <f t="shared" si="2"/>
        <v>MATERIALES Y SUMINISTROS</v>
      </c>
      <c r="Q6" s="338">
        <f t="shared" si="3"/>
        <v>2249254.5200000005</v>
      </c>
      <c r="R6" s="338">
        <f t="shared" si="4"/>
        <v>-349815.94999999995</v>
      </c>
      <c r="S6" s="338">
        <f t="shared" si="5"/>
        <v>1899438.5700000005</v>
      </c>
      <c r="T6" s="338">
        <f t="shared" si="6"/>
        <v>1899438.57</v>
      </c>
      <c r="U6" s="338">
        <f t="shared" si="7"/>
        <v>1899438.57</v>
      </c>
      <c r="V6" s="338">
        <f t="shared" si="8"/>
        <v>0</v>
      </c>
    </row>
    <row r="7" spans="1:22">
      <c r="A7" s="229">
        <v>3000</v>
      </c>
      <c r="B7" s="230" t="s">
        <v>262</v>
      </c>
      <c r="C7" s="975" t="s">
        <v>286</v>
      </c>
      <c r="D7" s="401"/>
      <c r="E7" s="980"/>
      <c r="F7" s="980"/>
      <c r="G7" s="980"/>
      <c r="H7" s="401">
        <f t="shared" si="9"/>
        <v>3000</v>
      </c>
      <c r="I7" s="981" t="str">
        <f t="shared" si="10"/>
        <v>SERVICIOS GENERALES</v>
      </c>
      <c r="J7" s="338">
        <f t="shared" si="0"/>
        <v>15301570.999999998</v>
      </c>
      <c r="L7" s="401"/>
      <c r="M7" s="980"/>
      <c r="N7" s="980"/>
      <c r="O7" s="401">
        <f t="shared" si="1"/>
        <v>3000</v>
      </c>
      <c r="P7" s="981" t="str">
        <f t="shared" si="2"/>
        <v>SERVICIOS GENERALES</v>
      </c>
      <c r="Q7" s="338">
        <f t="shared" si="3"/>
        <v>15301570.999999998</v>
      </c>
      <c r="R7" s="338">
        <f t="shared" si="4"/>
        <v>350566.11000000057</v>
      </c>
      <c r="S7" s="338">
        <f t="shared" si="5"/>
        <v>15652137.109999999</v>
      </c>
      <c r="T7" s="338">
        <f t="shared" si="6"/>
        <v>15652137.109999999</v>
      </c>
      <c r="U7" s="338">
        <f t="shared" si="7"/>
        <v>15517128.109999999</v>
      </c>
      <c r="V7" s="338">
        <f t="shared" si="8"/>
        <v>0</v>
      </c>
    </row>
    <row r="8" spans="1:22">
      <c r="A8" s="229">
        <v>4000</v>
      </c>
      <c r="B8" s="230" t="s">
        <v>207</v>
      </c>
      <c r="C8" s="975" t="s">
        <v>286</v>
      </c>
      <c r="D8" s="401"/>
      <c r="E8" s="980"/>
      <c r="F8" s="980"/>
      <c r="G8" s="980"/>
      <c r="H8" s="401">
        <f t="shared" si="9"/>
        <v>4000</v>
      </c>
      <c r="I8" s="981" t="str">
        <f t="shared" si="10"/>
        <v>TRANSFERENCIAS, ASIGNACIONES, SUBSIDIOS Y OTRAS AYUDAS</v>
      </c>
      <c r="J8" s="338">
        <f t="shared" si="0"/>
        <v>0</v>
      </c>
      <c r="L8" s="401"/>
      <c r="M8" s="980"/>
      <c r="N8" s="980"/>
      <c r="O8" s="401">
        <f t="shared" si="1"/>
        <v>4000</v>
      </c>
      <c r="P8" s="981" t="str">
        <f t="shared" si="2"/>
        <v>TRANSFERENCIAS, ASIGNACIONES, SUBSIDIOS Y OTRAS AYUDAS</v>
      </c>
      <c r="Q8" s="338">
        <f t="shared" si="3"/>
        <v>0</v>
      </c>
      <c r="R8" s="338">
        <f t="shared" si="4"/>
        <v>0</v>
      </c>
      <c r="S8" s="338">
        <f t="shared" si="5"/>
        <v>0</v>
      </c>
      <c r="T8" s="338">
        <f t="shared" si="6"/>
        <v>0</v>
      </c>
      <c r="U8" s="338">
        <f t="shared" si="7"/>
        <v>0</v>
      </c>
      <c r="V8" s="338">
        <f t="shared" si="8"/>
        <v>0</v>
      </c>
    </row>
    <row r="9" spans="1:22">
      <c r="A9" s="229">
        <v>5000</v>
      </c>
      <c r="B9" s="230" t="s">
        <v>265</v>
      </c>
      <c r="C9" s="975" t="s">
        <v>286</v>
      </c>
      <c r="D9" s="401"/>
      <c r="E9" s="980"/>
      <c r="F9" s="980"/>
      <c r="G9" s="980"/>
      <c r="H9" s="401">
        <f t="shared" si="9"/>
        <v>5000</v>
      </c>
      <c r="I9" s="981" t="str">
        <f t="shared" si="10"/>
        <v>BIENES MUEBLES, INMUEBLES E INTANGIBLES</v>
      </c>
      <c r="J9" s="338">
        <f t="shared" si="0"/>
        <v>1042027.5599999999</v>
      </c>
      <c r="L9" s="401"/>
      <c r="M9" s="980"/>
      <c r="N9" s="980"/>
      <c r="O9" s="401">
        <f t="shared" si="1"/>
        <v>5000</v>
      </c>
      <c r="P9" s="981" t="str">
        <f t="shared" si="2"/>
        <v>BIENES MUEBLES, INMUEBLES E INTANGIBLES</v>
      </c>
      <c r="Q9" s="338">
        <f t="shared" si="3"/>
        <v>1042027.5599999999</v>
      </c>
      <c r="R9" s="338">
        <f t="shared" si="4"/>
        <v>1675477.6800000002</v>
      </c>
      <c r="S9" s="338">
        <f t="shared" si="5"/>
        <v>2717505.24</v>
      </c>
      <c r="T9" s="338">
        <f t="shared" si="6"/>
        <v>2717505.24</v>
      </c>
      <c r="U9" s="338">
        <f t="shared" si="7"/>
        <v>2717505.24</v>
      </c>
      <c r="V9" s="338">
        <f t="shared" si="8"/>
        <v>0</v>
      </c>
    </row>
    <row r="10" spans="1:22">
      <c r="A10" s="229">
        <v>6000</v>
      </c>
      <c r="B10" s="230" t="s">
        <v>222</v>
      </c>
      <c r="C10" s="975" t="s">
        <v>286</v>
      </c>
      <c r="D10" s="401"/>
      <c r="E10" s="980"/>
      <c r="F10" s="980"/>
      <c r="G10" s="980"/>
      <c r="H10" s="401">
        <f t="shared" si="9"/>
        <v>6000</v>
      </c>
      <c r="I10" s="981" t="str">
        <f t="shared" si="10"/>
        <v>INVERSIÓN PÚBLICA</v>
      </c>
      <c r="J10" s="338">
        <f t="shared" si="0"/>
        <v>0</v>
      </c>
      <c r="L10" s="401"/>
      <c r="M10" s="980"/>
      <c r="N10" s="980"/>
      <c r="O10" s="401">
        <f t="shared" si="1"/>
        <v>6000</v>
      </c>
      <c r="P10" s="981" t="str">
        <f t="shared" si="2"/>
        <v>INVERSIÓN PÚBLICA</v>
      </c>
      <c r="Q10" s="338">
        <f t="shared" si="3"/>
        <v>0</v>
      </c>
      <c r="R10" s="338">
        <f t="shared" si="4"/>
        <v>0</v>
      </c>
      <c r="S10" s="338">
        <f t="shared" si="5"/>
        <v>0</v>
      </c>
      <c r="T10" s="338">
        <f t="shared" si="6"/>
        <v>0</v>
      </c>
      <c r="U10" s="338">
        <f t="shared" si="7"/>
        <v>0</v>
      </c>
      <c r="V10" s="338">
        <f t="shared" si="8"/>
        <v>0</v>
      </c>
    </row>
    <row r="11" spans="1:22">
      <c r="A11" s="229">
        <v>7000</v>
      </c>
      <c r="B11" s="230" t="s">
        <v>270</v>
      </c>
      <c r="C11" s="975" t="s">
        <v>286</v>
      </c>
      <c r="D11" s="401"/>
      <c r="E11" s="980"/>
      <c r="F11" s="980"/>
      <c r="G11" s="980"/>
      <c r="H11" s="401">
        <f t="shared" si="9"/>
        <v>7000</v>
      </c>
      <c r="I11" s="981" t="str">
        <f t="shared" si="10"/>
        <v>INVERSIONES FINANCIERAS Y OTRAS PROVISIONES</v>
      </c>
      <c r="J11" s="338">
        <f t="shared" si="0"/>
        <v>1937510.53</v>
      </c>
      <c r="L11" s="401"/>
      <c r="M11" s="980"/>
      <c r="N11" s="980"/>
      <c r="O11" s="401">
        <f t="shared" si="1"/>
        <v>7000</v>
      </c>
      <c r="P11" s="981" t="str">
        <f t="shared" si="2"/>
        <v>INVERSIONES FINANCIERAS Y OTRAS PROVISIONES</v>
      </c>
      <c r="Q11" s="338">
        <f t="shared" si="3"/>
        <v>1937510.53</v>
      </c>
      <c r="R11" s="338">
        <f t="shared" si="4"/>
        <v>733023.78</v>
      </c>
      <c r="S11" s="338">
        <f t="shared" si="5"/>
        <v>2670534.31</v>
      </c>
      <c r="T11" s="338">
        <f t="shared" si="6"/>
        <v>0</v>
      </c>
      <c r="U11" s="338">
        <f t="shared" si="7"/>
        <v>0</v>
      </c>
      <c r="V11" s="338">
        <f t="shared" si="8"/>
        <v>2670534.31</v>
      </c>
    </row>
    <row r="12" spans="1:22">
      <c r="A12" s="229">
        <v>8000</v>
      </c>
      <c r="B12" s="230" t="s">
        <v>208</v>
      </c>
      <c r="C12" s="975" t="s">
        <v>286</v>
      </c>
      <c r="D12" s="401"/>
      <c r="E12" s="980"/>
      <c r="F12" s="980"/>
      <c r="G12" s="980"/>
      <c r="H12" s="401">
        <f t="shared" si="9"/>
        <v>8000</v>
      </c>
      <c r="I12" s="981" t="str">
        <f t="shared" si="10"/>
        <v>PARTICIPACIONES Y APORTACIONES</v>
      </c>
      <c r="J12" s="338">
        <f t="shared" si="0"/>
        <v>0</v>
      </c>
      <c r="L12" s="401"/>
      <c r="M12" s="980"/>
      <c r="N12" s="980"/>
      <c r="O12" s="401">
        <f t="shared" si="1"/>
        <v>8000</v>
      </c>
      <c r="P12" s="981" t="str">
        <f t="shared" si="2"/>
        <v>PARTICIPACIONES Y APORTACIONES</v>
      </c>
      <c r="Q12" s="338">
        <f t="shared" si="3"/>
        <v>0</v>
      </c>
      <c r="R12" s="338">
        <f t="shared" si="4"/>
        <v>0</v>
      </c>
      <c r="S12" s="338">
        <f t="shared" si="5"/>
        <v>0</v>
      </c>
      <c r="T12" s="338">
        <f t="shared" si="6"/>
        <v>0</v>
      </c>
      <c r="U12" s="338">
        <f t="shared" si="7"/>
        <v>0</v>
      </c>
      <c r="V12" s="338">
        <f t="shared" si="8"/>
        <v>0</v>
      </c>
    </row>
    <row r="13" spans="1:22">
      <c r="A13" s="229">
        <v>9000</v>
      </c>
      <c r="B13" s="230" t="s">
        <v>80</v>
      </c>
      <c r="C13" s="975" t="s">
        <v>286</v>
      </c>
      <c r="D13" s="403"/>
      <c r="E13" s="982"/>
      <c r="F13" s="982"/>
      <c r="G13" s="982"/>
      <c r="H13" s="403">
        <f t="shared" si="9"/>
        <v>9000</v>
      </c>
      <c r="I13" s="983" t="str">
        <f t="shared" si="10"/>
        <v>DEUDA PÚBLICA</v>
      </c>
      <c r="J13" s="339">
        <f t="shared" si="0"/>
        <v>0</v>
      </c>
      <c r="L13" s="403"/>
      <c r="M13" s="982"/>
      <c r="N13" s="982"/>
      <c r="O13" s="403">
        <f t="shared" si="1"/>
        <v>9000</v>
      </c>
      <c r="P13" s="983" t="str">
        <f t="shared" si="2"/>
        <v>DEUDA PÚBLICA</v>
      </c>
      <c r="Q13" s="339">
        <f t="shared" si="3"/>
        <v>0</v>
      </c>
      <c r="R13" s="339">
        <f t="shared" si="4"/>
        <v>0</v>
      </c>
      <c r="S13" s="339">
        <f t="shared" si="5"/>
        <v>0</v>
      </c>
      <c r="T13" s="339">
        <f t="shared" si="6"/>
        <v>0</v>
      </c>
      <c r="U13" s="339">
        <f t="shared" si="7"/>
        <v>0</v>
      </c>
      <c r="V13" s="339">
        <f t="shared" si="8"/>
        <v>0</v>
      </c>
    </row>
  </sheetData>
  <sheetProtection autoFilter="0"/>
  <mergeCells count="6">
    <mergeCell ref="D1:J1"/>
    <mergeCell ref="L1:V1"/>
    <mergeCell ref="D2:J2"/>
    <mergeCell ref="L2:V2"/>
    <mergeCell ref="D3:J3"/>
    <mergeCell ref="L3:V3"/>
  </mergeCells>
  <dataValidations count="8">
    <dataValidation allowBlank="1" showInputMessage="1" showErrorMessage="1" prompt="Refleja las modificaciones realizadas al Presupuesto Aprobado" sqref="R65122:S65122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R130658:S130658 JM65122 TI65122 ADE65122 ANA65122 AWW65122 BGS65122 BQO65122 CAK65122 CKG65122 CUC65122 DDY65122 DNU65122 DXQ65122 EHM65122 ERI65122 FBE65122 FLA65122 FUW65122 GES65122 GOO65122 GYK65122 HIG65122 HSC65122 IBY65122 ILU65122 IVQ65122 JFM65122 JPI65122 JZE65122 KJA65122 KSW65122 LCS65122 LMO65122 LWK65122 MGG65122 MQC65122 MZY65122 NJU65122 NTQ65122 ODM65122 ONI65122 OXE65122 PHA65122 PQW65122 QAS65122 QKO65122 QUK65122 REG65122 ROC65122 RXY65122 SHU65122 SRQ65122 TBM65122 TLI65122 TVE65122 UFA65122 UOW65122 UYS65122 VIO65122 VSK65122 WCG65122 WMC65122 WVY65122 R196194:S196194 JM130658 TI130658 ADE130658 ANA130658 AWW130658 BGS130658 BQO130658 CAK130658 CKG130658 CUC130658 DDY130658 DNU130658 DXQ130658 EHM130658 ERI130658 FBE130658 FLA130658 FUW130658 GES130658 GOO130658 GYK130658 HIG130658 HSC130658 IBY130658 ILU130658 IVQ130658 JFM130658 JPI130658 JZE130658 KJA130658 KSW130658 LCS130658 LMO130658 LWK130658 MGG130658 MQC130658 MZY130658 NJU130658 NTQ130658 ODM130658 ONI130658 OXE130658 PHA130658 PQW130658 QAS130658 QKO130658 QUK130658 REG130658 ROC130658 RXY130658 SHU130658 SRQ130658 TBM130658 TLI130658 TVE130658 UFA130658 UOW130658 UYS130658 VIO130658 VSK130658 WCG130658 WMC130658 WVY130658 R261730:S261730 JM196194 TI196194 ADE196194 ANA196194 AWW196194 BGS196194 BQO196194 CAK196194 CKG196194 CUC196194 DDY196194 DNU196194 DXQ196194 EHM196194 ERI196194 FBE196194 FLA196194 FUW196194 GES196194 GOO196194 GYK196194 HIG196194 HSC196194 IBY196194 ILU196194 IVQ196194 JFM196194 JPI196194 JZE196194 KJA196194 KSW196194 LCS196194 LMO196194 LWK196194 MGG196194 MQC196194 MZY196194 NJU196194 NTQ196194 ODM196194 ONI196194 OXE196194 PHA196194 PQW196194 QAS196194 QKO196194 QUK196194 REG196194 ROC196194 RXY196194 SHU196194 SRQ196194 TBM196194 TLI196194 TVE196194 UFA196194 UOW196194 UYS196194 VIO196194 VSK196194 WCG196194 WMC196194 WVY196194 R327266:S327266 JM261730 TI261730 ADE261730 ANA261730 AWW261730 BGS261730 BQO261730 CAK261730 CKG261730 CUC261730 DDY261730 DNU261730 DXQ261730 EHM261730 ERI261730 FBE261730 FLA261730 FUW261730 GES261730 GOO261730 GYK261730 HIG261730 HSC261730 IBY261730 ILU261730 IVQ261730 JFM261730 JPI261730 JZE261730 KJA261730 KSW261730 LCS261730 LMO261730 LWK261730 MGG261730 MQC261730 MZY261730 NJU261730 NTQ261730 ODM261730 ONI261730 OXE261730 PHA261730 PQW261730 QAS261730 QKO261730 QUK261730 REG261730 ROC261730 RXY261730 SHU261730 SRQ261730 TBM261730 TLI261730 TVE261730 UFA261730 UOW261730 UYS261730 VIO261730 VSK261730 WCG261730 WMC261730 WVY261730 R392802:S392802 JM327266 TI327266 ADE327266 ANA327266 AWW327266 BGS327266 BQO327266 CAK327266 CKG327266 CUC327266 DDY327266 DNU327266 DXQ327266 EHM327266 ERI327266 FBE327266 FLA327266 FUW327266 GES327266 GOO327266 GYK327266 HIG327266 HSC327266 IBY327266 ILU327266 IVQ327266 JFM327266 JPI327266 JZE327266 KJA327266 KSW327266 LCS327266 LMO327266 LWK327266 MGG327266 MQC327266 MZY327266 NJU327266 NTQ327266 ODM327266 ONI327266 OXE327266 PHA327266 PQW327266 QAS327266 QKO327266 QUK327266 REG327266 ROC327266 RXY327266 SHU327266 SRQ327266 TBM327266 TLI327266 TVE327266 UFA327266 UOW327266 UYS327266 VIO327266 VSK327266 WCG327266 WMC327266 WVY327266 R458338:S458338 JM392802 TI392802 ADE392802 ANA392802 AWW392802 BGS392802 BQO392802 CAK392802 CKG392802 CUC392802 DDY392802 DNU392802 DXQ392802 EHM392802 ERI392802 FBE392802 FLA392802 FUW392802 GES392802 GOO392802 GYK392802 HIG392802 HSC392802 IBY392802 ILU392802 IVQ392802 JFM392802 JPI392802 JZE392802 KJA392802 KSW392802 LCS392802 LMO392802 LWK392802 MGG392802 MQC392802 MZY392802 NJU392802 NTQ392802 ODM392802 ONI392802 OXE392802 PHA392802 PQW392802 QAS392802 QKO392802 QUK392802 REG392802 ROC392802 RXY392802 SHU392802 SRQ392802 TBM392802 TLI392802 TVE392802 UFA392802 UOW392802 UYS392802 VIO392802 VSK392802 WCG392802 WMC392802 WVY392802 R523874:S523874 JM458338 TI458338 ADE458338 ANA458338 AWW458338 BGS458338 BQO458338 CAK458338 CKG458338 CUC458338 DDY458338 DNU458338 DXQ458338 EHM458338 ERI458338 FBE458338 FLA458338 FUW458338 GES458338 GOO458338 GYK458338 HIG458338 HSC458338 IBY458338 ILU458338 IVQ458338 JFM458338 JPI458338 JZE458338 KJA458338 KSW458338 LCS458338 LMO458338 LWK458338 MGG458338 MQC458338 MZY458338 NJU458338 NTQ458338 ODM458338 ONI458338 OXE458338 PHA458338 PQW458338 QAS458338 QKO458338 QUK458338 REG458338 ROC458338 RXY458338 SHU458338 SRQ458338 TBM458338 TLI458338 TVE458338 UFA458338 UOW458338 UYS458338 VIO458338 VSK458338 WCG458338 WMC458338 WVY458338 R589410:S589410 JM523874 TI523874 ADE523874 ANA523874 AWW523874 BGS523874 BQO523874 CAK523874 CKG523874 CUC523874 DDY523874 DNU523874 DXQ523874 EHM523874 ERI523874 FBE523874 FLA523874 FUW523874 GES523874 GOO523874 GYK523874 HIG523874 HSC523874 IBY523874 ILU523874 IVQ523874 JFM523874 JPI523874 JZE523874 KJA523874 KSW523874 LCS523874 LMO523874 LWK523874 MGG523874 MQC523874 MZY523874 NJU523874 NTQ523874 ODM523874 ONI523874 OXE523874 PHA523874 PQW523874 QAS523874 QKO523874 QUK523874 REG523874 ROC523874 RXY523874 SHU523874 SRQ523874 TBM523874 TLI523874 TVE523874 UFA523874 UOW523874 UYS523874 VIO523874 VSK523874 WCG523874 WMC523874 WVY523874 R654946:S654946 JM589410 TI589410 ADE589410 ANA589410 AWW589410 BGS589410 BQO589410 CAK589410 CKG589410 CUC589410 DDY589410 DNU589410 DXQ589410 EHM589410 ERI589410 FBE589410 FLA589410 FUW589410 GES589410 GOO589410 GYK589410 HIG589410 HSC589410 IBY589410 ILU589410 IVQ589410 JFM589410 JPI589410 JZE589410 KJA589410 KSW589410 LCS589410 LMO589410 LWK589410 MGG589410 MQC589410 MZY589410 NJU589410 NTQ589410 ODM589410 ONI589410 OXE589410 PHA589410 PQW589410 QAS589410 QKO589410 QUK589410 REG589410 ROC589410 RXY589410 SHU589410 SRQ589410 TBM589410 TLI589410 TVE589410 UFA589410 UOW589410 UYS589410 VIO589410 VSK589410 WCG589410 WMC589410 WVY589410 R720482:S720482 JM654946 TI654946 ADE654946 ANA654946 AWW654946 BGS654946 BQO654946 CAK654946 CKG654946 CUC654946 DDY654946 DNU654946 DXQ654946 EHM654946 ERI654946 FBE654946 FLA654946 FUW654946 GES654946 GOO654946 GYK654946 HIG654946 HSC654946 IBY654946 ILU654946 IVQ654946 JFM654946 JPI654946 JZE654946 KJA654946 KSW654946 LCS654946 LMO654946 LWK654946 MGG654946 MQC654946 MZY654946 NJU654946 NTQ654946 ODM654946 ONI654946 OXE654946 PHA654946 PQW654946 QAS654946 QKO654946 QUK654946 REG654946 ROC654946 RXY654946 SHU654946 SRQ654946 TBM654946 TLI654946 TVE654946 UFA654946 UOW654946 UYS654946 VIO654946 VSK654946 WCG654946 WMC654946 WVY654946 R786018:S786018 JM720482 TI720482 ADE720482 ANA720482 AWW720482 BGS720482 BQO720482 CAK720482 CKG720482 CUC720482 DDY720482 DNU720482 DXQ720482 EHM720482 ERI720482 FBE720482 FLA720482 FUW720482 GES720482 GOO720482 GYK720482 HIG720482 HSC720482 IBY720482 ILU720482 IVQ720482 JFM720482 JPI720482 JZE720482 KJA720482 KSW720482 LCS720482 LMO720482 LWK720482 MGG720482 MQC720482 MZY720482 NJU720482 NTQ720482 ODM720482 ONI720482 OXE720482 PHA720482 PQW720482 QAS720482 QKO720482 QUK720482 REG720482 ROC720482 RXY720482 SHU720482 SRQ720482 TBM720482 TLI720482 TVE720482 UFA720482 UOW720482 UYS720482 VIO720482 VSK720482 WCG720482 WMC720482 WVY720482 R851554:S851554 JM786018 TI786018 ADE786018 ANA786018 AWW786018 BGS786018 BQO786018 CAK786018 CKG786018 CUC786018 DDY786018 DNU786018 DXQ786018 EHM786018 ERI786018 FBE786018 FLA786018 FUW786018 GES786018 GOO786018 GYK786018 HIG786018 HSC786018 IBY786018 ILU786018 IVQ786018 JFM786018 JPI786018 JZE786018 KJA786018 KSW786018 LCS786018 LMO786018 LWK786018 MGG786018 MQC786018 MZY786018 NJU786018 NTQ786018 ODM786018 ONI786018 OXE786018 PHA786018 PQW786018 QAS786018 QKO786018 QUK786018 REG786018 ROC786018 RXY786018 SHU786018 SRQ786018 TBM786018 TLI786018 TVE786018 UFA786018 UOW786018 UYS786018 VIO786018 VSK786018 WCG786018 WMC786018 WVY786018 R917090:S917090 JM851554 TI851554 ADE851554 ANA851554 AWW851554 BGS851554 BQO851554 CAK851554 CKG851554 CUC851554 DDY851554 DNU851554 DXQ851554 EHM851554 ERI851554 FBE851554 FLA851554 FUW851554 GES851554 GOO851554 GYK851554 HIG851554 HSC851554 IBY851554 ILU851554 IVQ851554 JFM851554 JPI851554 JZE851554 KJA851554 KSW851554 LCS851554 LMO851554 LWK851554 MGG851554 MQC851554 MZY851554 NJU851554 NTQ851554 ODM851554 ONI851554 OXE851554 PHA851554 PQW851554 QAS851554 QKO851554 QUK851554 REG851554 ROC851554 RXY851554 SHU851554 SRQ851554 TBM851554 TLI851554 TVE851554 UFA851554 UOW851554 UYS851554 VIO851554 VSK851554 WCG851554 WMC851554 WVY851554 R982626:S982626 JM917090 TI917090 ADE917090 ANA917090 AWW917090 BGS917090 BQO917090 CAK917090 CKG917090 CUC917090 DDY917090 DNU917090 DXQ917090 EHM917090 ERI917090 FBE917090 FLA917090 FUW917090 GES917090 GOO917090 GYK917090 HIG917090 HSC917090 IBY917090 ILU917090 IVQ917090 JFM917090 JPI917090 JZE917090 KJA917090 KSW917090 LCS917090 LMO917090 LWK917090 MGG917090 MQC917090 MZY917090 NJU917090 NTQ917090 ODM917090 ONI917090 OXE917090 PHA917090 PQW917090 QAS917090 QKO917090 QUK917090 REG917090 ROC917090 RXY917090 SHU917090 SRQ917090 TBM917090 TLI917090 TVE917090 UFA917090 UOW917090 UYS917090 VIO917090 VSK917090 WCG917090 WMC917090 WVY917090 WVY982626 JM982626 TI982626 ADE982626 ANA982626 AWW982626 BGS982626 BQO982626 CAK982626 CKG982626 CUC982626 DDY982626 DNU982626 DXQ982626 EHM982626 ERI982626 FBE982626 FLA982626 FUW982626 GES982626 GOO982626 GYK982626 HIG982626 HSC982626 IBY982626 ILU982626 IVQ982626 JFM982626 JPI982626 JZE982626 KJA982626 KSW982626 LCS982626 LMO982626 LWK982626 MGG982626 MQC982626 MZY982626 NJU982626 NTQ982626 ODM982626 ONI982626 OXE982626 PHA982626 PQW982626 QAS982626 QKO982626 QUK982626 REG982626 ROC982626 RXY982626 SHU982626 SRQ982626 TBM982626 TLI982626 TVE982626 UFA982626 UOW982626 UYS982626 VIO982626 VSK982626 WCG982626 WMC982626 R4:S4"/>
    <dataValidation allowBlank="1" showInputMessage="1" showErrorMessage="1" prompt="Se refiere al nombre que se asigna a cada uno de los desagregados que se señalan." sqref="P4 JK4 TG4 ADC4 AMY4 AWU4 BGQ4 BQM4 CAI4 CKE4 CUA4 DDW4 DNS4 DXO4 EHK4 ERG4 FBC4 FKY4 FUU4 GEQ4 GOM4 GYI4 HIE4 HSA4 IBW4 ILS4 IVO4 JFK4 JPG4 JZC4 KIY4 KSU4 LCQ4 LMM4 LWI4 MGE4 MQA4 MZW4 NJS4 NTO4 ODK4 ONG4 OXC4 PGY4 PQU4 QAQ4 QKM4 QUI4 REE4 ROA4 RXW4 SHS4 SRO4 TBK4 TLG4 TVC4 UEY4 UOU4 UYQ4 VIM4 VSI4 WCE4 WMA4 WVW4 P65122 JK65122 TG65122 ADC65122 AMY65122 AWU65122 BGQ65122 BQM65122 CAI65122 CKE65122 CUA65122 DDW65122 DNS65122 DXO65122 EHK65122 ERG65122 FBC65122 FKY65122 FUU65122 GEQ65122 GOM65122 GYI65122 HIE65122 HSA65122 IBW65122 ILS65122 IVO65122 JFK65122 JPG65122 JZC65122 KIY65122 KSU65122 LCQ65122 LMM65122 LWI65122 MGE65122 MQA65122 MZW65122 NJS65122 NTO65122 ODK65122 ONG65122 OXC65122 PGY65122 PQU65122 QAQ65122 QKM65122 QUI65122 REE65122 ROA65122 RXW65122 SHS65122 SRO65122 TBK65122 TLG65122 TVC65122 UEY65122 UOU65122 UYQ65122 VIM65122 VSI65122 WCE65122 WMA65122 WVW65122 P130658 JK130658 TG130658 ADC130658 AMY130658 AWU130658 BGQ130658 BQM130658 CAI130658 CKE130658 CUA130658 DDW130658 DNS130658 DXO130658 EHK130658 ERG130658 FBC130658 FKY130658 FUU130658 GEQ130658 GOM130658 GYI130658 HIE130658 HSA130658 IBW130658 ILS130658 IVO130658 JFK130658 JPG130658 JZC130658 KIY130658 KSU130658 LCQ130658 LMM130658 LWI130658 MGE130658 MQA130658 MZW130658 NJS130658 NTO130658 ODK130658 ONG130658 OXC130658 PGY130658 PQU130658 QAQ130658 QKM130658 QUI130658 REE130658 ROA130658 RXW130658 SHS130658 SRO130658 TBK130658 TLG130658 TVC130658 UEY130658 UOU130658 UYQ130658 VIM130658 VSI130658 WCE130658 WMA130658 WVW130658 P196194 JK196194 TG196194 ADC196194 AMY196194 AWU196194 BGQ196194 BQM196194 CAI196194 CKE196194 CUA196194 DDW196194 DNS196194 DXO196194 EHK196194 ERG196194 FBC196194 FKY196194 FUU196194 GEQ196194 GOM196194 GYI196194 HIE196194 HSA196194 IBW196194 ILS196194 IVO196194 JFK196194 JPG196194 JZC196194 KIY196194 KSU196194 LCQ196194 LMM196194 LWI196194 MGE196194 MQA196194 MZW196194 NJS196194 NTO196194 ODK196194 ONG196194 OXC196194 PGY196194 PQU196194 QAQ196194 QKM196194 QUI196194 REE196194 ROA196194 RXW196194 SHS196194 SRO196194 TBK196194 TLG196194 TVC196194 UEY196194 UOU196194 UYQ196194 VIM196194 VSI196194 WCE196194 WMA196194 WVW196194 P261730 JK261730 TG261730 ADC261730 AMY261730 AWU261730 BGQ261730 BQM261730 CAI261730 CKE261730 CUA261730 DDW261730 DNS261730 DXO261730 EHK261730 ERG261730 FBC261730 FKY261730 FUU261730 GEQ261730 GOM261730 GYI261730 HIE261730 HSA261730 IBW261730 ILS261730 IVO261730 JFK261730 JPG261730 JZC261730 KIY261730 KSU261730 LCQ261730 LMM261730 LWI261730 MGE261730 MQA261730 MZW261730 NJS261730 NTO261730 ODK261730 ONG261730 OXC261730 PGY261730 PQU261730 QAQ261730 QKM261730 QUI261730 REE261730 ROA261730 RXW261730 SHS261730 SRO261730 TBK261730 TLG261730 TVC261730 UEY261730 UOU261730 UYQ261730 VIM261730 VSI261730 WCE261730 WMA261730 WVW261730 P327266 JK327266 TG327266 ADC327266 AMY327266 AWU327266 BGQ327266 BQM327266 CAI327266 CKE327266 CUA327266 DDW327266 DNS327266 DXO327266 EHK327266 ERG327266 FBC327266 FKY327266 FUU327266 GEQ327266 GOM327266 GYI327266 HIE327266 HSA327266 IBW327266 ILS327266 IVO327266 JFK327266 JPG327266 JZC327266 KIY327266 KSU327266 LCQ327266 LMM327266 LWI327266 MGE327266 MQA327266 MZW327266 NJS327266 NTO327266 ODK327266 ONG327266 OXC327266 PGY327266 PQU327266 QAQ327266 QKM327266 QUI327266 REE327266 ROA327266 RXW327266 SHS327266 SRO327266 TBK327266 TLG327266 TVC327266 UEY327266 UOU327266 UYQ327266 VIM327266 VSI327266 WCE327266 WMA327266 WVW327266 P392802 JK392802 TG392802 ADC392802 AMY392802 AWU392802 BGQ392802 BQM392802 CAI392802 CKE392802 CUA392802 DDW392802 DNS392802 DXO392802 EHK392802 ERG392802 FBC392802 FKY392802 FUU392802 GEQ392802 GOM392802 GYI392802 HIE392802 HSA392802 IBW392802 ILS392802 IVO392802 JFK392802 JPG392802 JZC392802 KIY392802 KSU392802 LCQ392802 LMM392802 LWI392802 MGE392802 MQA392802 MZW392802 NJS392802 NTO392802 ODK392802 ONG392802 OXC392802 PGY392802 PQU392802 QAQ392802 QKM392802 QUI392802 REE392802 ROA392802 RXW392802 SHS392802 SRO392802 TBK392802 TLG392802 TVC392802 UEY392802 UOU392802 UYQ392802 VIM392802 VSI392802 WCE392802 WMA392802 WVW392802 P458338 JK458338 TG458338 ADC458338 AMY458338 AWU458338 BGQ458338 BQM458338 CAI458338 CKE458338 CUA458338 DDW458338 DNS458338 DXO458338 EHK458338 ERG458338 FBC458338 FKY458338 FUU458338 GEQ458338 GOM458338 GYI458338 HIE458338 HSA458338 IBW458338 ILS458338 IVO458338 JFK458338 JPG458338 JZC458338 KIY458338 KSU458338 LCQ458338 LMM458338 LWI458338 MGE458338 MQA458338 MZW458338 NJS458338 NTO458338 ODK458338 ONG458338 OXC458338 PGY458338 PQU458338 QAQ458338 QKM458338 QUI458338 REE458338 ROA458338 RXW458338 SHS458338 SRO458338 TBK458338 TLG458338 TVC458338 UEY458338 UOU458338 UYQ458338 VIM458338 VSI458338 WCE458338 WMA458338 WVW458338 P523874 JK523874 TG523874 ADC523874 AMY523874 AWU523874 BGQ523874 BQM523874 CAI523874 CKE523874 CUA523874 DDW523874 DNS523874 DXO523874 EHK523874 ERG523874 FBC523874 FKY523874 FUU523874 GEQ523874 GOM523874 GYI523874 HIE523874 HSA523874 IBW523874 ILS523874 IVO523874 JFK523874 JPG523874 JZC523874 KIY523874 KSU523874 LCQ523874 LMM523874 LWI523874 MGE523874 MQA523874 MZW523874 NJS523874 NTO523874 ODK523874 ONG523874 OXC523874 PGY523874 PQU523874 QAQ523874 QKM523874 QUI523874 REE523874 ROA523874 RXW523874 SHS523874 SRO523874 TBK523874 TLG523874 TVC523874 UEY523874 UOU523874 UYQ523874 VIM523874 VSI523874 WCE523874 WMA523874 WVW523874 P589410 JK589410 TG589410 ADC589410 AMY589410 AWU589410 BGQ589410 BQM589410 CAI589410 CKE589410 CUA589410 DDW589410 DNS589410 DXO589410 EHK589410 ERG589410 FBC589410 FKY589410 FUU589410 GEQ589410 GOM589410 GYI589410 HIE589410 HSA589410 IBW589410 ILS589410 IVO589410 JFK589410 JPG589410 JZC589410 KIY589410 KSU589410 LCQ589410 LMM589410 LWI589410 MGE589410 MQA589410 MZW589410 NJS589410 NTO589410 ODK589410 ONG589410 OXC589410 PGY589410 PQU589410 QAQ589410 QKM589410 QUI589410 REE589410 ROA589410 RXW589410 SHS589410 SRO589410 TBK589410 TLG589410 TVC589410 UEY589410 UOU589410 UYQ589410 VIM589410 VSI589410 WCE589410 WMA589410 WVW589410 P654946 JK654946 TG654946 ADC654946 AMY654946 AWU654946 BGQ654946 BQM654946 CAI654946 CKE654946 CUA654946 DDW654946 DNS654946 DXO654946 EHK654946 ERG654946 FBC654946 FKY654946 FUU654946 GEQ654946 GOM654946 GYI654946 HIE654946 HSA654946 IBW654946 ILS654946 IVO654946 JFK654946 JPG654946 JZC654946 KIY654946 KSU654946 LCQ654946 LMM654946 LWI654946 MGE654946 MQA654946 MZW654946 NJS654946 NTO654946 ODK654946 ONG654946 OXC654946 PGY654946 PQU654946 QAQ654946 QKM654946 QUI654946 REE654946 ROA654946 RXW654946 SHS654946 SRO654946 TBK654946 TLG654946 TVC654946 UEY654946 UOU654946 UYQ654946 VIM654946 VSI654946 WCE654946 WMA654946 WVW654946 P720482 JK720482 TG720482 ADC720482 AMY720482 AWU720482 BGQ720482 BQM720482 CAI720482 CKE720482 CUA720482 DDW720482 DNS720482 DXO720482 EHK720482 ERG720482 FBC720482 FKY720482 FUU720482 GEQ720482 GOM720482 GYI720482 HIE720482 HSA720482 IBW720482 ILS720482 IVO720482 JFK720482 JPG720482 JZC720482 KIY720482 KSU720482 LCQ720482 LMM720482 LWI720482 MGE720482 MQA720482 MZW720482 NJS720482 NTO720482 ODK720482 ONG720482 OXC720482 PGY720482 PQU720482 QAQ720482 QKM720482 QUI720482 REE720482 ROA720482 RXW720482 SHS720482 SRO720482 TBK720482 TLG720482 TVC720482 UEY720482 UOU720482 UYQ720482 VIM720482 VSI720482 WCE720482 WMA720482 WVW720482 P786018 JK786018 TG786018 ADC786018 AMY786018 AWU786018 BGQ786018 BQM786018 CAI786018 CKE786018 CUA786018 DDW786018 DNS786018 DXO786018 EHK786018 ERG786018 FBC786018 FKY786018 FUU786018 GEQ786018 GOM786018 GYI786018 HIE786018 HSA786018 IBW786018 ILS786018 IVO786018 JFK786018 JPG786018 JZC786018 KIY786018 KSU786018 LCQ786018 LMM786018 LWI786018 MGE786018 MQA786018 MZW786018 NJS786018 NTO786018 ODK786018 ONG786018 OXC786018 PGY786018 PQU786018 QAQ786018 QKM786018 QUI786018 REE786018 ROA786018 RXW786018 SHS786018 SRO786018 TBK786018 TLG786018 TVC786018 UEY786018 UOU786018 UYQ786018 VIM786018 VSI786018 WCE786018 WMA786018 WVW786018 P851554 JK851554 TG851554 ADC851554 AMY851554 AWU851554 BGQ851554 BQM851554 CAI851554 CKE851554 CUA851554 DDW851554 DNS851554 DXO851554 EHK851554 ERG851554 FBC851554 FKY851554 FUU851554 GEQ851554 GOM851554 GYI851554 HIE851554 HSA851554 IBW851554 ILS851554 IVO851554 JFK851554 JPG851554 JZC851554 KIY851554 KSU851554 LCQ851554 LMM851554 LWI851554 MGE851554 MQA851554 MZW851554 NJS851554 NTO851554 ODK851554 ONG851554 OXC851554 PGY851554 PQU851554 QAQ851554 QKM851554 QUI851554 REE851554 ROA851554 RXW851554 SHS851554 SRO851554 TBK851554 TLG851554 TVC851554 UEY851554 UOU851554 UYQ851554 VIM851554 VSI851554 WCE851554 WMA851554 WVW851554 P917090 JK917090 TG917090 ADC917090 AMY917090 AWU917090 BGQ917090 BQM917090 CAI917090 CKE917090 CUA917090 DDW917090 DNS917090 DXO917090 EHK917090 ERG917090 FBC917090 FKY917090 FUU917090 GEQ917090 GOM917090 GYI917090 HIE917090 HSA917090 IBW917090 ILS917090 IVO917090 JFK917090 JPG917090 JZC917090 KIY917090 KSU917090 LCQ917090 LMM917090 LWI917090 MGE917090 MQA917090 MZW917090 NJS917090 NTO917090 ODK917090 ONG917090 OXC917090 PGY917090 PQU917090 QAQ917090 QKM917090 QUI917090 REE917090 ROA917090 RXW917090 SHS917090 SRO917090 TBK917090 TLG917090 TVC917090 UEY917090 UOU917090 UYQ917090 VIM917090 VSI917090 WCE917090 WMA917090 WVW917090 P982626 JK982626 TG982626 ADC982626 AMY982626 AWU982626 BGQ982626 BQM982626 CAI982626 CKE982626 CUA982626 DDW982626 DNS982626 DXO982626 EHK982626 ERG982626 FBC982626 FKY982626 FUU982626 GEQ982626 GOM982626 GYI982626 HIE982626 HSA982626 IBW982626 ILS982626 IVO982626 JFK982626 JPG982626 JZC982626 KIY982626 KSU982626 LCQ982626 LMM982626 LWI982626 MGE982626 MQA982626 MZW982626 NJS982626 NTO982626 ODK982626 ONG982626 OXC982626 PGY982626 PQU982626 QAQ982626 QKM982626 QUI982626 REE982626 ROA982626 RXW982626 SHS982626 SRO982626 TBK982626 TLG982626 TVC982626 UEY982626 UOU982626 UYQ982626 VIM982626 VSI982626 WCE982626 WMA982626 WVW982626 B4 I4 I65122 I130658 I196194 I261730 I327266 I392802 I458338 I523874 I589410 I654946 I720482 I786018 I851554 I917090 I982626"/>
    <dataValidation allowBlank="1" showInputMessage="1" showErrorMessage="1" prompt="Refleja las asignaciones presupuestarias anuales comprometidas en el Presupuesto de Egresos." sqref="Q4 JL4 TH4 ADD4 AMZ4 AWV4 BGR4 BQN4 CAJ4 CKF4 CUB4 DDX4 DNT4 DXP4 EHL4 ERH4 FBD4 FKZ4 FUV4 GER4 GON4 GYJ4 HIF4 HSB4 IBX4 ILT4 IVP4 JFL4 JPH4 JZD4 KIZ4 KSV4 LCR4 LMN4 LWJ4 MGF4 MQB4 MZX4 NJT4 NTP4 ODL4 ONH4 OXD4 PGZ4 PQV4 QAR4 QKN4 QUJ4 REF4 ROB4 RXX4 SHT4 SRP4 TBL4 TLH4 TVD4 UEZ4 UOV4 UYR4 VIN4 VSJ4 WCF4 WMB4 WVX4 Q65122 JL65122 TH65122 ADD65122 AMZ65122 AWV65122 BGR65122 BQN65122 CAJ65122 CKF65122 CUB65122 DDX65122 DNT65122 DXP65122 EHL65122 ERH65122 FBD65122 FKZ65122 FUV65122 GER65122 GON65122 GYJ65122 HIF65122 HSB65122 IBX65122 ILT65122 IVP65122 JFL65122 JPH65122 JZD65122 KIZ65122 KSV65122 LCR65122 LMN65122 LWJ65122 MGF65122 MQB65122 MZX65122 NJT65122 NTP65122 ODL65122 ONH65122 OXD65122 PGZ65122 PQV65122 QAR65122 QKN65122 QUJ65122 REF65122 ROB65122 RXX65122 SHT65122 SRP65122 TBL65122 TLH65122 TVD65122 UEZ65122 UOV65122 UYR65122 VIN65122 VSJ65122 WCF65122 WMB65122 WVX65122 Q130658 JL130658 TH130658 ADD130658 AMZ130658 AWV130658 BGR130658 BQN130658 CAJ130658 CKF130658 CUB130658 DDX130658 DNT130658 DXP130658 EHL130658 ERH130658 FBD130658 FKZ130658 FUV130658 GER130658 GON130658 GYJ130658 HIF130658 HSB130658 IBX130658 ILT130658 IVP130658 JFL130658 JPH130658 JZD130658 KIZ130658 KSV130658 LCR130658 LMN130658 LWJ130658 MGF130658 MQB130658 MZX130658 NJT130658 NTP130658 ODL130658 ONH130658 OXD130658 PGZ130658 PQV130658 QAR130658 QKN130658 QUJ130658 REF130658 ROB130658 RXX130658 SHT130658 SRP130658 TBL130658 TLH130658 TVD130658 UEZ130658 UOV130658 UYR130658 VIN130658 VSJ130658 WCF130658 WMB130658 WVX130658 Q196194 JL196194 TH196194 ADD196194 AMZ196194 AWV196194 BGR196194 BQN196194 CAJ196194 CKF196194 CUB196194 DDX196194 DNT196194 DXP196194 EHL196194 ERH196194 FBD196194 FKZ196194 FUV196194 GER196194 GON196194 GYJ196194 HIF196194 HSB196194 IBX196194 ILT196194 IVP196194 JFL196194 JPH196194 JZD196194 KIZ196194 KSV196194 LCR196194 LMN196194 LWJ196194 MGF196194 MQB196194 MZX196194 NJT196194 NTP196194 ODL196194 ONH196194 OXD196194 PGZ196194 PQV196194 QAR196194 QKN196194 QUJ196194 REF196194 ROB196194 RXX196194 SHT196194 SRP196194 TBL196194 TLH196194 TVD196194 UEZ196194 UOV196194 UYR196194 VIN196194 VSJ196194 WCF196194 WMB196194 WVX196194 Q261730 JL261730 TH261730 ADD261730 AMZ261730 AWV261730 BGR261730 BQN261730 CAJ261730 CKF261730 CUB261730 DDX261730 DNT261730 DXP261730 EHL261730 ERH261730 FBD261730 FKZ261730 FUV261730 GER261730 GON261730 GYJ261730 HIF261730 HSB261730 IBX261730 ILT261730 IVP261730 JFL261730 JPH261730 JZD261730 KIZ261730 KSV261730 LCR261730 LMN261730 LWJ261730 MGF261730 MQB261730 MZX261730 NJT261730 NTP261730 ODL261730 ONH261730 OXD261730 PGZ261730 PQV261730 QAR261730 QKN261730 QUJ261730 REF261730 ROB261730 RXX261730 SHT261730 SRP261730 TBL261730 TLH261730 TVD261730 UEZ261730 UOV261730 UYR261730 VIN261730 VSJ261730 WCF261730 WMB261730 WVX261730 Q327266 JL327266 TH327266 ADD327266 AMZ327266 AWV327266 BGR327266 BQN327266 CAJ327266 CKF327266 CUB327266 DDX327266 DNT327266 DXP327266 EHL327266 ERH327266 FBD327266 FKZ327266 FUV327266 GER327266 GON327266 GYJ327266 HIF327266 HSB327266 IBX327266 ILT327266 IVP327266 JFL327266 JPH327266 JZD327266 KIZ327266 KSV327266 LCR327266 LMN327266 LWJ327266 MGF327266 MQB327266 MZX327266 NJT327266 NTP327266 ODL327266 ONH327266 OXD327266 PGZ327266 PQV327266 QAR327266 QKN327266 QUJ327266 REF327266 ROB327266 RXX327266 SHT327266 SRP327266 TBL327266 TLH327266 TVD327266 UEZ327266 UOV327266 UYR327266 VIN327266 VSJ327266 WCF327266 WMB327266 WVX327266 Q392802 JL392802 TH392802 ADD392802 AMZ392802 AWV392802 BGR392802 BQN392802 CAJ392802 CKF392802 CUB392802 DDX392802 DNT392802 DXP392802 EHL392802 ERH392802 FBD392802 FKZ392802 FUV392802 GER392802 GON392802 GYJ392802 HIF392802 HSB392802 IBX392802 ILT392802 IVP392802 JFL392802 JPH392802 JZD392802 KIZ392802 KSV392802 LCR392802 LMN392802 LWJ392802 MGF392802 MQB392802 MZX392802 NJT392802 NTP392802 ODL392802 ONH392802 OXD392802 PGZ392802 PQV392802 QAR392802 QKN392802 QUJ392802 REF392802 ROB392802 RXX392802 SHT392802 SRP392802 TBL392802 TLH392802 TVD392802 UEZ392802 UOV392802 UYR392802 VIN392802 VSJ392802 WCF392802 WMB392802 WVX392802 Q458338 JL458338 TH458338 ADD458338 AMZ458338 AWV458338 BGR458338 BQN458338 CAJ458338 CKF458338 CUB458338 DDX458338 DNT458338 DXP458338 EHL458338 ERH458338 FBD458338 FKZ458338 FUV458338 GER458338 GON458338 GYJ458338 HIF458338 HSB458338 IBX458338 ILT458338 IVP458338 JFL458338 JPH458338 JZD458338 KIZ458338 KSV458338 LCR458338 LMN458338 LWJ458338 MGF458338 MQB458338 MZX458338 NJT458338 NTP458338 ODL458338 ONH458338 OXD458338 PGZ458338 PQV458338 QAR458338 QKN458338 QUJ458338 REF458338 ROB458338 RXX458338 SHT458338 SRP458338 TBL458338 TLH458338 TVD458338 UEZ458338 UOV458338 UYR458338 VIN458338 VSJ458338 WCF458338 WMB458338 WVX458338 Q523874 JL523874 TH523874 ADD523874 AMZ523874 AWV523874 BGR523874 BQN523874 CAJ523874 CKF523874 CUB523874 DDX523874 DNT523874 DXP523874 EHL523874 ERH523874 FBD523874 FKZ523874 FUV523874 GER523874 GON523874 GYJ523874 HIF523874 HSB523874 IBX523874 ILT523874 IVP523874 JFL523874 JPH523874 JZD523874 KIZ523874 KSV523874 LCR523874 LMN523874 LWJ523874 MGF523874 MQB523874 MZX523874 NJT523874 NTP523874 ODL523874 ONH523874 OXD523874 PGZ523874 PQV523874 QAR523874 QKN523874 QUJ523874 REF523874 ROB523874 RXX523874 SHT523874 SRP523874 TBL523874 TLH523874 TVD523874 UEZ523874 UOV523874 UYR523874 VIN523874 VSJ523874 WCF523874 WMB523874 WVX523874 Q589410 JL589410 TH589410 ADD589410 AMZ589410 AWV589410 BGR589410 BQN589410 CAJ589410 CKF589410 CUB589410 DDX589410 DNT589410 DXP589410 EHL589410 ERH589410 FBD589410 FKZ589410 FUV589410 GER589410 GON589410 GYJ589410 HIF589410 HSB589410 IBX589410 ILT589410 IVP589410 JFL589410 JPH589410 JZD589410 KIZ589410 KSV589410 LCR589410 LMN589410 LWJ589410 MGF589410 MQB589410 MZX589410 NJT589410 NTP589410 ODL589410 ONH589410 OXD589410 PGZ589410 PQV589410 QAR589410 QKN589410 QUJ589410 REF589410 ROB589410 RXX589410 SHT589410 SRP589410 TBL589410 TLH589410 TVD589410 UEZ589410 UOV589410 UYR589410 VIN589410 VSJ589410 WCF589410 WMB589410 WVX589410 Q654946 JL654946 TH654946 ADD654946 AMZ654946 AWV654946 BGR654946 BQN654946 CAJ654946 CKF654946 CUB654946 DDX654946 DNT654946 DXP654946 EHL654946 ERH654946 FBD654946 FKZ654946 FUV654946 GER654946 GON654946 GYJ654946 HIF654946 HSB654946 IBX654946 ILT654946 IVP654946 JFL654946 JPH654946 JZD654946 KIZ654946 KSV654946 LCR654946 LMN654946 LWJ654946 MGF654946 MQB654946 MZX654946 NJT654946 NTP654946 ODL654946 ONH654946 OXD654946 PGZ654946 PQV654946 QAR654946 QKN654946 QUJ654946 REF654946 ROB654946 RXX654946 SHT654946 SRP654946 TBL654946 TLH654946 TVD654946 UEZ654946 UOV654946 UYR654946 VIN654946 VSJ654946 WCF654946 WMB654946 WVX654946 Q720482 JL720482 TH720482 ADD720482 AMZ720482 AWV720482 BGR720482 BQN720482 CAJ720482 CKF720482 CUB720482 DDX720482 DNT720482 DXP720482 EHL720482 ERH720482 FBD720482 FKZ720482 FUV720482 GER720482 GON720482 GYJ720482 HIF720482 HSB720482 IBX720482 ILT720482 IVP720482 JFL720482 JPH720482 JZD720482 KIZ720482 KSV720482 LCR720482 LMN720482 LWJ720482 MGF720482 MQB720482 MZX720482 NJT720482 NTP720482 ODL720482 ONH720482 OXD720482 PGZ720482 PQV720482 QAR720482 QKN720482 QUJ720482 REF720482 ROB720482 RXX720482 SHT720482 SRP720482 TBL720482 TLH720482 TVD720482 UEZ720482 UOV720482 UYR720482 VIN720482 VSJ720482 WCF720482 WMB720482 WVX720482 Q786018 JL786018 TH786018 ADD786018 AMZ786018 AWV786018 BGR786018 BQN786018 CAJ786018 CKF786018 CUB786018 DDX786018 DNT786018 DXP786018 EHL786018 ERH786018 FBD786018 FKZ786018 FUV786018 GER786018 GON786018 GYJ786018 HIF786018 HSB786018 IBX786018 ILT786018 IVP786018 JFL786018 JPH786018 JZD786018 KIZ786018 KSV786018 LCR786018 LMN786018 LWJ786018 MGF786018 MQB786018 MZX786018 NJT786018 NTP786018 ODL786018 ONH786018 OXD786018 PGZ786018 PQV786018 QAR786018 QKN786018 QUJ786018 REF786018 ROB786018 RXX786018 SHT786018 SRP786018 TBL786018 TLH786018 TVD786018 UEZ786018 UOV786018 UYR786018 VIN786018 VSJ786018 WCF786018 WMB786018 WVX786018 Q851554 JL851554 TH851554 ADD851554 AMZ851554 AWV851554 BGR851554 BQN851554 CAJ851554 CKF851554 CUB851554 DDX851554 DNT851554 DXP851554 EHL851554 ERH851554 FBD851554 FKZ851554 FUV851554 GER851554 GON851554 GYJ851554 HIF851554 HSB851554 IBX851554 ILT851554 IVP851554 JFL851554 JPH851554 JZD851554 KIZ851554 KSV851554 LCR851554 LMN851554 LWJ851554 MGF851554 MQB851554 MZX851554 NJT851554 NTP851554 ODL851554 ONH851554 OXD851554 PGZ851554 PQV851554 QAR851554 QKN851554 QUJ851554 REF851554 ROB851554 RXX851554 SHT851554 SRP851554 TBL851554 TLH851554 TVD851554 UEZ851554 UOV851554 UYR851554 VIN851554 VSJ851554 WCF851554 WMB851554 WVX851554 Q917090 JL917090 TH917090 ADD917090 AMZ917090 AWV917090 BGR917090 BQN917090 CAJ917090 CKF917090 CUB917090 DDX917090 DNT917090 DXP917090 EHL917090 ERH917090 FBD917090 FKZ917090 FUV917090 GER917090 GON917090 GYJ917090 HIF917090 HSB917090 IBX917090 ILT917090 IVP917090 JFL917090 JPH917090 JZD917090 KIZ917090 KSV917090 LCR917090 LMN917090 LWJ917090 MGF917090 MQB917090 MZX917090 NJT917090 NTP917090 ODL917090 ONH917090 OXD917090 PGZ917090 PQV917090 QAR917090 QKN917090 QUJ917090 REF917090 ROB917090 RXX917090 SHT917090 SRP917090 TBL917090 TLH917090 TVD917090 UEZ917090 UOV917090 UYR917090 VIN917090 VSJ917090 WCF917090 WMB917090 WVX917090 Q982626 JL982626 TH982626 ADD982626 AMZ982626 AWV982626 BGR982626 BQN982626 CAJ982626 CKF982626 CUB982626 DDX982626 DNT982626 DXP982626 EHL982626 ERH982626 FBD982626 FKZ982626 FUV982626 GER982626 GON982626 GYJ982626 HIF982626 HSB982626 IBX982626 ILT982626 IVP982626 JFL982626 JPH982626 JZD982626 KIZ982626 KSV982626 LCR982626 LMN982626 LWJ982626 MGF982626 MQB982626 MZX982626 NJT982626 NTP982626 ODL982626 ONH982626 OXD982626 PGZ982626 PQV982626 QAR982626 QKN982626 QUJ982626 REF982626 ROB982626 RXX982626 SHT982626 SRP982626 TBL982626 TLH982626 TVD982626 UEZ982626 UOV982626 UYR982626 VIN982626 VSJ982626 WCF982626 WMB982626 WVX982626 J4 J65122 J130658 J196194 J261730 J327266 J392802 J458338 J523874 J589410 J654946 J720482 J786018 J851554 J917090 J982626"/>
    <dataValidation allowBlank="1" showInputMessage="1" showErrorMessage="1" prompt="Es el momento que refleja la asignación presupuestaria que resulta de incorporar; en su caso, las adecuaciones presupuestarias al presupuesto aprobado." sqref="REH982626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OD982626 JN65122 TJ65122 ADF65122 ANB65122 AWX65122 BGT65122 BQP65122 CAL65122 CKH65122 CUD65122 DDZ65122 DNV65122 DXR65122 EHN65122 ERJ65122 FBF65122 FLB65122 FUX65122 GET65122 GOP65122 GYL65122 HIH65122 HSD65122 IBZ65122 ILV65122 IVR65122 JFN65122 JPJ65122 JZF65122 KJB65122 KSX65122 LCT65122 LMP65122 LWL65122 MGH65122 MQD65122 MZZ65122 NJV65122 NTR65122 ODN65122 ONJ65122 OXF65122 PHB65122 PQX65122 QAT65122 QKP65122 QUL65122 REH65122 ROD65122 RXZ65122 SHV65122 SRR65122 TBN65122 TLJ65122 TVF65122 UFB65122 UOX65122 UYT65122 VIP65122 VSL65122 WCH65122 WMD65122 WVZ65122 RXZ982626 JN130658 TJ130658 ADF130658 ANB130658 AWX130658 BGT130658 BQP130658 CAL130658 CKH130658 CUD130658 DDZ130658 DNV130658 DXR130658 EHN130658 ERJ130658 FBF130658 FLB130658 FUX130658 GET130658 GOP130658 GYL130658 HIH130658 HSD130658 IBZ130658 ILV130658 IVR130658 JFN130658 JPJ130658 JZF130658 KJB130658 KSX130658 LCT130658 LMP130658 LWL130658 MGH130658 MQD130658 MZZ130658 NJV130658 NTR130658 ODN130658 ONJ130658 OXF130658 PHB130658 PQX130658 QAT130658 QKP130658 QUL130658 REH130658 ROD130658 RXZ130658 SHV130658 SRR130658 TBN130658 TLJ130658 TVF130658 UFB130658 UOX130658 UYT130658 VIP130658 VSL130658 WCH130658 WMD130658 WVZ130658 SHV982626 JN196194 TJ196194 ADF196194 ANB196194 AWX196194 BGT196194 BQP196194 CAL196194 CKH196194 CUD196194 DDZ196194 DNV196194 DXR196194 EHN196194 ERJ196194 FBF196194 FLB196194 FUX196194 GET196194 GOP196194 GYL196194 HIH196194 HSD196194 IBZ196194 ILV196194 IVR196194 JFN196194 JPJ196194 JZF196194 KJB196194 KSX196194 LCT196194 LMP196194 LWL196194 MGH196194 MQD196194 MZZ196194 NJV196194 NTR196194 ODN196194 ONJ196194 OXF196194 PHB196194 PQX196194 QAT196194 QKP196194 QUL196194 REH196194 ROD196194 RXZ196194 SHV196194 SRR196194 TBN196194 TLJ196194 TVF196194 UFB196194 UOX196194 UYT196194 VIP196194 VSL196194 WCH196194 WMD196194 WVZ196194 SRR982626 JN261730 TJ261730 ADF261730 ANB261730 AWX261730 BGT261730 BQP261730 CAL261730 CKH261730 CUD261730 DDZ261730 DNV261730 DXR261730 EHN261730 ERJ261730 FBF261730 FLB261730 FUX261730 GET261730 GOP261730 GYL261730 HIH261730 HSD261730 IBZ261730 ILV261730 IVR261730 JFN261730 JPJ261730 JZF261730 KJB261730 KSX261730 LCT261730 LMP261730 LWL261730 MGH261730 MQD261730 MZZ261730 NJV261730 NTR261730 ODN261730 ONJ261730 OXF261730 PHB261730 PQX261730 QAT261730 QKP261730 QUL261730 REH261730 ROD261730 RXZ261730 SHV261730 SRR261730 TBN261730 TLJ261730 TVF261730 UFB261730 UOX261730 UYT261730 VIP261730 VSL261730 WCH261730 WMD261730 WVZ261730 TBN982626 JN327266 TJ327266 ADF327266 ANB327266 AWX327266 BGT327266 BQP327266 CAL327266 CKH327266 CUD327266 DDZ327266 DNV327266 DXR327266 EHN327266 ERJ327266 FBF327266 FLB327266 FUX327266 GET327266 GOP327266 GYL327266 HIH327266 HSD327266 IBZ327266 ILV327266 IVR327266 JFN327266 JPJ327266 JZF327266 KJB327266 KSX327266 LCT327266 LMP327266 LWL327266 MGH327266 MQD327266 MZZ327266 NJV327266 NTR327266 ODN327266 ONJ327266 OXF327266 PHB327266 PQX327266 QAT327266 QKP327266 QUL327266 REH327266 ROD327266 RXZ327266 SHV327266 SRR327266 TBN327266 TLJ327266 TVF327266 UFB327266 UOX327266 UYT327266 VIP327266 VSL327266 WCH327266 WMD327266 WVZ327266 TLJ982626 JN392802 TJ392802 ADF392802 ANB392802 AWX392802 BGT392802 BQP392802 CAL392802 CKH392802 CUD392802 DDZ392802 DNV392802 DXR392802 EHN392802 ERJ392802 FBF392802 FLB392802 FUX392802 GET392802 GOP392802 GYL392802 HIH392802 HSD392802 IBZ392802 ILV392802 IVR392802 JFN392802 JPJ392802 JZF392802 KJB392802 KSX392802 LCT392802 LMP392802 LWL392802 MGH392802 MQD392802 MZZ392802 NJV392802 NTR392802 ODN392802 ONJ392802 OXF392802 PHB392802 PQX392802 QAT392802 QKP392802 QUL392802 REH392802 ROD392802 RXZ392802 SHV392802 SRR392802 TBN392802 TLJ392802 TVF392802 UFB392802 UOX392802 UYT392802 VIP392802 VSL392802 WCH392802 WMD392802 WVZ392802 TVF982626 JN458338 TJ458338 ADF458338 ANB458338 AWX458338 BGT458338 BQP458338 CAL458338 CKH458338 CUD458338 DDZ458338 DNV458338 DXR458338 EHN458338 ERJ458338 FBF458338 FLB458338 FUX458338 GET458338 GOP458338 GYL458338 HIH458338 HSD458338 IBZ458338 ILV458338 IVR458338 JFN458338 JPJ458338 JZF458338 KJB458338 KSX458338 LCT458338 LMP458338 LWL458338 MGH458338 MQD458338 MZZ458338 NJV458338 NTR458338 ODN458338 ONJ458338 OXF458338 PHB458338 PQX458338 QAT458338 QKP458338 QUL458338 REH458338 ROD458338 RXZ458338 SHV458338 SRR458338 TBN458338 TLJ458338 TVF458338 UFB458338 UOX458338 UYT458338 VIP458338 VSL458338 WCH458338 WMD458338 WVZ458338 UFB982626 JN523874 TJ523874 ADF523874 ANB523874 AWX523874 BGT523874 BQP523874 CAL523874 CKH523874 CUD523874 DDZ523874 DNV523874 DXR523874 EHN523874 ERJ523874 FBF523874 FLB523874 FUX523874 GET523874 GOP523874 GYL523874 HIH523874 HSD523874 IBZ523874 ILV523874 IVR523874 JFN523874 JPJ523874 JZF523874 KJB523874 KSX523874 LCT523874 LMP523874 LWL523874 MGH523874 MQD523874 MZZ523874 NJV523874 NTR523874 ODN523874 ONJ523874 OXF523874 PHB523874 PQX523874 QAT523874 QKP523874 QUL523874 REH523874 ROD523874 RXZ523874 SHV523874 SRR523874 TBN523874 TLJ523874 TVF523874 UFB523874 UOX523874 UYT523874 VIP523874 VSL523874 WCH523874 WMD523874 WVZ523874 UOX982626 JN589410 TJ589410 ADF589410 ANB589410 AWX589410 BGT589410 BQP589410 CAL589410 CKH589410 CUD589410 DDZ589410 DNV589410 DXR589410 EHN589410 ERJ589410 FBF589410 FLB589410 FUX589410 GET589410 GOP589410 GYL589410 HIH589410 HSD589410 IBZ589410 ILV589410 IVR589410 JFN589410 JPJ589410 JZF589410 KJB589410 KSX589410 LCT589410 LMP589410 LWL589410 MGH589410 MQD589410 MZZ589410 NJV589410 NTR589410 ODN589410 ONJ589410 OXF589410 PHB589410 PQX589410 QAT589410 QKP589410 QUL589410 REH589410 ROD589410 RXZ589410 SHV589410 SRR589410 TBN589410 TLJ589410 TVF589410 UFB589410 UOX589410 UYT589410 VIP589410 VSL589410 WCH589410 WMD589410 WVZ589410 UYT982626 JN654946 TJ654946 ADF654946 ANB654946 AWX654946 BGT654946 BQP654946 CAL654946 CKH654946 CUD654946 DDZ654946 DNV654946 DXR654946 EHN654946 ERJ654946 FBF654946 FLB654946 FUX654946 GET654946 GOP654946 GYL654946 HIH654946 HSD654946 IBZ654946 ILV654946 IVR654946 JFN654946 JPJ654946 JZF654946 KJB654946 KSX654946 LCT654946 LMP654946 LWL654946 MGH654946 MQD654946 MZZ654946 NJV654946 NTR654946 ODN654946 ONJ654946 OXF654946 PHB654946 PQX654946 QAT654946 QKP654946 QUL654946 REH654946 ROD654946 RXZ654946 SHV654946 SRR654946 TBN654946 TLJ654946 TVF654946 UFB654946 UOX654946 UYT654946 VIP654946 VSL654946 WCH654946 WMD654946 WVZ654946 VIP982626 JN720482 TJ720482 ADF720482 ANB720482 AWX720482 BGT720482 BQP720482 CAL720482 CKH720482 CUD720482 DDZ720482 DNV720482 DXR720482 EHN720482 ERJ720482 FBF720482 FLB720482 FUX720482 GET720482 GOP720482 GYL720482 HIH720482 HSD720482 IBZ720482 ILV720482 IVR720482 JFN720482 JPJ720482 JZF720482 KJB720482 KSX720482 LCT720482 LMP720482 LWL720482 MGH720482 MQD720482 MZZ720482 NJV720482 NTR720482 ODN720482 ONJ720482 OXF720482 PHB720482 PQX720482 QAT720482 QKP720482 QUL720482 REH720482 ROD720482 RXZ720482 SHV720482 SRR720482 TBN720482 TLJ720482 TVF720482 UFB720482 UOX720482 UYT720482 VIP720482 VSL720482 WCH720482 WMD720482 WVZ720482 VSL982626 JN786018 TJ786018 ADF786018 ANB786018 AWX786018 BGT786018 BQP786018 CAL786018 CKH786018 CUD786018 DDZ786018 DNV786018 DXR786018 EHN786018 ERJ786018 FBF786018 FLB786018 FUX786018 GET786018 GOP786018 GYL786018 HIH786018 HSD786018 IBZ786018 ILV786018 IVR786018 JFN786018 JPJ786018 JZF786018 KJB786018 KSX786018 LCT786018 LMP786018 LWL786018 MGH786018 MQD786018 MZZ786018 NJV786018 NTR786018 ODN786018 ONJ786018 OXF786018 PHB786018 PQX786018 QAT786018 QKP786018 QUL786018 REH786018 ROD786018 RXZ786018 SHV786018 SRR786018 TBN786018 TLJ786018 TVF786018 UFB786018 UOX786018 UYT786018 VIP786018 VSL786018 WCH786018 WMD786018 WVZ786018 WCH982626 JN851554 TJ851554 ADF851554 ANB851554 AWX851554 BGT851554 BQP851554 CAL851554 CKH851554 CUD851554 DDZ851554 DNV851554 DXR851554 EHN851554 ERJ851554 FBF851554 FLB851554 FUX851554 GET851554 GOP851554 GYL851554 HIH851554 HSD851554 IBZ851554 ILV851554 IVR851554 JFN851554 JPJ851554 JZF851554 KJB851554 KSX851554 LCT851554 LMP851554 LWL851554 MGH851554 MQD851554 MZZ851554 NJV851554 NTR851554 ODN851554 ONJ851554 OXF851554 PHB851554 PQX851554 QAT851554 QKP851554 QUL851554 REH851554 ROD851554 RXZ851554 SHV851554 SRR851554 TBN851554 TLJ851554 TVF851554 UFB851554 UOX851554 UYT851554 VIP851554 VSL851554 WCH851554 WMD851554 WVZ851554 WMD982626 JN917090 TJ917090 ADF917090 ANB917090 AWX917090 BGT917090 BQP917090 CAL917090 CKH917090 CUD917090 DDZ917090 DNV917090 DXR917090 EHN917090 ERJ917090 FBF917090 FLB917090 FUX917090 GET917090 GOP917090 GYL917090 HIH917090 HSD917090 IBZ917090 ILV917090 IVR917090 JFN917090 JPJ917090 JZF917090 KJB917090 KSX917090 LCT917090 LMP917090 LWL917090 MGH917090 MQD917090 MZZ917090 NJV917090 NTR917090 ODN917090 ONJ917090 OXF917090 PHB917090 PQX917090 QAT917090 QKP917090 QUL917090 REH917090 ROD917090 RXZ917090 SHV917090 SRR917090 TBN917090 TLJ917090 TVF917090 UFB917090 UOX917090 UYT917090 VIP917090 VSL917090 WCH917090 WMD917090 WVZ917090 WVZ982626 JN982626 TJ982626 ADF982626 ANB982626 AWX982626 BGT982626 BQP982626 CAL982626 CKH982626 CUD982626 DDZ982626 DNV982626 DXR982626 EHN982626 ERJ982626 FBF982626 FLB982626 FUX982626 GET982626 GOP982626 GYL982626 HIH982626 HSD982626 IBZ982626 ILV982626 IVR982626 JFN982626 JPJ982626 JZF982626 KJB982626 KSX982626 LCT982626 LMP982626 LWL982626 MGH982626 MQD982626 MZZ982626 NJV982626 NTR982626 ODN982626 ONJ982626 OXF982626 PHB982626 PQX982626 QAT982626 QKP982626 QUL982626"/>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JO65122 TK65122 ADG65122 ANC65122 AWY65122 BGU65122 BQQ65122 CAM65122 CKI65122 CUE65122 DEA65122 DNW65122 DXS65122 EHO65122 ERK65122 FBG65122 FLC65122 FUY65122 GEU65122 GOQ65122 GYM65122 HII65122 HSE65122 ICA65122 ILW65122 IVS65122 JFO65122 JPK65122 JZG65122 KJC65122 KSY65122 LCU65122 LMQ65122 LWM65122 MGI65122 MQE65122 NAA65122 NJW65122 NTS65122 ODO65122 ONK65122 OXG65122 PHC65122 PQY65122 QAU65122 QKQ65122 QUM65122 REI65122 ROE65122 RYA65122 SHW65122 SRS65122 TBO65122 TLK65122 TVG65122 UFC65122 UOY65122 UYU65122 VIQ65122 VSM65122 WCI65122 WME65122 WWA65122 JO130658 TK130658 ADG130658 ANC130658 AWY130658 BGU130658 BQQ130658 CAM130658 CKI130658 CUE130658 DEA130658 DNW130658 DXS130658 EHO130658 ERK130658 FBG130658 FLC130658 FUY130658 GEU130658 GOQ130658 GYM130658 HII130658 HSE130658 ICA130658 ILW130658 IVS130658 JFO130658 JPK130658 JZG130658 KJC130658 KSY130658 LCU130658 LMQ130658 LWM130658 MGI130658 MQE130658 NAA130658 NJW130658 NTS130658 ODO130658 ONK130658 OXG130658 PHC130658 PQY130658 QAU130658 QKQ130658 QUM130658 REI130658 ROE130658 RYA130658 SHW130658 SRS130658 TBO130658 TLK130658 TVG130658 UFC130658 UOY130658 UYU130658 VIQ130658 VSM130658 WCI130658 WME130658 WWA130658 JO196194 TK196194 ADG196194 ANC196194 AWY196194 BGU196194 BQQ196194 CAM196194 CKI196194 CUE196194 DEA196194 DNW196194 DXS196194 EHO196194 ERK196194 FBG196194 FLC196194 FUY196194 GEU196194 GOQ196194 GYM196194 HII196194 HSE196194 ICA196194 ILW196194 IVS196194 JFO196194 JPK196194 JZG196194 KJC196194 KSY196194 LCU196194 LMQ196194 LWM196194 MGI196194 MQE196194 NAA196194 NJW196194 NTS196194 ODO196194 ONK196194 OXG196194 PHC196194 PQY196194 QAU196194 QKQ196194 QUM196194 REI196194 ROE196194 RYA196194 SHW196194 SRS196194 TBO196194 TLK196194 TVG196194 UFC196194 UOY196194 UYU196194 VIQ196194 VSM196194 WCI196194 WME196194 WWA196194 JO261730 TK261730 ADG261730 ANC261730 AWY261730 BGU261730 BQQ261730 CAM261730 CKI261730 CUE261730 DEA261730 DNW261730 DXS261730 EHO261730 ERK261730 FBG261730 FLC261730 FUY261730 GEU261730 GOQ261730 GYM261730 HII261730 HSE261730 ICA261730 ILW261730 IVS261730 JFO261730 JPK261730 JZG261730 KJC261730 KSY261730 LCU261730 LMQ261730 LWM261730 MGI261730 MQE261730 NAA261730 NJW261730 NTS261730 ODO261730 ONK261730 OXG261730 PHC261730 PQY261730 QAU261730 QKQ261730 QUM261730 REI261730 ROE261730 RYA261730 SHW261730 SRS261730 TBO261730 TLK261730 TVG261730 UFC261730 UOY261730 UYU261730 VIQ261730 VSM261730 WCI261730 WME261730 WWA261730 JO327266 TK327266 ADG327266 ANC327266 AWY327266 BGU327266 BQQ327266 CAM327266 CKI327266 CUE327266 DEA327266 DNW327266 DXS327266 EHO327266 ERK327266 FBG327266 FLC327266 FUY327266 GEU327266 GOQ327266 GYM327266 HII327266 HSE327266 ICA327266 ILW327266 IVS327266 JFO327266 JPK327266 JZG327266 KJC327266 KSY327266 LCU327266 LMQ327266 LWM327266 MGI327266 MQE327266 NAA327266 NJW327266 NTS327266 ODO327266 ONK327266 OXG327266 PHC327266 PQY327266 QAU327266 QKQ327266 QUM327266 REI327266 ROE327266 RYA327266 SHW327266 SRS327266 TBO327266 TLK327266 TVG327266 UFC327266 UOY327266 UYU327266 VIQ327266 VSM327266 WCI327266 WME327266 WWA327266 JO392802 TK392802 ADG392802 ANC392802 AWY392802 BGU392802 BQQ392802 CAM392802 CKI392802 CUE392802 DEA392802 DNW392802 DXS392802 EHO392802 ERK392802 FBG392802 FLC392802 FUY392802 GEU392802 GOQ392802 GYM392802 HII392802 HSE392802 ICA392802 ILW392802 IVS392802 JFO392802 JPK392802 JZG392802 KJC392802 KSY392802 LCU392802 LMQ392802 LWM392802 MGI392802 MQE392802 NAA392802 NJW392802 NTS392802 ODO392802 ONK392802 OXG392802 PHC392802 PQY392802 QAU392802 QKQ392802 QUM392802 REI392802 ROE392802 RYA392802 SHW392802 SRS392802 TBO392802 TLK392802 TVG392802 UFC392802 UOY392802 UYU392802 VIQ392802 VSM392802 WCI392802 WME392802 WWA392802 JO458338 TK458338 ADG458338 ANC458338 AWY458338 BGU458338 BQQ458338 CAM458338 CKI458338 CUE458338 DEA458338 DNW458338 DXS458338 EHO458338 ERK458338 FBG458338 FLC458338 FUY458338 GEU458338 GOQ458338 GYM458338 HII458338 HSE458338 ICA458338 ILW458338 IVS458338 JFO458338 JPK458338 JZG458338 KJC458338 KSY458338 LCU458338 LMQ458338 LWM458338 MGI458338 MQE458338 NAA458338 NJW458338 NTS458338 ODO458338 ONK458338 OXG458338 PHC458338 PQY458338 QAU458338 QKQ458338 QUM458338 REI458338 ROE458338 RYA458338 SHW458338 SRS458338 TBO458338 TLK458338 TVG458338 UFC458338 UOY458338 UYU458338 VIQ458338 VSM458338 WCI458338 WME458338 WWA458338 JO523874 TK523874 ADG523874 ANC523874 AWY523874 BGU523874 BQQ523874 CAM523874 CKI523874 CUE523874 DEA523874 DNW523874 DXS523874 EHO523874 ERK523874 FBG523874 FLC523874 FUY523874 GEU523874 GOQ523874 GYM523874 HII523874 HSE523874 ICA523874 ILW523874 IVS523874 JFO523874 JPK523874 JZG523874 KJC523874 KSY523874 LCU523874 LMQ523874 LWM523874 MGI523874 MQE523874 NAA523874 NJW523874 NTS523874 ODO523874 ONK523874 OXG523874 PHC523874 PQY523874 QAU523874 QKQ523874 QUM523874 REI523874 ROE523874 RYA523874 SHW523874 SRS523874 TBO523874 TLK523874 TVG523874 UFC523874 UOY523874 UYU523874 VIQ523874 VSM523874 WCI523874 WME523874 WWA523874 JO589410 TK589410 ADG589410 ANC589410 AWY589410 BGU589410 BQQ589410 CAM589410 CKI589410 CUE589410 DEA589410 DNW589410 DXS589410 EHO589410 ERK589410 FBG589410 FLC589410 FUY589410 GEU589410 GOQ589410 GYM589410 HII589410 HSE589410 ICA589410 ILW589410 IVS589410 JFO589410 JPK589410 JZG589410 KJC589410 KSY589410 LCU589410 LMQ589410 LWM589410 MGI589410 MQE589410 NAA589410 NJW589410 NTS589410 ODO589410 ONK589410 OXG589410 PHC589410 PQY589410 QAU589410 QKQ589410 QUM589410 REI589410 ROE589410 RYA589410 SHW589410 SRS589410 TBO589410 TLK589410 TVG589410 UFC589410 UOY589410 UYU589410 VIQ589410 VSM589410 WCI589410 WME589410 WWA589410 JO654946 TK654946 ADG654946 ANC654946 AWY654946 BGU654946 BQQ654946 CAM654946 CKI654946 CUE654946 DEA654946 DNW654946 DXS654946 EHO654946 ERK654946 FBG654946 FLC654946 FUY654946 GEU654946 GOQ654946 GYM654946 HII654946 HSE654946 ICA654946 ILW654946 IVS654946 JFO654946 JPK654946 JZG654946 KJC654946 KSY654946 LCU654946 LMQ654946 LWM654946 MGI654946 MQE654946 NAA654946 NJW654946 NTS654946 ODO654946 ONK654946 OXG654946 PHC654946 PQY654946 QAU654946 QKQ654946 QUM654946 REI654946 ROE654946 RYA654946 SHW654946 SRS654946 TBO654946 TLK654946 TVG654946 UFC654946 UOY654946 UYU654946 VIQ654946 VSM654946 WCI654946 WME654946 WWA654946 JO720482 TK720482 ADG720482 ANC720482 AWY720482 BGU720482 BQQ720482 CAM720482 CKI720482 CUE720482 DEA720482 DNW720482 DXS720482 EHO720482 ERK720482 FBG720482 FLC720482 FUY720482 GEU720482 GOQ720482 GYM720482 HII720482 HSE720482 ICA720482 ILW720482 IVS720482 JFO720482 JPK720482 JZG720482 KJC720482 KSY720482 LCU720482 LMQ720482 LWM720482 MGI720482 MQE720482 NAA720482 NJW720482 NTS720482 ODO720482 ONK720482 OXG720482 PHC720482 PQY720482 QAU720482 QKQ720482 QUM720482 REI720482 ROE720482 RYA720482 SHW720482 SRS720482 TBO720482 TLK720482 TVG720482 UFC720482 UOY720482 UYU720482 VIQ720482 VSM720482 WCI720482 WME720482 WWA720482 JO786018 TK786018 ADG786018 ANC786018 AWY786018 BGU786018 BQQ786018 CAM786018 CKI786018 CUE786018 DEA786018 DNW786018 DXS786018 EHO786018 ERK786018 FBG786018 FLC786018 FUY786018 GEU786018 GOQ786018 GYM786018 HII786018 HSE786018 ICA786018 ILW786018 IVS786018 JFO786018 JPK786018 JZG786018 KJC786018 KSY786018 LCU786018 LMQ786018 LWM786018 MGI786018 MQE786018 NAA786018 NJW786018 NTS786018 ODO786018 ONK786018 OXG786018 PHC786018 PQY786018 QAU786018 QKQ786018 QUM786018 REI786018 ROE786018 RYA786018 SHW786018 SRS786018 TBO786018 TLK786018 TVG786018 UFC786018 UOY786018 UYU786018 VIQ786018 VSM786018 WCI786018 WME786018 WWA786018 JO851554 TK851554 ADG851554 ANC851554 AWY851554 BGU851554 BQQ851554 CAM851554 CKI851554 CUE851554 DEA851554 DNW851554 DXS851554 EHO851554 ERK851554 FBG851554 FLC851554 FUY851554 GEU851554 GOQ851554 GYM851554 HII851554 HSE851554 ICA851554 ILW851554 IVS851554 JFO851554 JPK851554 JZG851554 KJC851554 KSY851554 LCU851554 LMQ851554 LWM851554 MGI851554 MQE851554 NAA851554 NJW851554 NTS851554 ODO851554 ONK851554 OXG851554 PHC851554 PQY851554 QAU851554 QKQ851554 QUM851554 REI851554 ROE851554 RYA851554 SHW851554 SRS851554 TBO851554 TLK851554 TVG851554 UFC851554 UOY851554 UYU851554 VIQ851554 VSM851554 WCI851554 WME851554 WWA851554 JO917090 TK917090 ADG917090 ANC917090 AWY917090 BGU917090 BQQ917090 CAM917090 CKI917090 CUE917090 DEA917090 DNW917090 DXS917090 EHO917090 ERK917090 FBG917090 FLC917090 FUY917090 GEU917090 GOQ917090 GYM917090 HII917090 HSE917090 ICA917090 ILW917090 IVS917090 JFO917090 JPK917090 JZG917090 KJC917090 KSY917090 LCU917090 LMQ917090 LWM917090 MGI917090 MQE917090 NAA917090 NJW917090 NTS917090 ODO917090 ONK917090 OXG917090 PHC917090 PQY917090 QAU917090 QKQ917090 QUM917090 REI917090 ROE917090 RYA917090 SHW917090 SRS917090 TBO917090 TLK917090 TVG917090 UFC917090 UOY917090 UYU917090 VIQ917090 VSM917090 WCI917090 WME917090 WWA917090 WWA982626 JO982626 TK982626 ADG982626 ANC982626 AWY982626 BGU982626 BQQ982626 CAM982626 CKI982626 CUE982626 DEA982626 DNW982626 DXS982626 EHO982626 ERK982626 FBG982626 FLC982626 FUY982626 GEU982626 GOQ982626 GYM982626 HII982626 HSE982626 ICA982626 ILW982626 IVS982626 JFO982626 JPK982626 JZG982626 KJC982626 KSY982626 LCU982626 LMQ982626 LWM982626 MGI982626 MQE982626 NAA982626 NJW982626 NTS982626 ODO982626 ONK982626 OXG982626 PHC982626 PQY982626 QAU982626 QKQ982626 QUM982626 REI982626 ROE982626 RYA982626 SHW982626 SRS982626 TBO982626 TLK982626 TVG982626 UFC982626 UOY982626 UYU982626 VIQ982626 VSM982626 WCI982626 WME982626 T4 T982626 T917090 T851554 T786018 T720482 T654946 T589410 T523874 T458338 T392802 T327266 T261730 T196194 T130658 T65122"/>
    <dataValidation allowBlank="1" showInputMessage="1" showErrorMessage="1" prompt="Es el momento que refleja la cancelación total o parcial de las obligaciones de pago, que se concreta mediante el desembolso de efectivo o cualquier otro medio de pago." sqref="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JP65122 TL65122 ADH65122 AND65122 AWZ65122 BGV65122 BQR65122 CAN65122 CKJ65122 CUF65122 DEB65122 DNX65122 DXT65122 EHP65122 ERL65122 FBH65122 FLD65122 FUZ65122 GEV65122 GOR65122 GYN65122 HIJ65122 HSF65122 ICB65122 ILX65122 IVT65122 JFP65122 JPL65122 JZH65122 KJD65122 KSZ65122 LCV65122 LMR65122 LWN65122 MGJ65122 MQF65122 NAB65122 NJX65122 NTT65122 ODP65122 ONL65122 OXH65122 PHD65122 PQZ65122 QAV65122 QKR65122 QUN65122 REJ65122 ROF65122 RYB65122 SHX65122 SRT65122 TBP65122 TLL65122 TVH65122 UFD65122 UOZ65122 UYV65122 VIR65122 VSN65122 WCJ65122 WMF65122 WWB65122 JP130658 TL130658 ADH130658 AND130658 AWZ130658 BGV130658 BQR130658 CAN130658 CKJ130658 CUF130658 DEB130658 DNX130658 DXT130658 EHP130658 ERL130658 FBH130658 FLD130658 FUZ130658 GEV130658 GOR130658 GYN130658 HIJ130658 HSF130658 ICB130658 ILX130658 IVT130658 JFP130658 JPL130658 JZH130658 KJD130658 KSZ130658 LCV130658 LMR130658 LWN130658 MGJ130658 MQF130658 NAB130658 NJX130658 NTT130658 ODP130658 ONL130658 OXH130658 PHD130658 PQZ130658 QAV130658 QKR130658 QUN130658 REJ130658 ROF130658 RYB130658 SHX130658 SRT130658 TBP130658 TLL130658 TVH130658 UFD130658 UOZ130658 UYV130658 VIR130658 VSN130658 WCJ130658 WMF130658 WWB130658 JP196194 TL196194 ADH196194 AND196194 AWZ196194 BGV196194 BQR196194 CAN196194 CKJ196194 CUF196194 DEB196194 DNX196194 DXT196194 EHP196194 ERL196194 FBH196194 FLD196194 FUZ196194 GEV196194 GOR196194 GYN196194 HIJ196194 HSF196194 ICB196194 ILX196194 IVT196194 JFP196194 JPL196194 JZH196194 KJD196194 KSZ196194 LCV196194 LMR196194 LWN196194 MGJ196194 MQF196194 NAB196194 NJX196194 NTT196194 ODP196194 ONL196194 OXH196194 PHD196194 PQZ196194 QAV196194 QKR196194 QUN196194 REJ196194 ROF196194 RYB196194 SHX196194 SRT196194 TBP196194 TLL196194 TVH196194 UFD196194 UOZ196194 UYV196194 VIR196194 VSN196194 WCJ196194 WMF196194 WWB196194 JP261730 TL261730 ADH261730 AND261730 AWZ261730 BGV261730 BQR261730 CAN261730 CKJ261730 CUF261730 DEB261730 DNX261730 DXT261730 EHP261730 ERL261730 FBH261730 FLD261730 FUZ261730 GEV261730 GOR261730 GYN261730 HIJ261730 HSF261730 ICB261730 ILX261730 IVT261730 JFP261730 JPL261730 JZH261730 KJD261730 KSZ261730 LCV261730 LMR261730 LWN261730 MGJ261730 MQF261730 NAB261730 NJX261730 NTT261730 ODP261730 ONL261730 OXH261730 PHD261730 PQZ261730 QAV261730 QKR261730 QUN261730 REJ261730 ROF261730 RYB261730 SHX261730 SRT261730 TBP261730 TLL261730 TVH261730 UFD261730 UOZ261730 UYV261730 VIR261730 VSN261730 WCJ261730 WMF261730 WWB261730 JP327266 TL327266 ADH327266 AND327266 AWZ327266 BGV327266 BQR327266 CAN327266 CKJ327266 CUF327266 DEB327266 DNX327266 DXT327266 EHP327266 ERL327266 FBH327266 FLD327266 FUZ327266 GEV327266 GOR327266 GYN327266 HIJ327266 HSF327266 ICB327266 ILX327266 IVT327266 JFP327266 JPL327266 JZH327266 KJD327266 KSZ327266 LCV327266 LMR327266 LWN327266 MGJ327266 MQF327266 NAB327266 NJX327266 NTT327266 ODP327266 ONL327266 OXH327266 PHD327266 PQZ327266 QAV327266 QKR327266 QUN327266 REJ327266 ROF327266 RYB327266 SHX327266 SRT327266 TBP327266 TLL327266 TVH327266 UFD327266 UOZ327266 UYV327266 VIR327266 VSN327266 WCJ327266 WMF327266 WWB327266 JP392802 TL392802 ADH392802 AND392802 AWZ392802 BGV392802 BQR392802 CAN392802 CKJ392802 CUF392802 DEB392802 DNX392802 DXT392802 EHP392802 ERL392802 FBH392802 FLD392802 FUZ392802 GEV392802 GOR392802 GYN392802 HIJ392802 HSF392802 ICB392802 ILX392802 IVT392802 JFP392802 JPL392802 JZH392802 KJD392802 KSZ392802 LCV392802 LMR392802 LWN392802 MGJ392802 MQF392802 NAB392802 NJX392802 NTT392802 ODP392802 ONL392802 OXH392802 PHD392802 PQZ392802 QAV392802 QKR392802 QUN392802 REJ392802 ROF392802 RYB392802 SHX392802 SRT392802 TBP392802 TLL392802 TVH392802 UFD392802 UOZ392802 UYV392802 VIR392802 VSN392802 WCJ392802 WMF392802 WWB392802 JP458338 TL458338 ADH458338 AND458338 AWZ458338 BGV458338 BQR458338 CAN458338 CKJ458338 CUF458338 DEB458338 DNX458338 DXT458338 EHP458338 ERL458338 FBH458338 FLD458338 FUZ458338 GEV458338 GOR458338 GYN458338 HIJ458338 HSF458338 ICB458338 ILX458338 IVT458338 JFP458338 JPL458338 JZH458338 KJD458338 KSZ458338 LCV458338 LMR458338 LWN458338 MGJ458338 MQF458338 NAB458338 NJX458338 NTT458338 ODP458338 ONL458338 OXH458338 PHD458338 PQZ458338 QAV458338 QKR458338 QUN458338 REJ458338 ROF458338 RYB458338 SHX458338 SRT458338 TBP458338 TLL458338 TVH458338 UFD458338 UOZ458338 UYV458338 VIR458338 VSN458338 WCJ458338 WMF458338 WWB458338 JP523874 TL523874 ADH523874 AND523874 AWZ523874 BGV523874 BQR523874 CAN523874 CKJ523874 CUF523874 DEB523874 DNX523874 DXT523874 EHP523874 ERL523874 FBH523874 FLD523874 FUZ523874 GEV523874 GOR523874 GYN523874 HIJ523874 HSF523874 ICB523874 ILX523874 IVT523874 JFP523874 JPL523874 JZH523874 KJD523874 KSZ523874 LCV523874 LMR523874 LWN523874 MGJ523874 MQF523874 NAB523874 NJX523874 NTT523874 ODP523874 ONL523874 OXH523874 PHD523874 PQZ523874 QAV523874 QKR523874 QUN523874 REJ523874 ROF523874 RYB523874 SHX523874 SRT523874 TBP523874 TLL523874 TVH523874 UFD523874 UOZ523874 UYV523874 VIR523874 VSN523874 WCJ523874 WMF523874 WWB523874 JP589410 TL589410 ADH589410 AND589410 AWZ589410 BGV589410 BQR589410 CAN589410 CKJ589410 CUF589410 DEB589410 DNX589410 DXT589410 EHP589410 ERL589410 FBH589410 FLD589410 FUZ589410 GEV589410 GOR589410 GYN589410 HIJ589410 HSF589410 ICB589410 ILX589410 IVT589410 JFP589410 JPL589410 JZH589410 KJD589410 KSZ589410 LCV589410 LMR589410 LWN589410 MGJ589410 MQF589410 NAB589410 NJX589410 NTT589410 ODP589410 ONL589410 OXH589410 PHD589410 PQZ589410 QAV589410 QKR589410 QUN589410 REJ589410 ROF589410 RYB589410 SHX589410 SRT589410 TBP589410 TLL589410 TVH589410 UFD589410 UOZ589410 UYV589410 VIR589410 VSN589410 WCJ589410 WMF589410 WWB589410 JP654946 TL654946 ADH654946 AND654946 AWZ654946 BGV654946 BQR654946 CAN654946 CKJ654946 CUF654946 DEB654946 DNX654946 DXT654946 EHP654946 ERL654946 FBH654946 FLD654946 FUZ654946 GEV654946 GOR654946 GYN654946 HIJ654946 HSF654946 ICB654946 ILX654946 IVT654946 JFP654946 JPL654946 JZH654946 KJD654946 KSZ654946 LCV654946 LMR654946 LWN654946 MGJ654946 MQF654946 NAB654946 NJX654946 NTT654946 ODP654946 ONL654946 OXH654946 PHD654946 PQZ654946 QAV654946 QKR654946 QUN654946 REJ654946 ROF654946 RYB654946 SHX654946 SRT654946 TBP654946 TLL654946 TVH654946 UFD654946 UOZ654946 UYV654946 VIR654946 VSN654946 WCJ654946 WMF654946 WWB654946 JP720482 TL720482 ADH720482 AND720482 AWZ720482 BGV720482 BQR720482 CAN720482 CKJ720482 CUF720482 DEB720482 DNX720482 DXT720482 EHP720482 ERL720482 FBH720482 FLD720482 FUZ720482 GEV720482 GOR720482 GYN720482 HIJ720482 HSF720482 ICB720482 ILX720482 IVT720482 JFP720482 JPL720482 JZH720482 KJD720482 KSZ720482 LCV720482 LMR720482 LWN720482 MGJ720482 MQF720482 NAB720482 NJX720482 NTT720482 ODP720482 ONL720482 OXH720482 PHD720482 PQZ720482 QAV720482 QKR720482 QUN720482 REJ720482 ROF720482 RYB720482 SHX720482 SRT720482 TBP720482 TLL720482 TVH720482 UFD720482 UOZ720482 UYV720482 VIR720482 VSN720482 WCJ720482 WMF720482 WWB720482 JP786018 TL786018 ADH786018 AND786018 AWZ786018 BGV786018 BQR786018 CAN786018 CKJ786018 CUF786018 DEB786018 DNX786018 DXT786018 EHP786018 ERL786018 FBH786018 FLD786018 FUZ786018 GEV786018 GOR786018 GYN786018 HIJ786018 HSF786018 ICB786018 ILX786018 IVT786018 JFP786018 JPL786018 JZH786018 KJD786018 KSZ786018 LCV786018 LMR786018 LWN786018 MGJ786018 MQF786018 NAB786018 NJX786018 NTT786018 ODP786018 ONL786018 OXH786018 PHD786018 PQZ786018 QAV786018 QKR786018 QUN786018 REJ786018 ROF786018 RYB786018 SHX786018 SRT786018 TBP786018 TLL786018 TVH786018 UFD786018 UOZ786018 UYV786018 VIR786018 VSN786018 WCJ786018 WMF786018 WWB786018 JP851554 TL851554 ADH851554 AND851554 AWZ851554 BGV851554 BQR851554 CAN851554 CKJ851554 CUF851554 DEB851554 DNX851554 DXT851554 EHP851554 ERL851554 FBH851554 FLD851554 FUZ851554 GEV851554 GOR851554 GYN851554 HIJ851554 HSF851554 ICB851554 ILX851554 IVT851554 JFP851554 JPL851554 JZH851554 KJD851554 KSZ851554 LCV851554 LMR851554 LWN851554 MGJ851554 MQF851554 NAB851554 NJX851554 NTT851554 ODP851554 ONL851554 OXH851554 PHD851554 PQZ851554 QAV851554 QKR851554 QUN851554 REJ851554 ROF851554 RYB851554 SHX851554 SRT851554 TBP851554 TLL851554 TVH851554 UFD851554 UOZ851554 UYV851554 VIR851554 VSN851554 WCJ851554 WMF851554 WWB851554 JP917090 TL917090 ADH917090 AND917090 AWZ917090 BGV917090 BQR917090 CAN917090 CKJ917090 CUF917090 DEB917090 DNX917090 DXT917090 EHP917090 ERL917090 FBH917090 FLD917090 FUZ917090 GEV917090 GOR917090 GYN917090 HIJ917090 HSF917090 ICB917090 ILX917090 IVT917090 JFP917090 JPL917090 JZH917090 KJD917090 KSZ917090 LCV917090 LMR917090 LWN917090 MGJ917090 MQF917090 NAB917090 NJX917090 NTT917090 ODP917090 ONL917090 OXH917090 PHD917090 PQZ917090 QAV917090 QKR917090 QUN917090 REJ917090 ROF917090 RYB917090 SHX917090 SRT917090 TBP917090 TLL917090 TVH917090 UFD917090 UOZ917090 UYV917090 VIR917090 VSN917090 WCJ917090 WMF917090 WWB917090 JP982626 TL982626 ADH982626 AND982626 AWZ982626 BGV982626 BQR982626 CAN982626 CKJ982626 CUF982626 DEB982626 DNX982626 DXT982626 EHP982626 ERL982626 FBH982626 FLD982626 FUZ982626 GEV982626 GOR982626 GYN982626 HIJ982626 HSF982626 ICB982626 ILX982626 IVT982626 JFP982626 JPL982626 JZH982626 KJD982626 KSZ982626 LCV982626 LMR982626 LWN982626 MGJ982626 MQF982626 NAB982626 NJX982626 NTT982626 ODP982626 ONL982626 OXH982626 PHD982626 PQZ982626 QAV982626 QKR982626 QUN982626 REJ982626 ROF982626 RYB982626 SHX982626 SRT982626 TBP982626 TLL982626 TVH982626 UFD982626 UOZ982626 UYV982626 VIR982626 VSN982626 WCJ982626 WMF982626 WWB982626 U982626 U917090 U851554 U786018 U720482 U654946 U589410 U523874 U458338 U392802 U327266 U261730 U196194 U130658 U65122 U4"/>
    <dataValidation allowBlank="1" showInputMessage="1" showErrorMessage="1" prompt="Modificado menos Devengado" sqref="V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V65122 JQ65122 TM65122 ADI65122 ANE65122 AXA65122 BGW65122 BQS65122 CAO65122 CKK65122 CUG65122 DEC65122 DNY65122 DXU65122 EHQ65122 ERM65122 FBI65122 FLE65122 FVA65122 GEW65122 GOS65122 GYO65122 HIK65122 HSG65122 ICC65122 ILY65122 IVU65122 JFQ65122 JPM65122 JZI65122 KJE65122 KTA65122 LCW65122 LMS65122 LWO65122 MGK65122 MQG65122 NAC65122 NJY65122 NTU65122 ODQ65122 ONM65122 OXI65122 PHE65122 PRA65122 QAW65122 QKS65122 QUO65122 REK65122 ROG65122 RYC65122 SHY65122 SRU65122 TBQ65122 TLM65122 TVI65122 UFE65122 UPA65122 UYW65122 VIS65122 VSO65122 WCK65122 WMG65122 WWC65122 V130658 JQ130658 TM130658 ADI130658 ANE130658 AXA130658 BGW130658 BQS130658 CAO130658 CKK130658 CUG130658 DEC130658 DNY130658 DXU130658 EHQ130658 ERM130658 FBI130658 FLE130658 FVA130658 GEW130658 GOS130658 GYO130658 HIK130658 HSG130658 ICC130658 ILY130658 IVU130658 JFQ130658 JPM130658 JZI130658 KJE130658 KTA130658 LCW130658 LMS130658 LWO130658 MGK130658 MQG130658 NAC130658 NJY130658 NTU130658 ODQ130658 ONM130658 OXI130658 PHE130658 PRA130658 QAW130658 QKS130658 QUO130658 REK130658 ROG130658 RYC130658 SHY130658 SRU130658 TBQ130658 TLM130658 TVI130658 UFE130658 UPA130658 UYW130658 VIS130658 VSO130658 WCK130658 WMG130658 WWC130658 V196194 JQ196194 TM196194 ADI196194 ANE196194 AXA196194 BGW196194 BQS196194 CAO196194 CKK196194 CUG196194 DEC196194 DNY196194 DXU196194 EHQ196194 ERM196194 FBI196194 FLE196194 FVA196194 GEW196194 GOS196194 GYO196194 HIK196194 HSG196194 ICC196194 ILY196194 IVU196194 JFQ196194 JPM196194 JZI196194 KJE196194 KTA196194 LCW196194 LMS196194 LWO196194 MGK196194 MQG196194 NAC196194 NJY196194 NTU196194 ODQ196194 ONM196194 OXI196194 PHE196194 PRA196194 QAW196194 QKS196194 QUO196194 REK196194 ROG196194 RYC196194 SHY196194 SRU196194 TBQ196194 TLM196194 TVI196194 UFE196194 UPA196194 UYW196194 VIS196194 VSO196194 WCK196194 WMG196194 WWC196194 V261730 JQ261730 TM261730 ADI261730 ANE261730 AXA261730 BGW261730 BQS261730 CAO261730 CKK261730 CUG261730 DEC261730 DNY261730 DXU261730 EHQ261730 ERM261730 FBI261730 FLE261730 FVA261730 GEW261730 GOS261730 GYO261730 HIK261730 HSG261730 ICC261730 ILY261730 IVU261730 JFQ261730 JPM261730 JZI261730 KJE261730 KTA261730 LCW261730 LMS261730 LWO261730 MGK261730 MQG261730 NAC261730 NJY261730 NTU261730 ODQ261730 ONM261730 OXI261730 PHE261730 PRA261730 QAW261730 QKS261730 QUO261730 REK261730 ROG261730 RYC261730 SHY261730 SRU261730 TBQ261730 TLM261730 TVI261730 UFE261730 UPA261730 UYW261730 VIS261730 VSO261730 WCK261730 WMG261730 WWC261730 V327266 JQ327266 TM327266 ADI327266 ANE327266 AXA327266 BGW327266 BQS327266 CAO327266 CKK327266 CUG327266 DEC327266 DNY327266 DXU327266 EHQ327266 ERM327266 FBI327266 FLE327266 FVA327266 GEW327266 GOS327266 GYO327266 HIK327266 HSG327266 ICC327266 ILY327266 IVU327266 JFQ327266 JPM327266 JZI327266 KJE327266 KTA327266 LCW327266 LMS327266 LWO327266 MGK327266 MQG327266 NAC327266 NJY327266 NTU327266 ODQ327266 ONM327266 OXI327266 PHE327266 PRA327266 QAW327266 QKS327266 QUO327266 REK327266 ROG327266 RYC327266 SHY327266 SRU327266 TBQ327266 TLM327266 TVI327266 UFE327266 UPA327266 UYW327266 VIS327266 VSO327266 WCK327266 WMG327266 WWC327266 V392802 JQ392802 TM392802 ADI392802 ANE392802 AXA392802 BGW392802 BQS392802 CAO392802 CKK392802 CUG392802 DEC392802 DNY392802 DXU392802 EHQ392802 ERM392802 FBI392802 FLE392802 FVA392802 GEW392802 GOS392802 GYO392802 HIK392802 HSG392802 ICC392802 ILY392802 IVU392802 JFQ392802 JPM392802 JZI392802 KJE392802 KTA392802 LCW392802 LMS392802 LWO392802 MGK392802 MQG392802 NAC392802 NJY392802 NTU392802 ODQ392802 ONM392802 OXI392802 PHE392802 PRA392802 QAW392802 QKS392802 QUO392802 REK392802 ROG392802 RYC392802 SHY392802 SRU392802 TBQ392802 TLM392802 TVI392802 UFE392802 UPA392802 UYW392802 VIS392802 VSO392802 WCK392802 WMG392802 WWC392802 V458338 JQ458338 TM458338 ADI458338 ANE458338 AXA458338 BGW458338 BQS458338 CAO458338 CKK458338 CUG458338 DEC458338 DNY458338 DXU458338 EHQ458338 ERM458338 FBI458338 FLE458338 FVA458338 GEW458338 GOS458338 GYO458338 HIK458338 HSG458338 ICC458338 ILY458338 IVU458338 JFQ458338 JPM458338 JZI458338 KJE458338 KTA458338 LCW458338 LMS458338 LWO458338 MGK458338 MQG458338 NAC458338 NJY458338 NTU458338 ODQ458338 ONM458338 OXI458338 PHE458338 PRA458338 QAW458338 QKS458338 QUO458338 REK458338 ROG458338 RYC458338 SHY458338 SRU458338 TBQ458338 TLM458338 TVI458338 UFE458338 UPA458338 UYW458338 VIS458338 VSO458338 WCK458338 WMG458338 WWC458338 V523874 JQ523874 TM523874 ADI523874 ANE523874 AXA523874 BGW523874 BQS523874 CAO523874 CKK523874 CUG523874 DEC523874 DNY523874 DXU523874 EHQ523874 ERM523874 FBI523874 FLE523874 FVA523874 GEW523874 GOS523874 GYO523874 HIK523874 HSG523874 ICC523874 ILY523874 IVU523874 JFQ523874 JPM523874 JZI523874 KJE523874 KTA523874 LCW523874 LMS523874 LWO523874 MGK523874 MQG523874 NAC523874 NJY523874 NTU523874 ODQ523874 ONM523874 OXI523874 PHE523874 PRA523874 QAW523874 QKS523874 QUO523874 REK523874 ROG523874 RYC523874 SHY523874 SRU523874 TBQ523874 TLM523874 TVI523874 UFE523874 UPA523874 UYW523874 VIS523874 VSO523874 WCK523874 WMG523874 WWC523874 V589410 JQ589410 TM589410 ADI589410 ANE589410 AXA589410 BGW589410 BQS589410 CAO589410 CKK589410 CUG589410 DEC589410 DNY589410 DXU589410 EHQ589410 ERM589410 FBI589410 FLE589410 FVA589410 GEW589410 GOS589410 GYO589410 HIK589410 HSG589410 ICC589410 ILY589410 IVU589410 JFQ589410 JPM589410 JZI589410 KJE589410 KTA589410 LCW589410 LMS589410 LWO589410 MGK589410 MQG589410 NAC589410 NJY589410 NTU589410 ODQ589410 ONM589410 OXI589410 PHE589410 PRA589410 QAW589410 QKS589410 QUO589410 REK589410 ROG589410 RYC589410 SHY589410 SRU589410 TBQ589410 TLM589410 TVI589410 UFE589410 UPA589410 UYW589410 VIS589410 VSO589410 WCK589410 WMG589410 WWC589410 V654946 JQ654946 TM654946 ADI654946 ANE654946 AXA654946 BGW654946 BQS654946 CAO654946 CKK654946 CUG654946 DEC654946 DNY654946 DXU654946 EHQ654946 ERM654946 FBI654946 FLE654946 FVA654946 GEW654946 GOS654946 GYO654946 HIK654946 HSG654946 ICC654946 ILY654946 IVU654946 JFQ654946 JPM654946 JZI654946 KJE654946 KTA654946 LCW654946 LMS654946 LWO654946 MGK654946 MQG654946 NAC654946 NJY654946 NTU654946 ODQ654946 ONM654946 OXI654946 PHE654946 PRA654946 QAW654946 QKS654946 QUO654946 REK654946 ROG654946 RYC654946 SHY654946 SRU654946 TBQ654946 TLM654946 TVI654946 UFE654946 UPA654946 UYW654946 VIS654946 VSO654946 WCK654946 WMG654946 WWC654946 V720482 JQ720482 TM720482 ADI720482 ANE720482 AXA720482 BGW720482 BQS720482 CAO720482 CKK720482 CUG720482 DEC720482 DNY720482 DXU720482 EHQ720482 ERM720482 FBI720482 FLE720482 FVA720482 GEW720482 GOS720482 GYO720482 HIK720482 HSG720482 ICC720482 ILY720482 IVU720482 JFQ720482 JPM720482 JZI720482 KJE720482 KTA720482 LCW720482 LMS720482 LWO720482 MGK720482 MQG720482 NAC720482 NJY720482 NTU720482 ODQ720482 ONM720482 OXI720482 PHE720482 PRA720482 QAW720482 QKS720482 QUO720482 REK720482 ROG720482 RYC720482 SHY720482 SRU720482 TBQ720482 TLM720482 TVI720482 UFE720482 UPA720482 UYW720482 VIS720482 VSO720482 WCK720482 WMG720482 WWC720482 V786018 JQ786018 TM786018 ADI786018 ANE786018 AXA786018 BGW786018 BQS786018 CAO786018 CKK786018 CUG786018 DEC786018 DNY786018 DXU786018 EHQ786018 ERM786018 FBI786018 FLE786018 FVA786018 GEW786018 GOS786018 GYO786018 HIK786018 HSG786018 ICC786018 ILY786018 IVU786018 JFQ786018 JPM786018 JZI786018 KJE786018 KTA786018 LCW786018 LMS786018 LWO786018 MGK786018 MQG786018 NAC786018 NJY786018 NTU786018 ODQ786018 ONM786018 OXI786018 PHE786018 PRA786018 QAW786018 QKS786018 QUO786018 REK786018 ROG786018 RYC786018 SHY786018 SRU786018 TBQ786018 TLM786018 TVI786018 UFE786018 UPA786018 UYW786018 VIS786018 VSO786018 WCK786018 WMG786018 WWC786018 V851554 JQ851554 TM851554 ADI851554 ANE851554 AXA851554 BGW851554 BQS851554 CAO851554 CKK851554 CUG851554 DEC851554 DNY851554 DXU851554 EHQ851554 ERM851554 FBI851554 FLE851554 FVA851554 GEW851554 GOS851554 GYO851554 HIK851554 HSG851554 ICC851554 ILY851554 IVU851554 JFQ851554 JPM851554 JZI851554 KJE851554 KTA851554 LCW851554 LMS851554 LWO851554 MGK851554 MQG851554 NAC851554 NJY851554 NTU851554 ODQ851554 ONM851554 OXI851554 PHE851554 PRA851554 QAW851554 QKS851554 QUO851554 REK851554 ROG851554 RYC851554 SHY851554 SRU851554 TBQ851554 TLM851554 TVI851554 UFE851554 UPA851554 UYW851554 VIS851554 VSO851554 WCK851554 WMG851554 WWC851554 V917090 JQ917090 TM917090 ADI917090 ANE917090 AXA917090 BGW917090 BQS917090 CAO917090 CKK917090 CUG917090 DEC917090 DNY917090 DXU917090 EHQ917090 ERM917090 FBI917090 FLE917090 FVA917090 GEW917090 GOS917090 GYO917090 HIK917090 HSG917090 ICC917090 ILY917090 IVU917090 JFQ917090 JPM917090 JZI917090 KJE917090 KTA917090 LCW917090 LMS917090 LWO917090 MGK917090 MQG917090 NAC917090 NJY917090 NTU917090 ODQ917090 ONM917090 OXI917090 PHE917090 PRA917090 QAW917090 QKS917090 QUO917090 REK917090 ROG917090 RYC917090 SHY917090 SRU917090 TBQ917090 TLM917090 TVI917090 UFE917090 UPA917090 UYW917090 VIS917090 VSO917090 WCK917090 WMG917090 WWC917090 V982626 JQ982626 TM982626 ADI982626 ANE982626 AXA982626 BGW982626 BQS982626 CAO982626 CKK982626 CUG982626 DEC982626 DNY982626 DXU982626 EHQ982626 ERM982626 FBI982626 FLE982626 FVA982626 GEW982626 GOS982626 GYO982626 HIK982626 HSG982626 ICC982626 ILY982626 IVU982626 JFQ982626 JPM982626 JZI982626 KJE982626 KTA982626 LCW982626 LMS982626 LWO982626 MGK982626 MQG982626 NAC982626 NJY982626 NTU982626 ODQ982626 ONM982626 OXI982626 PHE982626 PRA982626 QAW982626 QKS982626 QUO982626 REK982626 ROG982626 RYC982626 SHY982626 SRU982626 TBQ982626 TLM982626 TVI982626 UFE982626 UPA982626 UYW982626 VIS982626 VSO982626 WCK982626 WMG982626 WWC982626"/>
    <dataValidation allowBlank="1" showInputMessage="1" showErrorMessage="1" prompt="Para el llenado de este formato se debe utilizar a nivel de Capítulo y Concepto el Clasificador por Objeto del Gasto aprobado por el CONAC." sqref="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JJ65122 TF65122 ADB65122 AMX65122 AWT65122 BGP65122 BQL65122 CAH65122 CKD65122 CTZ65122 DDV65122 DNR65122 DXN65122 EHJ65122 ERF65122 FBB65122 FKX65122 FUT65122 GEP65122 GOL65122 GYH65122 HID65122 HRZ65122 IBV65122 ILR65122 IVN65122 JFJ65122 JPF65122 JZB65122 KIX65122 KST65122 LCP65122 LML65122 LWH65122 MGD65122 MPZ65122 MZV65122 NJR65122 NTN65122 ODJ65122 ONF65122 OXB65122 PGX65122 PQT65122 QAP65122 QKL65122 QUH65122 RED65122 RNZ65122 RXV65122 SHR65122 SRN65122 TBJ65122 TLF65122 TVB65122 UEX65122 UOT65122 UYP65122 VIL65122 VSH65122 WCD65122 WLZ65122 WVV65122 JJ130658 TF130658 ADB130658 AMX130658 AWT130658 BGP130658 BQL130658 CAH130658 CKD130658 CTZ130658 DDV130658 DNR130658 DXN130658 EHJ130658 ERF130658 FBB130658 FKX130658 FUT130658 GEP130658 GOL130658 GYH130658 HID130658 HRZ130658 IBV130658 ILR130658 IVN130658 JFJ130658 JPF130658 JZB130658 KIX130658 KST130658 LCP130658 LML130658 LWH130658 MGD130658 MPZ130658 MZV130658 NJR130658 NTN130658 ODJ130658 ONF130658 OXB130658 PGX130658 PQT130658 QAP130658 QKL130658 QUH130658 RED130658 RNZ130658 RXV130658 SHR130658 SRN130658 TBJ130658 TLF130658 TVB130658 UEX130658 UOT130658 UYP130658 VIL130658 VSH130658 WCD130658 WLZ130658 WVV130658 JJ196194 TF196194 ADB196194 AMX196194 AWT196194 BGP196194 BQL196194 CAH196194 CKD196194 CTZ196194 DDV196194 DNR196194 DXN196194 EHJ196194 ERF196194 FBB196194 FKX196194 FUT196194 GEP196194 GOL196194 GYH196194 HID196194 HRZ196194 IBV196194 ILR196194 IVN196194 JFJ196194 JPF196194 JZB196194 KIX196194 KST196194 LCP196194 LML196194 LWH196194 MGD196194 MPZ196194 MZV196194 NJR196194 NTN196194 ODJ196194 ONF196194 OXB196194 PGX196194 PQT196194 QAP196194 QKL196194 QUH196194 RED196194 RNZ196194 RXV196194 SHR196194 SRN196194 TBJ196194 TLF196194 TVB196194 UEX196194 UOT196194 UYP196194 VIL196194 VSH196194 WCD196194 WLZ196194 WVV196194 JJ261730 TF261730 ADB261730 AMX261730 AWT261730 BGP261730 BQL261730 CAH261730 CKD261730 CTZ261730 DDV261730 DNR261730 DXN261730 EHJ261730 ERF261730 FBB261730 FKX261730 FUT261730 GEP261730 GOL261730 GYH261730 HID261730 HRZ261730 IBV261730 ILR261730 IVN261730 JFJ261730 JPF261730 JZB261730 KIX261730 KST261730 LCP261730 LML261730 LWH261730 MGD261730 MPZ261730 MZV261730 NJR261730 NTN261730 ODJ261730 ONF261730 OXB261730 PGX261730 PQT261730 QAP261730 QKL261730 QUH261730 RED261730 RNZ261730 RXV261730 SHR261730 SRN261730 TBJ261730 TLF261730 TVB261730 UEX261730 UOT261730 UYP261730 VIL261730 VSH261730 WCD261730 WLZ261730 WVV261730 JJ327266 TF327266 ADB327266 AMX327266 AWT327266 BGP327266 BQL327266 CAH327266 CKD327266 CTZ327266 DDV327266 DNR327266 DXN327266 EHJ327266 ERF327266 FBB327266 FKX327266 FUT327266 GEP327266 GOL327266 GYH327266 HID327266 HRZ327266 IBV327266 ILR327266 IVN327266 JFJ327266 JPF327266 JZB327266 KIX327266 KST327266 LCP327266 LML327266 LWH327266 MGD327266 MPZ327266 MZV327266 NJR327266 NTN327266 ODJ327266 ONF327266 OXB327266 PGX327266 PQT327266 QAP327266 QKL327266 QUH327266 RED327266 RNZ327266 RXV327266 SHR327266 SRN327266 TBJ327266 TLF327266 TVB327266 UEX327266 UOT327266 UYP327266 VIL327266 VSH327266 WCD327266 WLZ327266 WVV327266 JJ392802 TF392802 ADB392802 AMX392802 AWT392802 BGP392802 BQL392802 CAH392802 CKD392802 CTZ392802 DDV392802 DNR392802 DXN392802 EHJ392802 ERF392802 FBB392802 FKX392802 FUT392802 GEP392802 GOL392802 GYH392802 HID392802 HRZ392802 IBV392802 ILR392802 IVN392802 JFJ392802 JPF392802 JZB392802 KIX392802 KST392802 LCP392802 LML392802 LWH392802 MGD392802 MPZ392802 MZV392802 NJR392802 NTN392802 ODJ392802 ONF392802 OXB392802 PGX392802 PQT392802 QAP392802 QKL392802 QUH392802 RED392802 RNZ392802 RXV392802 SHR392802 SRN392802 TBJ392802 TLF392802 TVB392802 UEX392802 UOT392802 UYP392802 VIL392802 VSH392802 WCD392802 WLZ392802 WVV392802 JJ458338 TF458338 ADB458338 AMX458338 AWT458338 BGP458338 BQL458338 CAH458338 CKD458338 CTZ458338 DDV458338 DNR458338 DXN458338 EHJ458338 ERF458338 FBB458338 FKX458338 FUT458338 GEP458338 GOL458338 GYH458338 HID458338 HRZ458338 IBV458338 ILR458338 IVN458338 JFJ458338 JPF458338 JZB458338 KIX458338 KST458338 LCP458338 LML458338 LWH458338 MGD458338 MPZ458338 MZV458338 NJR458338 NTN458338 ODJ458338 ONF458338 OXB458338 PGX458338 PQT458338 QAP458338 QKL458338 QUH458338 RED458338 RNZ458338 RXV458338 SHR458338 SRN458338 TBJ458338 TLF458338 TVB458338 UEX458338 UOT458338 UYP458338 VIL458338 VSH458338 WCD458338 WLZ458338 WVV458338 JJ523874 TF523874 ADB523874 AMX523874 AWT523874 BGP523874 BQL523874 CAH523874 CKD523874 CTZ523874 DDV523874 DNR523874 DXN523874 EHJ523874 ERF523874 FBB523874 FKX523874 FUT523874 GEP523874 GOL523874 GYH523874 HID523874 HRZ523874 IBV523874 ILR523874 IVN523874 JFJ523874 JPF523874 JZB523874 KIX523874 KST523874 LCP523874 LML523874 LWH523874 MGD523874 MPZ523874 MZV523874 NJR523874 NTN523874 ODJ523874 ONF523874 OXB523874 PGX523874 PQT523874 QAP523874 QKL523874 QUH523874 RED523874 RNZ523874 RXV523874 SHR523874 SRN523874 TBJ523874 TLF523874 TVB523874 UEX523874 UOT523874 UYP523874 VIL523874 VSH523874 WCD523874 WLZ523874 WVV523874 JJ589410 TF589410 ADB589410 AMX589410 AWT589410 BGP589410 BQL589410 CAH589410 CKD589410 CTZ589410 DDV589410 DNR589410 DXN589410 EHJ589410 ERF589410 FBB589410 FKX589410 FUT589410 GEP589410 GOL589410 GYH589410 HID589410 HRZ589410 IBV589410 ILR589410 IVN589410 JFJ589410 JPF589410 JZB589410 KIX589410 KST589410 LCP589410 LML589410 LWH589410 MGD589410 MPZ589410 MZV589410 NJR589410 NTN589410 ODJ589410 ONF589410 OXB589410 PGX589410 PQT589410 QAP589410 QKL589410 QUH589410 RED589410 RNZ589410 RXV589410 SHR589410 SRN589410 TBJ589410 TLF589410 TVB589410 UEX589410 UOT589410 UYP589410 VIL589410 VSH589410 WCD589410 WLZ589410 WVV589410 JJ654946 TF654946 ADB654946 AMX654946 AWT654946 BGP654946 BQL654946 CAH654946 CKD654946 CTZ654946 DDV654946 DNR654946 DXN654946 EHJ654946 ERF654946 FBB654946 FKX654946 FUT654946 GEP654946 GOL654946 GYH654946 HID654946 HRZ654946 IBV654946 ILR654946 IVN654946 JFJ654946 JPF654946 JZB654946 KIX654946 KST654946 LCP654946 LML654946 LWH654946 MGD654946 MPZ654946 MZV654946 NJR654946 NTN654946 ODJ654946 ONF654946 OXB654946 PGX654946 PQT654946 QAP654946 QKL654946 QUH654946 RED654946 RNZ654946 RXV654946 SHR654946 SRN654946 TBJ654946 TLF654946 TVB654946 UEX654946 UOT654946 UYP654946 VIL654946 VSH654946 WCD654946 WLZ654946 WVV654946 JJ720482 TF720482 ADB720482 AMX720482 AWT720482 BGP720482 BQL720482 CAH720482 CKD720482 CTZ720482 DDV720482 DNR720482 DXN720482 EHJ720482 ERF720482 FBB720482 FKX720482 FUT720482 GEP720482 GOL720482 GYH720482 HID720482 HRZ720482 IBV720482 ILR720482 IVN720482 JFJ720482 JPF720482 JZB720482 KIX720482 KST720482 LCP720482 LML720482 LWH720482 MGD720482 MPZ720482 MZV720482 NJR720482 NTN720482 ODJ720482 ONF720482 OXB720482 PGX720482 PQT720482 QAP720482 QKL720482 QUH720482 RED720482 RNZ720482 RXV720482 SHR720482 SRN720482 TBJ720482 TLF720482 TVB720482 UEX720482 UOT720482 UYP720482 VIL720482 VSH720482 WCD720482 WLZ720482 WVV720482 JJ786018 TF786018 ADB786018 AMX786018 AWT786018 BGP786018 BQL786018 CAH786018 CKD786018 CTZ786018 DDV786018 DNR786018 DXN786018 EHJ786018 ERF786018 FBB786018 FKX786018 FUT786018 GEP786018 GOL786018 GYH786018 HID786018 HRZ786018 IBV786018 ILR786018 IVN786018 JFJ786018 JPF786018 JZB786018 KIX786018 KST786018 LCP786018 LML786018 LWH786018 MGD786018 MPZ786018 MZV786018 NJR786018 NTN786018 ODJ786018 ONF786018 OXB786018 PGX786018 PQT786018 QAP786018 QKL786018 QUH786018 RED786018 RNZ786018 RXV786018 SHR786018 SRN786018 TBJ786018 TLF786018 TVB786018 UEX786018 UOT786018 UYP786018 VIL786018 VSH786018 WCD786018 WLZ786018 WVV786018 JJ851554 TF851554 ADB851554 AMX851554 AWT851554 BGP851554 BQL851554 CAH851554 CKD851554 CTZ851554 DDV851554 DNR851554 DXN851554 EHJ851554 ERF851554 FBB851554 FKX851554 FUT851554 GEP851554 GOL851554 GYH851554 HID851554 HRZ851554 IBV851554 ILR851554 IVN851554 JFJ851554 JPF851554 JZB851554 KIX851554 KST851554 LCP851554 LML851554 LWH851554 MGD851554 MPZ851554 MZV851554 NJR851554 NTN851554 ODJ851554 ONF851554 OXB851554 PGX851554 PQT851554 QAP851554 QKL851554 QUH851554 RED851554 RNZ851554 RXV851554 SHR851554 SRN851554 TBJ851554 TLF851554 TVB851554 UEX851554 UOT851554 UYP851554 VIL851554 VSH851554 WCD851554 WLZ851554 WVV851554 JJ917090 TF917090 ADB917090 AMX917090 AWT917090 BGP917090 BQL917090 CAH917090 CKD917090 CTZ917090 DDV917090 DNR917090 DXN917090 EHJ917090 ERF917090 FBB917090 FKX917090 FUT917090 GEP917090 GOL917090 GYH917090 HID917090 HRZ917090 IBV917090 ILR917090 IVN917090 JFJ917090 JPF917090 JZB917090 KIX917090 KST917090 LCP917090 LML917090 LWH917090 MGD917090 MPZ917090 MZV917090 NJR917090 NTN917090 ODJ917090 ONF917090 OXB917090 PGX917090 PQT917090 QAP917090 QKL917090 QUH917090 RED917090 RNZ917090 RXV917090 SHR917090 SRN917090 TBJ917090 TLF917090 TVB917090 UEX917090 UOT917090 UYP917090 VIL917090 VSH917090 WCD917090 WLZ917090 WVV917090 JJ982626 TF982626 ADB982626 AMX982626 AWT982626 BGP982626 BQL982626 CAH982626 CKD982626 CTZ982626 DDV982626 DNR982626 DXN982626 EHJ982626 ERF982626 FBB982626 FKX982626 FUT982626 GEP982626 GOL982626 GYH982626 HID982626 HRZ982626 IBV982626 ILR982626 IVN982626 JFJ982626 JPF982626 JZB982626 KIX982626 KST982626 LCP982626 LML982626 LWH982626 MGD982626 MPZ982626 MZV982626 NJR982626 NTN982626 ODJ982626 ONF982626 OXB982626 PGX982626 PQT982626 QAP982626 QKL982626 QUH982626 RED982626 RNZ982626 RXV982626 SHR982626 SRN982626 TBJ982626 TLF982626 TVB982626 UEX982626 UOT982626 UYP982626 VIL982626 VSH982626 WCD982626 WLZ982626 WVV982626 A4"/>
  </dataValidations>
  <pageMargins left="0.7" right="0.7" top="0.75" bottom="0.75" header="0.3" footer="0.3"/>
  <pageSetup paperSize="11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0"/>
  <sheetViews>
    <sheetView showGridLines="0" workbookViewId="0">
      <pane xSplit="3" ySplit="4" topLeftCell="N5" activePane="bottomRight" state="frozen"/>
      <selection activeCell="U7" sqref="U7"/>
      <selection pane="topRight" activeCell="U7" sqref="U7"/>
      <selection pane="bottomLeft" activeCell="U7" sqref="U7"/>
      <selection pane="bottomRight" activeCell="U7" sqref="U7"/>
    </sheetView>
  </sheetViews>
  <sheetFormatPr baseColWidth="10" defaultColWidth="9.28515625" defaultRowHeight="11.25"/>
  <cols>
    <col min="1" max="1" width="5.42578125" style="226" bestFit="1" customWidth="1"/>
    <col min="2" max="3" width="9.28515625" style="226"/>
    <col min="4" max="4" width="4.7109375" style="226" customWidth="1"/>
    <col min="5" max="5" width="8.28515625" style="226" customWidth="1"/>
    <col min="6" max="6" width="8.7109375" style="226" customWidth="1"/>
    <col min="7" max="9" width="4.7109375" style="226" customWidth="1"/>
    <col min="10" max="10" width="7.28515625" style="226" customWidth="1"/>
    <col min="11" max="18" width="14.28515625" style="226" customWidth="1"/>
    <col min="19" max="262" width="9.28515625" style="226"/>
    <col min="263" max="263" width="7.140625" style="226" customWidth="1"/>
    <col min="264" max="264" width="47.5703125" style="226" bestFit="1" customWidth="1"/>
    <col min="265" max="270" width="14.28515625" style="226" customWidth="1"/>
    <col min="271" max="518" width="9.28515625" style="226"/>
    <col min="519" max="519" width="7.140625" style="226" customWidth="1"/>
    <col min="520" max="520" width="47.5703125" style="226" bestFit="1" customWidth="1"/>
    <col min="521" max="526" width="14.28515625" style="226" customWidth="1"/>
    <col min="527" max="774" width="9.28515625" style="226"/>
    <col min="775" max="775" width="7.140625" style="226" customWidth="1"/>
    <col min="776" max="776" width="47.5703125" style="226" bestFit="1" customWidth="1"/>
    <col min="777" max="782" width="14.28515625" style="226" customWidth="1"/>
    <col min="783" max="1030" width="9.28515625" style="226"/>
    <col min="1031" max="1031" width="7.140625" style="226" customWidth="1"/>
    <col min="1032" max="1032" width="47.5703125" style="226" bestFit="1" customWidth="1"/>
    <col min="1033" max="1038" width="14.28515625" style="226" customWidth="1"/>
    <col min="1039" max="1286" width="9.28515625" style="226"/>
    <col min="1287" max="1287" width="7.140625" style="226" customWidth="1"/>
    <col min="1288" max="1288" width="47.5703125" style="226" bestFit="1" customWidth="1"/>
    <col min="1289" max="1294" width="14.28515625" style="226" customWidth="1"/>
    <col min="1295" max="1542" width="9.28515625" style="226"/>
    <col min="1543" max="1543" width="7.140625" style="226" customWidth="1"/>
    <col min="1544" max="1544" width="47.5703125" style="226" bestFit="1" customWidth="1"/>
    <col min="1545" max="1550" width="14.28515625" style="226" customWidth="1"/>
    <col min="1551" max="1798" width="9.28515625" style="226"/>
    <col min="1799" max="1799" width="7.140625" style="226" customWidth="1"/>
    <col min="1800" max="1800" width="47.5703125" style="226" bestFit="1" customWidth="1"/>
    <col min="1801" max="1806" width="14.28515625" style="226" customWidth="1"/>
    <col min="1807" max="2054" width="9.28515625" style="226"/>
    <col min="2055" max="2055" width="7.140625" style="226" customWidth="1"/>
    <col min="2056" max="2056" width="47.5703125" style="226" bestFit="1" customWidth="1"/>
    <col min="2057" max="2062" width="14.28515625" style="226" customWidth="1"/>
    <col min="2063" max="2310" width="9.28515625" style="226"/>
    <col min="2311" max="2311" width="7.140625" style="226" customWidth="1"/>
    <col min="2312" max="2312" width="47.5703125" style="226" bestFit="1" customWidth="1"/>
    <col min="2313" max="2318" width="14.28515625" style="226" customWidth="1"/>
    <col min="2319" max="2566" width="9.28515625" style="226"/>
    <col min="2567" max="2567" width="7.140625" style="226" customWidth="1"/>
    <col min="2568" max="2568" width="47.5703125" style="226" bestFit="1" customWidth="1"/>
    <col min="2569" max="2574" width="14.28515625" style="226" customWidth="1"/>
    <col min="2575" max="2822" width="9.28515625" style="226"/>
    <col min="2823" max="2823" width="7.140625" style="226" customWidth="1"/>
    <col min="2824" max="2824" width="47.5703125" style="226" bestFit="1" customWidth="1"/>
    <col min="2825" max="2830" width="14.28515625" style="226" customWidth="1"/>
    <col min="2831" max="3078" width="9.28515625" style="226"/>
    <col min="3079" max="3079" width="7.140625" style="226" customWidth="1"/>
    <col min="3080" max="3080" width="47.5703125" style="226" bestFit="1" customWidth="1"/>
    <col min="3081" max="3086" width="14.28515625" style="226" customWidth="1"/>
    <col min="3087" max="3334" width="9.28515625" style="226"/>
    <col min="3335" max="3335" width="7.140625" style="226" customWidth="1"/>
    <col min="3336" max="3336" width="47.5703125" style="226" bestFit="1" customWidth="1"/>
    <col min="3337" max="3342" width="14.28515625" style="226" customWidth="1"/>
    <col min="3343" max="3590" width="9.28515625" style="226"/>
    <col min="3591" max="3591" width="7.140625" style="226" customWidth="1"/>
    <col min="3592" max="3592" width="47.5703125" style="226" bestFit="1" customWidth="1"/>
    <col min="3593" max="3598" width="14.28515625" style="226" customWidth="1"/>
    <col min="3599" max="3846" width="9.28515625" style="226"/>
    <col min="3847" max="3847" width="7.140625" style="226" customWidth="1"/>
    <col min="3848" max="3848" width="47.5703125" style="226" bestFit="1" customWidth="1"/>
    <col min="3849" max="3854" width="14.28515625" style="226" customWidth="1"/>
    <col min="3855" max="4102" width="9.28515625" style="226"/>
    <col min="4103" max="4103" width="7.140625" style="226" customWidth="1"/>
    <col min="4104" max="4104" width="47.5703125" style="226" bestFit="1" customWidth="1"/>
    <col min="4105" max="4110" width="14.28515625" style="226" customWidth="1"/>
    <col min="4111" max="4358" width="9.28515625" style="226"/>
    <col min="4359" max="4359" width="7.140625" style="226" customWidth="1"/>
    <col min="4360" max="4360" width="47.5703125" style="226" bestFit="1" customWidth="1"/>
    <col min="4361" max="4366" width="14.28515625" style="226" customWidth="1"/>
    <col min="4367" max="4614" width="9.28515625" style="226"/>
    <col min="4615" max="4615" width="7.140625" style="226" customWidth="1"/>
    <col min="4616" max="4616" width="47.5703125" style="226" bestFit="1" customWidth="1"/>
    <col min="4617" max="4622" width="14.28515625" style="226" customWidth="1"/>
    <col min="4623" max="4870" width="9.28515625" style="226"/>
    <col min="4871" max="4871" width="7.140625" style="226" customWidth="1"/>
    <col min="4872" max="4872" width="47.5703125" style="226" bestFit="1" customWidth="1"/>
    <col min="4873" max="4878" width="14.28515625" style="226" customWidth="1"/>
    <col min="4879" max="5126" width="9.28515625" style="226"/>
    <col min="5127" max="5127" width="7.140625" style="226" customWidth="1"/>
    <col min="5128" max="5128" width="47.5703125" style="226" bestFit="1" customWidth="1"/>
    <col min="5129" max="5134" width="14.28515625" style="226" customWidth="1"/>
    <col min="5135" max="5382" width="9.28515625" style="226"/>
    <col min="5383" max="5383" width="7.140625" style="226" customWidth="1"/>
    <col min="5384" max="5384" width="47.5703125" style="226" bestFit="1" customWidth="1"/>
    <col min="5385" max="5390" width="14.28515625" style="226" customWidth="1"/>
    <col min="5391" max="5638" width="9.28515625" style="226"/>
    <col min="5639" max="5639" width="7.140625" style="226" customWidth="1"/>
    <col min="5640" max="5640" width="47.5703125" style="226" bestFit="1" customWidth="1"/>
    <col min="5641" max="5646" width="14.28515625" style="226" customWidth="1"/>
    <col min="5647" max="5894" width="9.28515625" style="226"/>
    <col min="5895" max="5895" width="7.140625" style="226" customWidth="1"/>
    <col min="5896" max="5896" width="47.5703125" style="226" bestFit="1" customWidth="1"/>
    <col min="5897" max="5902" width="14.28515625" style="226" customWidth="1"/>
    <col min="5903" max="6150" width="9.28515625" style="226"/>
    <col min="6151" max="6151" width="7.140625" style="226" customWidth="1"/>
    <col min="6152" max="6152" width="47.5703125" style="226" bestFit="1" customWidth="1"/>
    <col min="6153" max="6158" width="14.28515625" style="226" customWidth="1"/>
    <col min="6159" max="6406" width="9.28515625" style="226"/>
    <col min="6407" max="6407" width="7.140625" style="226" customWidth="1"/>
    <col min="6408" max="6408" width="47.5703125" style="226" bestFit="1" customWidth="1"/>
    <col min="6409" max="6414" width="14.28515625" style="226" customWidth="1"/>
    <col min="6415" max="6662" width="9.28515625" style="226"/>
    <col min="6663" max="6663" width="7.140625" style="226" customWidth="1"/>
    <col min="6664" max="6664" width="47.5703125" style="226" bestFit="1" customWidth="1"/>
    <col min="6665" max="6670" width="14.28515625" style="226" customWidth="1"/>
    <col min="6671" max="6918" width="9.28515625" style="226"/>
    <col min="6919" max="6919" width="7.140625" style="226" customWidth="1"/>
    <col min="6920" max="6920" width="47.5703125" style="226" bestFit="1" customWidth="1"/>
    <col min="6921" max="6926" width="14.28515625" style="226" customWidth="1"/>
    <col min="6927" max="7174" width="9.28515625" style="226"/>
    <col min="7175" max="7175" width="7.140625" style="226" customWidth="1"/>
    <col min="7176" max="7176" width="47.5703125" style="226" bestFit="1" customWidth="1"/>
    <col min="7177" max="7182" width="14.28515625" style="226" customWidth="1"/>
    <col min="7183" max="7430" width="9.28515625" style="226"/>
    <col min="7431" max="7431" width="7.140625" style="226" customWidth="1"/>
    <col min="7432" max="7432" width="47.5703125" style="226" bestFit="1" customWidth="1"/>
    <col min="7433" max="7438" width="14.28515625" style="226" customWidth="1"/>
    <col min="7439" max="7686" width="9.28515625" style="226"/>
    <col min="7687" max="7687" width="7.140625" style="226" customWidth="1"/>
    <col min="7688" max="7688" width="47.5703125" style="226" bestFit="1" customWidth="1"/>
    <col min="7689" max="7694" width="14.28515625" style="226" customWidth="1"/>
    <col min="7695" max="7942" width="9.28515625" style="226"/>
    <col min="7943" max="7943" width="7.140625" style="226" customWidth="1"/>
    <col min="7944" max="7944" width="47.5703125" style="226" bestFit="1" customWidth="1"/>
    <col min="7945" max="7950" width="14.28515625" style="226" customWidth="1"/>
    <col min="7951" max="8198" width="9.28515625" style="226"/>
    <col min="8199" max="8199" width="7.140625" style="226" customWidth="1"/>
    <col min="8200" max="8200" width="47.5703125" style="226" bestFit="1" customWidth="1"/>
    <col min="8201" max="8206" width="14.28515625" style="226" customWidth="1"/>
    <col min="8207" max="8454" width="9.28515625" style="226"/>
    <col min="8455" max="8455" width="7.140625" style="226" customWidth="1"/>
    <col min="8456" max="8456" width="47.5703125" style="226" bestFit="1" customWidth="1"/>
    <col min="8457" max="8462" width="14.28515625" style="226" customWidth="1"/>
    <col min="8463" max="8710" width="9.28515625" style="226"/>
    <col min="8711" max="8711" width="7.140625" style="226" customWidth="1"/>
    <col min="8712" max="8712" width="47.5703125" style="226" bestFit="1" customWidth="1"/>
    <col min="8713" max="8718" width="14.28515625" style="226" customWidth="1"/>
    <col min="8719" max="8966" width="9.28515625" style="226"/>
    <col min="8967" max="8967" width="7.140625" style="226" customWidth="1"/>
    <col min="8968" max="8968" width="47.5703125" style="226" bestFit="1" customWidth="1"/>
    <col min="8969" max="8974" width="14.28515625" style="226" customWidth="1"/>
    <col min="8975" max="9222" width="9.28515625" style="226"/>
    <col min="9223" max="9223" width="7.140625" style="226" customWidth="1"/>
    <col min="9224" max="9224" width="47.5703125" style="226" bestFit="1" customWidth="1"/>
    <col min="9225" max="9230" width="14.28515625" style="226" customWidth="1"/>
    <col min="9231" max="9478" width="9.28515625" style="226"/>
    <col min="9479" max="9479" width="7.140625" style="226" customWidth="1"/>
    <col min="9480" max="9480" width="47.5703125" style="226" bestFit="1" customWidth="1"/>
    <col min="9481" max="9486" width="14.28515625" style="226" customWidth="1"/>
    <col min="9487" max="9734" width="9.28515625" style="226"/>
    <col min="9735" max="9735" width="7.140625" style="226" customWidth="1"/>
    <col min="9736" max="9736" width="47.5703125" style="226" bestFit="1" customWidth="1"/>
    <col min="9737" max="9742" width="14.28515625" style="226" customWidth="1"/>
    <col min="9743" max="9990" width="9.28515625" style="226"/>
    <col min="9991" max="9991" width="7.140625" style="226" customWidth="1"/>
    <col min="9992" max="9992" width="47.5703125" style="226" bestFit="1" customWidth="1"/>
    <col min="9993" max="9998" width="14.28515625" style="226" customWidth="1"/>
    <col min="9999" max="10246" width="9.28515625" style="226"/>
    <col min="10247" max="10247" width="7.140625" style="226" customWidth="1"/>
    <col min="10248" max="10248" width="47.5703125" style="226" bestFit="1" customWidth="1"/>
    <col min="10249" max="10254" width="14.28515625" style="226" customWidth="1"/>
    <col min="10255" max="10502" width="9.28515625" style="226"/>
    <col min="10503" max="10503" width="7.140625" style="226" customWidth="1"/>
    <col min="10504" max="10504" width="47.5703125" style="226" bestFit="1" customWidth="1"/>
    <col min="10505" max="10510" width="14.28515625" style="226" customWidth="1"/>
    <col min="10511" max="10758" width="9.28515625" style="226"/>
    <col min="10759" max="10759" width="7.140625" style="226" customWidth="1"/>
    <col min="10760" max="10760" width="47.5703125" style="226" bestFit="1" customWidth="1"/>
    <col min="10761" max="10766" width="14.28515625" style="226" customWidth="1"/>
    <col min="10767" max="11014" width="9.28515625" style="226"/>
    <col min="11015" max="11015" width="7.140625" style="226" customWidth="1"/>
    <col min="11016" max="11016" width="47.5703125" style="226" bestFit="1" customWidth="1"/>
    <col min="11017" max="11022" width="14.28515625" style="226" customWidth="1"/>
    <col min="11023" max="11270" width="9.28515625" style="226"/>
    <col min="11271" max="11271" width="7.140625" style="226" customWidth="1"/>
    <col min="11272" max="11272" width="47.5703125" style="226" bestFit="1" customWidth="1"/>
    <col min="11273" max="11278" width="14.28515625" style="226" customWidth="1"/>
    <col min="11279" max="11526" width="9.28515625" style="226"/>
    <col min="11527" max="11527" width="7.140625" style="226" customWidth="1"/>
    <col min="11528" max="11528" width="47.5703125" style="226" bestFit="1" customWidth="1"/>
    <col min="11529" max="11534" width="14.28515625" style="226" customWidth="1"/>
    <col min="11535" max="11782" width="9.28515625" style="226"/>
    <col min="11783" max="11783" width="7.140625" style="226" customWidth="1"/>
    <col min="11784" max="11784" width="47.5703125" style="226" bestFit="1" customWidth="1"/>
    <col min="11785" max="11790" width="14.28515625" style="226" customWidth="1"/>
    <col min="11791" max="12038" width="9.28515625" style="226"/>
    <col min="12039" max="12039" width="7.140625" style="226" customWidth="1"/>
    <col min="12040" max="12040" width="47.5703125" style="226" bestFit="1" customWidth="1"/>
    <col min="12041" max="12046" width="14.28515625" style="226" customWidth="1"/>
    <col min="12047" max="12294" width="9.28515625" style="226"/>
    <col min="12295" max="12295" width="7.140625" style="226" customWidth="1"/>
    <col min="12296" max="12296" width="47.5703125" style="226" bestFit="1" customWidth="1"/>
    <col min="12297" max="12302" width="14.28515625" style="226" customWidth="1"/>
    <col min="12303" max="12550" width="9.28515625" style="226"/>
    <col min="12551" max="12551" width="7.140625" style="226" customWidth="1"/>
    <col min="12552" max="12552" width="47.5703125" style="226" bestFit="1" customWidth="1"/>
    <col min="12553" max="12558" width="14.28515625" style="226" customWidth="1"/>
    <col min="12559" max="12806" width="9.28515625" style="226"/>
    <col min="12807" max="12807" width="7.140625" style="226" customWidth="1"/>
    <col min="12808" max="12808" width="47.5703125" style="226" bestFit="1" customWidth="1"/>
    <col min="12809" max="12814" width="14.28515625" style="226" customWidth="1"/>
    <col min="12815" max="13062" width="9.28515625" style="226"/>
    <col min="13063" max="13063" width="7.140625" style="226" customWidth="1"/>
    <col min="13064" max="13064" width="47.5703125" style="226" bestFit="1" customWidth="1"/>
    <col min="13065" max="13070" width="14.28515625" style="226" customWidth="1"/>
    <col min="13071" max="13318" width="9.28515625" style="226"/>
    <col min="13319" max="13319" width="7.140625" style="226" customWidth="1"/>
    <col min="13320" max="13320" width="47.5703125" style="226" bestFit="1" customWidth="1"/>
    <col min="13321" max="13326" width="14.28515625" style="226" customWidth="1"/>
    <col min="13327" max="13574" width="9.28515625" style="226"/>
    <col min="13575" max="13575" width="7.140625" style="226" customWidth="1"/>
    <col min="13576" max="13576" width="47.5703125" style="226" bestFit="1" customWidth="1"/>
    <col min="13577" max="13582" width="14.28515625" style="226" customWidth="1"/>
    <col min="13583" max="13830" width="9.28515625" style="226"/>
    <col min="13831" max="13831" width="7.140625" style="226" customWidth="1"/>
    <col min="13832" max="13832" width="47.5703125" style="226" bestFit="1" customWidth="1"/>
    <col min="13833" max="13838" width="14.28515625" style="226" customWidth="1"/>
    <col min="13839" max="14086" width="9.28515625" style="226"/>
    <col min="14087" max="14087" width="7.140625" style="226" customWidth="1"/>
    <col min="14088" max="14088" width="47.5703125" style="226" bestFit="1" customWidth="1"/>
    <col min="14089" max="14094" width="14.28515625" style="226" customWidth="1"/>
    <col min="14095" max="14342" width="9.28515625" style="226"/>
    <col min="14343" max="14343" width="7.140625" style="226" customWidth="1"/>
    <col min="14344" max="14344" width="47.5703125" style="226" bestFit="1" customWidth="1"/>
    <col min="14345" max="14350" width="14.28515625" style="226" customWidth="1"/>
    <col min="14351" max="14598" width="9.28515625" style="226"/>
    <col min="14599" max="14599" width="7.140625" style="226" customWidth="1"/>
    <col min="14600" max="14600" width="47.5703125" style="226" bestFit="1" customWidth="1"/>
    <col min="14601" max="14606" width="14.28515625" style="226" customWidth="1"/>
    <col min="14607" max="14854" width="9.28515625" style="226"/>
    <col min="14855" max="14855" width="7.140625" style="226" customWidth="1"/>
    <col min="14856" max="14856" width="47.5703125" style="226" bestFit="1" customWidth="1"/>
    <col min="14857" max="14862" width="14.28515625" style="226" customWidth="1"/>
    <col min="14863" max="15110" width="9.28515625" style="226"/>
    <col min="15111" max="15111" width="7.140625" style="226" customWidth="1"/>
    <col min="15112" max="15112" width="47.5703125" style="226" bestFit="1" customWidth="1"/>
    <col min="15113" max="15118" width="14.28515625" style="226" customWidth="1"/>
    <col min="15119" max="15366" width="9.28515625" style="226"/>
    <col min="15367" max="15367" width="7.140625" style="226" customWidth="1"/>
    <col min="15368" max="15368" width="47.5703125" style="226" bestFit="1" customWidth="1"/>
    <col min="15369" max="15374" width="14.28515625" style="226" customWidth="1"/>
    <col min="15375" max="15622" width="9.28515625" style="226"/>
    <col min="15623" max="15623" width="7.140625" style="226" customWidth="1"/>
    <col min="15624" max="15624" width="47.5703125" style="226" bestFit="1" customWidth="1"/>
    <col min="15625" max="15630" width="14.28515625" style="226" customWidth="1"/>
    <col min="15631" max="15878" width="9.28515625" style="226"/>
    <col min="15879" max="15879" width="7.140625" style="226" customWidth="1"/>
    <col min="15880" max="15880" width="47.5703125" style="226" bestFit="1" customWidth="1"/>
    <col min="15881" max="15886" width="14.28515625" style="226" customWidth="1"/>
    <col min="15887" max="16134" width="9.28515625" style="226"/>
    <col min="16135" max="16135" width="7.140625" style="226" customWidth="1"/>
    <col min="16136" max="16136" width="47.5703125" style="226" bestFit="1" customWidth="1"/>
    <col min="16137" max="16142" width="14.28515625" style="226" customWidth="1"/>
    <col min="16143" max="16384" width="9.28515625" style="226"/>
  </cols>
  <sheetData>
    <row r="1" spans="1:18" ht="18">
      <c r="D1" s="1051" t="s">
        <v>2634</v>
      </c>
      <c r="E1" s="1051"/>
      <c r="F1" s="1051"/>
      <c r="G1" s="1051"/>
      <c r="H1" s="1051"/>
      <c r="I1" s="1051"/>
      <c r="J1" s="1051"/>
      <c r="K1" s="1051"/>
      <c r="L1" s="1051"/>
      <c r="M1" s="1051"/>
      <c r="N1" s="1051"/>
      <c r="O1" s="1051"/>
      <c r="P1" s="1051"/>
      <c r="Q1" s="1051"/>
      <c r="R1" s="1051"/>
    </row>
    <row r="2" spans="1:18" ht="18">
      <c r="D2" s="1052" t="s">
        <v>2635</v>
      </c>
      <c r="E2" s="1052"/>
      <c r="F2" s="1052"/>
      <c r="G2" s="1052"/>
      <c r="H2" s="1052"/>
      <c r="I2" s="1052"/>
      <c r="J2" s="1052"/>
      <c r="K2" s="1052"/>
      <c r="L2" s="1052"/>
      <c r="M2" s="1052"/>
      <c r="N2" s="1052"/>
      <c r="O2" s="1052"/>
      <c r="P2" s="1052"/>
      <c r="Q2" s="1052"/>
      <c r="R2" s="1052"/>
    </row>
    <row r="3" spans="1:18" ht="18">
      <c r="D3" s="1052" t="s">
        <v>2636</v>
      </c>
      <c r="E3" s="1052"/>
      <c r="F3" s="1052"/>
      <c r="G3" s="1052"/>
      <c r="H3" s="1052"/>
      <c r="I3" s="1052"/>
      <c r="J3" s="1052"/>
      <c r="K3" s="1052"/>
      <c r="L3" s="1052"/>
      <c r="M3" s="1052"/>
      <c r="N3" s="1052"/>
      <c r="O3" s="1052"/>
      <c r="P3" s="1052"/>
      <c r="Q3" s="1052"/>
      <c r="R3" s="1052"/>
    </row>
    <row r="4" spans="1:18" ht="90">
      <c r="A4" s="943" t="s">
        <v>252</v>
      </c>
      <c r="B4" s="943" t="s">
        <v>71</v>
      </c>
      <c r="D4" s="948" t="s">
        <v>2625</v>
      </c>
      <c r="E4" s="948" t="s">
        <v>2626</v>
      </c>
      <c r="F4" s="948" t="s">
        <v>2627</v>
      </c>
      <c r="G4" s="948" t="s">
        <v>2629</v>
      </c>
      <c r="H4" s="948" t="s">
        <v>2637</v>
      </c>
      <c r="I4" s="948" t="s">
        <v>2638</v>
      </c>
      <c r="J4" s="948" t="s">
        <v>2630</v>
      </c>
      <c r="K4" s="974" t="s">
        <v>2631</v>
      </c>
      <c r="L4" s="974" t="s">
        <v>2632</v>
      </c>
      <c r="M4" s="974" t="s">
        <v>2639</v>
      </c>
      <c r="N4" s="974" t="s">
        <v>2640</v>
      </c>
      <c r="O4" s="974" t="s">
        <v>2641</v>
      </c>
      <c r="P4" s="974" t="s">
        <v>2642</v>
      </c>
      <c r="Q4" s="974" t="s">
        <v>2643</v>
      </c>
      <c r="R4" s="974" t="s">
        <v>2633</v>
      </c>
    </row>
    <row r="5" spans="1:18">
      <c r="A5" s="229">
        <v>1000</v>
      </c>
      <c r="B5" s="230" t="s">
        <v>258</v>
      </c>
      <c r="C5" s="975" t="s">
        <v>286</v>
      </c>
      <c r="D5" s="976">
        <v>2017</v>
      </c>
      <c r="E5" s="977">
        <v>42736</v>
      </c>
      <c r="F5" s="977">
        <v>43100</v>
      </c>
      <c r="G5" s="976">
        <f>IF(MID(A5,2,1)="0",A5,"")</f>
        <v>1000</v>
      </c>
      <c r="H5" s="976" t="str">
        <f>IF(AND(MID(A5,2,1)&gt;"0",MID(A5,3,1)="0"),A5,"")</f>
        <v/>
      </c>
      <c r="I5" s="976" t="str">
        <f>IF(MID(A5,3,1)&gt;"0",A5,"")</f>
        <v/>
      </c>
      <c r="J5" s="979" t="str">
        <f>+B5</f>
        <v>SERVICIOS PERSONALES</v>
      </c>
      <c r="K5" s="978">
        <f t="shared" ref="K5:K68" si="0">IF(MID(A5,2,1)="0",SUMIF(PE_COG,MID(A5,1,1)&amp;"*",PE_A),
IF(AND(MID(A5,2,1)&gt;"0",MID(A5,3,1)="0"),SUMIF(PE_COG,MID(A5,1,2)&amp;"*",PE_A),
IF(MID(A5,3,1)&gt;"0",SUMIF(PE_COG,MID(A5,1,3)&amp;"*",PE_A),"")))</f>
        <v>59875476.900000006</v>
      </c>
      <c r="L5" s="978">
        <f t="shared" ref="L5:L68" si="1">IF(MID(A5,2,1)="0",SUMIF(PE_COG,MID(A5,1,1)&amp;"*",PE_M),
IF(AND(MID(A5,2,1)&gt;"0",MID(A5,3,1)="0"),SUMIF(PE_COG,MID(A5,1,2)&amp;"*",PE_M),
IF(MID(A5,3,1)&gt;"0",SUMIF(PE_COG,MID(A5,1,3)&amp;"*",PE_M),"")))</f>
        <v>6048652.1900000013</v>
      </c>
      <c r="M5" s="978">
        <f t="shared" ref="M5:M68" si="2">IF(MID(A5,2,1)="0",SUMIF(PE_COG,MID(A5,1,1)&amp;"*",PE_A),
IF(AND(MID(A5,2,1)&gt;"0",MID(A5,3,1)="0"),SUMIF(PE_COG,MID(A5,1,2)&amp;"*",PE_A),
IF(MID(A5,3,1)&gt;"0",SUMIF(PE_COG,MID(A5,1,3)&amp;"*",PE_A),"")))
+IF(MID(A5,2,1)="0",SUMIF(PE_COG,MID(A5,1,1)&amp;"*",PE_M),
IF(AND(MID(A5,2,1)&gt;"0",MID(A5,3,1)="0"),SUMIF(PE_COG,MID(A5,1,2)&amp;"*",PE_M),
IF(MID(A5,3,1)&gt;"0",SUMIF(PE_COG,MID(A5,1,3)&amp;"*",PE_M),"")))</f>
        <v>65924129.090000004</v>
      </c>
      <c r="N5" s="978">
        <f t="shared" ref="N5:N68" si="3">IF(MID(A5,2,1)="0",SUMIF(PE_COG,MID(A5,1,1)&amp;"*",PE_C),
IF(AND(MID(A5,2,1)&gt;"0",MID(A5,3,1)="0"),SUMIF(PE_COG,MID(A5,1,2)&amp;"*",PE_C),
IF(MID(A5,3,1)&gt;"0",SUMIF(PE_COG,MID(A5,1,3)&amp;"*",PE_C),"")))</f>
        <v>65924124.189999998</v>
      </c>
      <c r="O5" s="978">
        <f t="shared" ref="O5:O68" si="4">IF(MID(A5,2,1)="0",SUMIF(PE_COG,MID(A5,1,1)&amp;"*",PE_D),
IF(AND(MID(A5,2,1)&gt;"0",MID(A5,3,1)="0"),SUMIF(PE_COG,MID(A5,1,2)&amp;"*",PE_D),
IF(MID(A5,3,1)&gt;"0",SUMIF(PE_COG,MID(A5,1,3)&amp;"*",PE_D),"")))</f>
        <v>65924124.189999998</v>
      </c>
      <c r="P5" s="978">
        <f t="shared" ref="P5:P68" si="5">IF(MID(A5,2,1)="0",SUMIF(PE_COG,MID(A5,1,1)&amp;"*",PE_E),
IF(AND(MID(A5,2,1)&gt;"0",MID(A5,3,1)="0"),SUMIF(PE_COG,MID(A5,1,2)&amp;"*",PE_E),
IF(MID(A5,3,1)&gt;"0",SUMIF(PE_COG,MID(A5,1,3)&amp;"*",PE_E),"")))</f>
        <v>65924124.189999998</v>
      </c>
      <c r="Q5" s="978">
        <f t="shared" ref="Q5:Q68" si="6">IF(MID(A5,2,1)="0",SUMIF(PE_COG,MID(A5,1,1)&amp;"*",PE_P),
IF(AND(MID(A5,2,1)&gt;"0",MID(A5,3,1)="0"),SUMIF(PE_COG,MID(A5,1,2)&amp;"*",PE_P),
IF(MID(A5,3,1)&gt;"0",SUMIF(PE_COG,MID(A5,1,3)&amp;"*",PE_P),"")))</f>
        <v>64738024.339999996</v>
      </c>
      <c r="R5" s="978">
        <f t="shared" ref="R5:R68" si="7">IF(MID(A5,2,1)="0",SUMIF(PE_COG,MID(A5,1,1)&amp;"*",PE_A),
IF(AND(MID(A5,2,1)&gt;"0",MID(A5,3,1)="0"),SUMIF(PE_COG,MID(A5,1,2)&amp;"*",PE_A),
IF(MID(A5,3,1)&gt;"0",SUMIF(PE_COG,MID(A5,1,3)&amp;"*",PE_A),"")))
+IF(MID(A5,2,1)="0",SUMIF(PE_COG,MID(A5,1,1)&amp;"*",PE_M),
IF(AND(MID(A5,2,1)&gt;"0",MID(A5,3,1)="0"),SUMIF(PE_COG,MID(A5,1,2)&amp;"*",PE_M),
IF(MID(A5,3,1)&gt;"0",SUMIF(PE_COG,MID(A5,1,3)&amp;"*",PE_M),"")))
-IF(MID(A5,2,1)="0",SUMIF(PE_COG,MID(A5,1,1)&amp;"*",PE_D),
IF(AND(MID(A5,2,1)&gt;"0",MID(A5,3,1)="0"),SUMIF(PE_COG,MID(A5,1,2)&amp;"*",PE_D),
IF(MID(A5,3,1)&gt;"0",SUMIF(PE_COG,MID(A5,1,3)&amp;"*",PE_D),"")))</f>
        <v>4.9000000059604645</v>
      </c>
    </row>
    <row r="6" spans="1:18">
      <c r="A6" s="229">
        <v>1100</v>
      </c>
      <c r="B6" s="230" t="s">
        <v>185</v>
      </c>
      <c r="C6" s="975" t="s">
        <v>286</v>
      </c>
      <c r="D6" s="401"/>
      <c r="E6" s="980"/>
      <c r="F6" s="980"/>
      <c r="G6" s="401" t="str">
        <f t="shared" ref="G6:G69" si="8">IF(MID(A6,2,1)="0",A6,"")</f>
        <v/>
      </c>
      <c r="H6" s="401">
        <f t="shared" ref="H6:H69" si="9">IF(AND(MID(A6,2,1)&gt;"0",MID(A6,3,1)="0"),A6,"")</f>
        <v>1100</v>
      </c>
      <c r="I6" s="401" t="str">
        <f t="shared" ref="I6:I69" si="10">IF(MID(A6,3,1)&gt;"0",A6,"")</f>
        <v/>
      </c>
      <c r="J6" s="981" t="str">
        <f t="shared" ref="J6:J69" si="11">+B6</f>
        <v>Remuneraciones al personal de carácter permanente</v>
      </c>
      <c r="K6" s="338">
        <f t="shared" si="0"/>
        <v>14113315.210000001</v>
      </c>
      <c r="L6" s="338">
        <f t="shared" si="1"/>
        <v>1307352.6900000002</v>
      </c>
      <c r="M6" s="338">
        <f t="shared" si="2"/>
        <v>15420667.9</v>
      </c>
      <c r="N6" s="338">
        <f t="shared" si="3"/>
        <v>15420663</v>
      </c>
      <c r="O6" s="338">
        <f t="shared" si="4"/>
        <v>15420663</v>
      </c>
      <c r="P6" s="338">
        <f t="shared" si="5"/>
        <v>15420663</v>
      </c>
      <c r="Q6" s="338">
        <f t="shared" si="6"/>
        <v>15420663</v>
      </c>
      <c r="R6" s="338">
        <f t="shared" si="7"/>
        <v>4.900000000372529</v>
      </c>
    </row>
    <row r="7" spans="1:18" ht="12">
      <c r="A7" s="229">
        <v>1110</v>
      </c>
      <c r="B7" s="984" t="s">
        <v>2644</v>
      </c>
      <c r="C7" s="975" t="s">
        <v>286</v>
      </c>
      <c r="D7" s="401"/>
      <c r="E7" s="980"/>
      <c r="F7" s="980"/>
      <c r="G7" s="401" t="str">
        <f t="shared" si="8"/>
        <v/>
      </c>
      <c r="H7" s="401" t="str">
        <f t="shared" si="9"/>
        <v/>
      </c>
      <c r="I7" s="401">
        <f t="shared" si="10"/>
        <v>1110</v>
      </c>
      <c r="J7" s="981" t="str">
        <f t="shared" si="11"/>
        <v>Dietas</v>
      </c>
      <c r="K7" s="338">
        <f t="shared" si="0"/>
        <v>0</v>
      </c>
      <c r="L7" s="338">
        <f t="shared" si="1"/>
        <v>0</v>
      </c>
      <c r="M7" s="338">
        <f t="shared" si="2"/>
        <v>0</v>
      </c>
      <c r="N7" s="338">
        <f t="shared" si="3"/>
        <v>0</v>
      </c>
      <c r="O7" s="338">
        <f t="shared" si="4"/>
        <v>0</v>
      </c>
      <c r="P7" s="338">
        <f t="shared" si="5"/>
        <v>0</v>
      </c>
      <c r="Q7" s="338">
        <f t="shared" si="6"/>
        <v>0</v>
      </c>
      <c r="R7" s="338">
        <f t="shared" si="7"/>
        <v>0</v>
      </c>
    </row>
    <row r="8" spans="1:18" ht="12">
      <c r="A8" s="985">
        <v>1120</v>
      </c>
      <c r="B8" s="984" t="s">
        <v>2645</v>
      </c>
      <c r="C8" s="975" t="s">
        <v>286</v>
      </c>
      <c r="D8" s="401"/>
      <c r="E8" s="980"/>
      <c r="F8" s="980"/>
      <c r="G8" s="401" t="str">
        <f t="shared" si="8"/>
        <v/>
      </c>
      <c r="H8" s="401" t="str">
        <f t="shared" si="9"/>
        <v/>
      </c>
      <c r="I8" s="401">
        <f t="shared" si="10"/>
        <v>1120</v>
      </c>
      <c r="J8" s="981" t="str">
        <f t="shared" si="11"/>
        <v>Haberes</v>
      </c>
      <c r="K8" s="338">
        <f t="shared" si="0"/>
        <v>0</v>
      </c>
      <c r="L8" s="338">
        <f t="shared" si="1"/>
        <v>0</v>
      </c>
      <c r="M8" s="338">
        <f t="shared" si="2"/>
        <v>0</v>
      </c>
      <c r="N8" s="338">
        <f t="shared" si="3"/>
        <v>0</v>
      </c>
      <c r="O8" s="338">
        <f t="shared" si="4"/>
        <v>0</v>
      </c>
      <c r="P8" s="338">
        <f t="shared" si="5"/>
        <v>0</v>
      </c>
      <c r="Q8" s="338">
        <f t="shared" si="6"/>
        <v>0</v>
      </c>
      <c r="R8" s="338">
        <f t="shared" si="7"/>
        <v>0</v>
      </c>
    </row>
    <row r="9" spans="1:18" ht="12">
      <c r="A9" s="985">
        <v>1130</v>
      </c>
      <c r="B9" s="984" t="s">
        <v>2646</v>
      </c>
      <c r="C9" s="975" t="s">
        <v>286</v>
      </c>
      <c r="D9" s="401"/>
      <c r="E9" s="980"/>
      <c r="F9" s="980"/>
      <c r="G9" s="401" t="str">
        <f t="shared" si="8"/>
        <v/>
      </c>
      <c r="H9" s="401" t="str">
        <f t="shared" si="9"/>
        <v/>
      </c>
      <c r="I9" s="401">
        <f t="shared" si="10"/>
        <v>1130</v>
      </c>
      <c r="J9" s="981" t="str">
        <f t="shared" si="11"/>
        <v>Sueldos base al personal permanente</v>
      </c>
      <c r="K9" s="338">
        <f t="shared" si="0"/>
        <v>14113315.210000001</v>
      </c>
      <c r="L9" s="338">
        <f t="shared" si="1"/>
        <v>1307352.6900000002</v>
      </c>
      <c r="M9" s="338">
        <f t="shared" si="2"/>
        <v>15420667.9</v>
      </c>
      <c r="N9" s="338">
        <f t="shared" si="3"/>
        <v>15420663</v>
      </c>
      <c r="O9" s="338">
        <f t="shared" si="4"/>
        <v>15420663</v>
      </c>
      <c r="P9" s="338">
        <f t="shared" si="5"/>
        <v>15420663</v>
      </c>
      <c r="Q9" s="338">
        <f t="shared" si="6"/>
        <v>15420663</v>
      </c>
      <c r="R9" s="338">
        <f t="shared" si="7"/>
        <v>4.900000000372529</v>
      </c>
    </row>
    <row r="10" spans="1:18" ht="12">
      <c r="A10" s="985">
        <v>1140</v>
      </c>
      <c r="B10" s="984" t="s">
        <v>2647</v>
      </c>
      <c r="C10" s="975" t="s">
        <v>286</v>
      </c>
      <c r="D10" s="401"/>
      <c r="E10" s="980"/>
      <c r="F10" s="980"/>
      <c r="G10" s="401" t="str">
        <f t="shared" si="8"/>
        <v/>
      </c>
      <c r="H10" s="401" t="str">
        <f t="shared" si="9"/>
        <v/>
      </c>
      <c r="I10" s="401">
        <f t="shared" si="10"/>
        <v>1140</v>
      </c>
      <c r="J10" s="981" t="str">
        <f t="shared" si="11"/>
        <v>Remuneraciones por adscripción laboral en el extranjero</v>
      </c>
      <c r="K10" s="338">
        <f t="shared" si="0"/>
        <v>0</v>
      </c>
      <c r="L10" s="338">
        <f t="shared" si="1"/>
        <v>0</v>
      </c>
      <c r="M10" s="338">
        <f t="shared" si="2"/>
        <v>0</v>
      </c>
      <c r="N10" s="338">
        <f t="shared" si="3"/>
        <v>0</v>
      </c>
      <c r="O10" s="338">
        <f t="shared" si="4"/>
        <v>0</v>
      </c>
      <c r="P10" s="338">
        <f t="shared" si="5"/>
        <v>0</v>
      </c>
      <c r="Q10" s="338">
        <f t="shared" si="6"/>
        <v>0</v>
      </c>
      <c r="R10" s="338">
        <f t="shared" si="7"/>
        <v>0</v>
      </c>
    </row>
    <row r="11" spans="1:18">
      <c r="A11" s="229">
        <v>1200</v>
      </c>
      <c r="B11" s="230" t="s">
        <v>186</v>
      </c>
      <c r="C11" s="975" t="s">
        <v>286</v>
      </c>
      <c r="D11" s="401"/>
      <c r="E11" s="980"/>
      <c r="F11" s="980"/>
      <c r="G11" s="401" t="str">
        <f t="shared" si="8"/>
        <v/>
      </c>
      <c r="H11" s="401">
        <f t="shared" si="9"/>
        <v>1200</v>
      </c>
      <c r="I11" s="401" t="str">
        <f t="shared" si="10"/>
        <v/>
      </c>
      <c r="J11" s="981" t="str">
        <f t="shared" si="11"/>
        <v>Remuneraciones al personal de carácter transitorio</v>
      </c>
      <c r="K11" s="338">
        <f t="shared" si="0"/>
        <v>2515531.8199999998</v>
      </c>
      <c r="L11" s="338">
        <f t="shared" si="1"/>
        <v>4005.6199999999953</v>
      </c>
      <c r="M11" s="338">
        <f t="shared" si="2"/>
        <v>2519537.44</v>
      </c>
      <c r="N11" s="338">
        <f t="shared" si="3"/>
        <v>2519537.44</v>
      </c>
      <c r="O11" s="338">
        <f t="shared" si="4"/>
        <v>2519537.44</v>
      </c>
      <c r="P11" s="338">
        <f t="shared" si="5"/>
        <v>2519537.44</v>
      </c>
      <c r="Q11" s="338">
        <f t="shared" si="6"/>
        <v>2519537.44</v>
      </c>
      <c r="R11" s="338">
        <f t="shared" si="7"/>
        <v>0</v>
      </c>
    </row>
    <row r="12" spans="1:18" ht="12">
      <c r="A12" s="985">
        <v>1210</v>
      </c>
      <c r="B12" s="984" t="s">
        <v>2648</v>
      </c>
      <c r="C12" s="975" t="s">
        <v>286</v>
      </c>
      <c r="D12" s="401"/>
      <c r="E12" s="980"/>
      <c r="F12" s="980"/>
      <c r="G12" s="401" t="str">
        <f t="shared" si="8"/>
        <v/>
      </c>
      <c r="H12" s="401" t="str">
        <f t="shared" si="9"/>
        <v/>
      </c>
      <c r="I12" s="401">
        <f t="shared" si="10"/>
        <v>1210</v>
      </c>
      <c r="J12" s="981" t="str">
        <f t="shared" si="11"/>
        <v>Honorarios asimilables a salarios</v>
      </c>
      <c r="K12" s="338">
        <f t="shared" si="0"/>
        <v>2515531.8199999998</v>
      </c>
      <c r="L12" s="338">
        <f t="shared" si="1"/>
        <v>4005.6199999999953</v>
      </c>
      <c r="M12" s="338">
        <f t="shared" si="2"/>
        <v>2519537.44</v>
      </c>
      <c r="N12" s="338">
        <f t="shared" si="3"/>
        <v>2519537.44</v>
      </c>
      <c r="O12" s="338">
        <f t="shared" si="4"/>
        <v>2519537.44</v>
      </c>
      <c r="P12" s="338">
        <f t="shared" si="5"/>
        <v>2519537.44</v>
      </c>
      <c r="Q12" s="338">
        <f t="shared" si="6"/>
        <v>2519537.44</v>
      </c>
      <c r="R12" s="338">
        <f t="shared" si="7"/>
        <v>0</v>
      </c>
    </row>
    <row r="13" spans="1:18" ht="12">
      <c r="A13" s="985">
        <v>1220</v>
      </c>
      <c r="B13" s="984" t="s">
        <v>2649</v>
      </c>
      <c r="C13" s="975" t="s">
        <v>286</v>
      </c>
      <c r="D13" s="401"/>
      <c r="E13" s="980"/>
      <c r="F13" s="980"/>
      <c r="G13" s="401" t="str">
        <f t="shared" si="8"/>
        <v/>
      </c>
      <c r="H13" s="401" t="str">
        <f t="shared" si="9"/>
        <v/>
      </c>
      <c r="I13" s="401">
        <f t="shared" si="10"/>
        <v>1220</v>
      </c>
      <c r="J13" s="981" t="str">
        <f t="shared" si="11"/>
        <v>Sueldos base al personal eventual</v>
      </c>
      <c r="K13" s="338">
        <f t="shared" si="0"/>
        <v>0</v>
      </c>
      <c r="L13" s="338">
        <f t="shared" si="1"/>
        <v>0</v>
      </c>
      <c r="M13" s="338">
        <f t="shared" si="2"/>
        <v>0</v>
      </c>
      <c r="N13" s="338">
        <f t="shared" si="3"/>
        <v>0</v>
      </c>
      <c r="O13" s="338">
        <f t="shared" si="4"/>
        <v>0</v>
      </c>
      <c r="P13" s="338">
        <f t="shared" si="5"/>
        <v>0</v>
      </c>
      <c r="Q13" s="338">
        <f t="shared" si="6"/>
        <v>0</v>
      </c>
      <c r="R13" s="338">
        <f t="shared" si="7"/>
        <v>0</v>
      </c>
    </row>
    <row r="14" spans="1:18" ht="12">
      <c r="A14" s="985">
        <v>1230</v>
      </c>
      <c r="B14" s="984" t="s">
        <v>2650</v>
      </c>
      <c r="C14" s="975" t="s">
        <v>286</v>
      </c>
      <c r="D14" s="401"/>
      <c r="E14" s="980"/>
      <c r="F14" s="980"/>
      <c r="G14" s="401" t="str">
        <f t="shared" si="8"/>
        <v/>
      </c>
      <c r="H14" s="401" t="str">
        <f t="shared" si="9"/>
        <v/>
      </c>
      <c r="I14" s="401">
        <f t="shared" si="10"/>
        <v>1230</v>
      </c>
      <c r="J14" s="981" t="str">
        <f t="shared" si="11"/>
        <v>Retribuciones por servicios de carácter social</v>
      </c>
      <c r="K14" s="338">
        <f t="shared" si="0"/>
        <v>0</v>
      </c>
      <c r="L14" s="338">
        <f t="shared" si="1"/>
        <v>0</v>
      </c>
      <c r="M14" s="338">
        <f t="shared" si="2"/>
        <v>0</v>
      </c>
      <c r="N14" s="338">
        <f t="shared" si="3"/>
        <v>0</v>
      </c>
      <c r="O14" s="338">
        <f t="shared" si="4"/>
        <v>0</v>
      </c>
      <c r="P14" s="338">
        <f t="shared" si="5"/>
        <v>0</v>
      </c>
      <c r="Q14" s="338">
        <f t="shared" si="6"/>
        <v>0</v>
      </c>
      <c r="R14" s="338">
        <f t="shared" si="7"/>
        <v>0</v>
      </c>
    </row>
    <row r="15" spans="1:18" ht="12">
      <c r="A15" s="985">
        <v>1240</v>
      </c>
      <c r="B15" s="984" t="s">
        <v>2651</v>
      </c>
      <c r="C15" s="975" t="s">
        <v>286</v>
      </c>
      <c r="D15" s="401"/>
      <c r="E15" s="980"/>
      <c r="F15" s="980"/>
      <c r="G15" s="401" t="str">
        <f t="shared" si="8"/>
        <v/>
      </c>
      <c r="H15" s="401" t="str">
        <f t="shared" si="9"/>
        <v/>
      </c>
      <c r="I15" s="401">
        <f t="shared" si="10"/>
        <v>1240</v>
      </c>
      <c r="J15" s="981" t="str">
        <f t="shared" si="11"/>
        <v>Retribución a los representantes de los trabajadores y de los patrones en la Junta de Conciliación y Arbitraje</v>
      </c>
      <c r="K15" s="338">
        <f t="shared" si="0"/>
        <v>0</v>
      </c>
      <c r="L15" s="338">
        <f t="shared" si="1"/>
        <v>0</v>
      </c>
      <c r="M15" s="338">
        <f t="shared" si="2"/>
        <v>0</v>
      </c>
      <c r="N15" s="338">
        <f t="shared" si="3"/>
        <v>0</v>
      </c>
      <c r="O15" s="338">
        <f t="shared" si="4"/>
        <v>0</v>
      </c>
      <c r="P15" s="338">
        <f t="shared" si="5"/>
        <v>0</v>
      </c>
      <c r="Q15" s="338">
        <f t="shared" si="6"/>
        <v>0</v>
      </c>
      <c r="R15" s="338">
        <f t="shared" si="7"/>
        <v>0</v>
      </c>
    </row>
    <row r="16" spans="1:18">
      <c r="A16" s="229">
        <v>1300</v>
      </c>
      <c r="B16" s="230" t="s">
        <v>187</v>
      </c>
      <c r="C16" s="975" t="s">
        <v>286</v>
      </c>
      <c r="D16" s="401"/>
      <c r="E16" s="980"/>
      <c r="F16" s="980"/>
      <c r="G16" s="401" t="str">
        <f t="shared" si="8"/>
        <v/>
      </c>
      <c r="H16" s="401">
        <f t="shared" si="9"/>
        <v>1300</v>
      </c>
      <c r="I16" s="401" t="str">
        <f t="shared" si="10"/>
        <v/>
      </c>
      <c r="J16" s="981" t="str">
        <f t="shared" si="11"/>
        <v>Remuneraciones adicionales y especiales</v>
      </c>
      <c r="K16" s="338">
        <f t="shared" si="0"/>
        <v>6724763.9299999988</v>
      </c>
      <c r="L16" s="338">
        <f t="shared" si="1"/>
        <v>1004115.9099999999</v>
      </c>
      <c r="M16" s="338">
        <f t="shared" si="2"/>
        <v>7728879.8399999989</v>
      </c>
      <c r="N16" s="338">
        <f t="shared" si="3"/>
        <v>7728879.8399999999</v>
      </c>
      <c r="O16" s="338">
        <f t="shared" si="4"/>
        <v>7728879.8399999999</v>
      </c>
      <c r="P16" s="338">
        <f t="shared" si="5"/>
        <v>7728879.8399999999</v>
      </c>
      <c r="Q16" s="338">
        <f t="shared" si="6"/>
        <v>7728879.8399999999</v>
      </c>
      <c r="R16" s="338">
        <f t="shared" si="7"/>
        <v>0</v>
      </c>
    </row>
    <row r="17" spans="1:18" ht="12">
      <c r="A17" s="985">
        <v>1310</v>
      </c>
      <c r="B17" s="984" t="s">
        <v>2652</v>
      </c>
      <c r="C17" s="975" t="s">
        <v>286</v>
      </c>
      <c r="D17" s="401"/>
      <c r="E17" s="980"/>
      <c r="F17" s="980"/>
      <c r="G17" s="401" t="str">
        <f t="shared" si="8"/>
        <v/>
      </c>
      <c r="H17" s="401" t="str">
        <f t="shared" si="9"/>
        <v/>
      </c>
      <c r="I17" s="401">
        <f t="shared" si="10"/>
        <v>1310</v>
      </c>
      <c r="J17" s="981" t="str">
        <f t="shared" si="11"/>
        <v>Primas por años de servicios efectivos prestados</v>
      </c>
      <c r="K17" s="338">
        <f t="shared" si="0"/>
        <v>34409.5</v>
      </c>
      <c r="L17" s="338">
        <f t="shared" si="1"/>
        <v>-1030.9600000000003</v>
      </c>
      <c r="M17" s="338">
        <f t="shared" si="2"/>
        <v>33378.54</v>
      </c>
      <c r="N17" s="338">
        <f t="shared" si="3"/>
        <v>33378.54</v>
      </c>
      <c r="O17" s="338">
        <f t="shared" si="4"/>
        <v>33378.54</v>
      </c>
      <c r="P17" s="338">
        <f t="shared" si="5"/>
        <v>33378.54</v>
      </c>
      <c r="Q17" s="338">
        <f t="shared" si="6"/>
        <v>33378.54</v>
      </c>
      <c r="R17" s="338">
        <f t="shared" si="7"/>
        <v>0</v>
      </c>
    </row>
    <row r="18" spans="1:18" ht="12">
      <c r="A18" s="985">
        <v>1320</v>
      </c>
      <c r="B18" s="984" t="s">
        <v>2653</v>
      </c>
      <c r="C18" s="975" t="s">
        <v>286</v>
      </c>
      <c r="D18" s="401"/>
      <c r="E18" s="980"/>
      <c r="F18" s="980"/>
      <c r="G18" s="401" t="str">
        <f t="shared" si="8"/>
        <v/>
      </c>
      <c r="H18" s="401" t="str">
        <f t="shared" si="9"/>
        <v/>
      </c>
      <c r="I18" s="401">
        <f t="shared" si="10"/>
        <v>1320</v>
      </c>
      <c r="J18" s="981" t="str">
        <f t="shared" si="11"/>
        <v>Primas de vacaciones, dominical y gratificación de fin de año</v>
      </c>
      <c r="K18" s="338">
        <f t="shared" si="0"/>
        <v>6545379.3499999987</v>
      </c>
      <c r="L18" s="338">
        <f t="shared" si="1"/>
        <v>820975.93</v>
      </c>
      <c r="M18" s="338">
        <f t="shared" si="2"/>
        <v>7366355.2799999984</v>
      </c>
      <c r="N18" s="338">
        <f t="shared" si="3"/>
        <v>7366355.2800000012</v>
      </c>
      <c r="O18" s="338">
        <f t="shared" si="4"/>
        <v>7366355.2800000012</v>
      </c>
      <c r="P18" s="338">
        <f t="shared" si="5"/>
        <v>7366355.2800000012</v>
      </c>
      <c r="Q18" s="338">
        <f t="shared" si="6"/>
        <v>7366355.2800000012</v>
      </c>
      <c r="R18" s="338">
        <f t="shared" si="7"/>
        <v>0</v>
      </c>
    </row>
    <row r="19" spans="1:18" ht="12">
      <c r="A19" s="985">
        <v>1330</v>
      </c>
      <c r="B19" s="984" t="s">
        <v>2654</v>
      </c>
      <c r="C19" s="975" t="s">
        <v>286</v>
      </c>
      <c r="D19" s="401"/>
      <c r="E19" s="980"/>
      <c r="F19" s="980"/>
      <c r="G19" s="401" t="str">
        <f t="shared" si="8"/>
        <v/>
      </c>
      <c r="H19" s="401" t="str">
        <f t="shared" si="9"/>
        <v/>
      </c>
      <c r="I19" s="401">
        <f t="shared" si="10"/>
        <v>1330</v>
      </c>
      <c r="J19" s="981" t="str">
        <f t="shared" si="11"/>
        <v>Horas extraordinarias</v>
      </c>
      <c r="K19" s="338">
        <f t="shared" si="0"/>
        <v>0</v>
      </c>
      <c r="L19" s="338">
        <f t="shared" si="1"/>
        <v>0</v>
      </c>
      <c r="M19" s="338">
        <f t="shared" si="2"/>
        <v>0</v>
      </c>
      <c r="N19" s="338">
        <f t="shared" si="3"/>
        <v>0</v>
      </c>
      <c r="O19" s="338">
        <f t="shared" si="4"/>
        <v>0</v>
      </c>
      <c r="P19" s="338">
        <f t="shared" si="5"/>
        <v>0</v>
      </c>
      <c r="Q19" s="338">
        <f t="shared" si="6"/>
        <v>0</v>
      </c>
      <c r="R19" s="338">
        <f t="shared" si="7"/>
        <v>0</v>
      </c>
    </row>
    <row r="20" spans="1:18" ht="12">
      <c r="A20" s="985">
        <v>1340</v>
      </c>
      <c r="B20" s="984" t="s">
        <v>2655</v>
      </c>
      <c r="C20" s="975" t="s">
        <v>286</v>
      </c>
      <c r="D20" s="401"/>
      <c r="E20" s="980"/>
      <c r="F20" s="980"/>
      <c r="G20" s="401" t="str">
        <f t="shared" si="8"/>
        <v/>
      </c>
      <c r="H20" s="401" t="str">
        <f t="shared" si="9"/>
        <v/>
      </c>
      <c r="I20" s="401">
        <f t="shared" si="10"/>
        <v>1340</v>
      </c>
      <c r="J20" s="981" t="str">
        <f t="shared" si="11"/>
        <v>Compensaciones</v>
      </c>
      <c r="K20" s="338">
        <f t="shared" si="0"/>
        <v>144975.08000000002</v>
      </c>
      <c r="L20" s="338">
        <f t="shared" si="1"/>
        <v>184170.94</v>
      </c>
      <c r="M20" s="338">
        <f t="shared" si="2"/>
        <v>329146.02</v>
      </c>
      <c r="N20" s="338">
        <f t="shared" si="3"/>
        <v>329146.02</v>
      </c>
      <c r="O20" s="338">
        <f t="shared" si="4"/>
        <v>329146.02</v>
      </c>
      <c r="P20" s="338">
        <f t="shared" si="5"/>
        <v>329146.02</v>
      </c>
      <c r="Q20" s="338">
        <f t="shared" si="6"/>
        <v>329146.02</v>
      </c>
      <c r="R20" s="338">
        <f t="shared" si="7"/>
        <v>0</v>
      </c>
    </row>
    <row r="21" spans="1:18" ht="12">
      <c r="A21" s="985">
        <v>1350</v>
      </c>
      <c r="B21" s="984" t="s">
        <v>2656</v>
      </c>
      <c r="C21" s="975" t="s">
        <v>286</v>
      </c>
      <c r="D21" s="401"/>
      <c r="E21" s="980"/>
      <c r="F21" s="980"/>
      <c r="G21" s="401" t="str">
        <f t="shared" si="8"/>
        <v/>
      </c>
      <c r="H21" s="401" t="str">
        <f t="shared" si="9"/>
        <v/>
      </c>
      <c r="I21" s="401">
        <f t="shared" si="10"/>
        <v>1350</v>
      </c>
      <c r="J21" s="981" t="str">
        <f t="shared" si="11"/>
        <v>Sobrehaberes</v>
      </c>
      <c r="K21" s="338">
        <f t="shared" si="0"/>
        <v>0</v>
      </c>
      <c r="L21" s="338">
        <f t="shared" si="1"/>
        <v>0</v>
      </c>
      <c r="M21" s="338">
        <f t="shared" si="2"/>
        <v>0</v>
      </c>
      <c r="N21" s="338">
        <f t="shared" si="3"/>
        <v>0</v>
      </c>
      <c r="O21" s="338">
        <f t="shared" si="4"/>
        <v>0</v>
      </c>
      <c r="P21" s="338">
        <f t="shared" si="5"/>
        <v>0</v>
      </c>
      <c r="Q21" s="338">
        <f t="shared" si="6"/>
        <v>0</v>
      </c>
      <c r="R21" s="338">
        <f t="shared" si="7"/>
        <v>0</v>
      </c>
    </row>
    <row r="22" spans="1:18" ht="12">
      <c r="A22" s="985">
        <v>1360</v>
      </c>
      <c r="B22" s="984" t="s">
        <v>2657</v>
      </c>
      <c r="C22" s="975" t="s">
        <v>286</v>
      </c>
      <c r="D22" s="401"/>
      <c r="E22" s="980"/>
      <c r="F22" s="980"/>
      <c r="G22" s="401" t="str">
        <f t="shared" si="8"/>
        <v/>
      </c>
      <c r="H22" s="401" t="str">
        <f t="shared" si="9"/>
        <v/>
      </c>
      <c r="I22" s="401">
        <f t="shared" si="10"/>
        <v>1360</v>
      </c>
      <c r="J22" s="981" t="str">
        <f t="shared" si="11"/>
        <v>Asignaciones de técnico, de mando, por comisión, de vuelo y de técnico especial</v>
      </c>
      <c r="K22" s="338">
        <f t="shared" si="0"/>
        <v>0</v>
      </c>
      <c r="L22" s="338">
        <f t="shared" si="1"/>
        <v>0</v>
      </c>
      <c r="M22" s="338">
        <f t="shared" si="2"/>
        <v>0</v>
      </c>
      <c r="N22" s="338">
        <f t="shared" si="3"/>
        <v>0</v>
      </c>
      <c r="O22" s="338">
        <f t="shared" si="4"/>
        <v>0</v>
      </c>
      <c r="P22" s="338">
        <f t="shared" si="5"/>
        <v>0</v>
      </c>
      <c r="Q22" s="338">
        <f t="shared" si="6"/>
        <v>0</v>
      </c>
      <c r="R22" s="338">
        <f t="shared" si="7"/>
        <v>0</v>
      </c>
    </row>
    <row r="23" spans="1:18" ht="12">
      <c r="A23" s="985">
        <v>1370</v>
      </c>
      <c r="B23" s="984" t="s">
        <v>2658</v>
      </c>
      <c r="C23" s="975" t="s">
        <v>286</v>
      </c>
      <c r="D23" s="401"/>
      <c r="E23" s="980"/>
      <c r="F23" s="980"/>
      <c r="G23" s="401" t="str">
        <f t="shared" si="8"/>
        <v/>
      </c>
      <c r="H23" s="401" t="str">
        <f t="shared" si="9"/>
        <v/>
      </c>
      <c r="I23" s="401">
        <f t="shared" si="10"/>
        <v>1370</v>
      </c>
      <c r="J23" s="981" t="str">
        <f t="shared" si="11"/>
        <v>Honorarios especiales</v>
      </c>
      <c r="K23" s="338">
        <f t="shared" si="0"/>
        <v>0</v>
      </c>
      <c r="L23" s="338">
        <f t="shared" si="1"/>
        <v>0</v>
      </c>
      <c r="M23" s="338">
        <f t="shared" si="2"/>
        <v>0</v>
      </c>
      <c r="N23" s="338">
        <f t="shared" si="3"/>
        <v>0</v>
      </c>
      <c r="O23" s="338">
        <f t="shared" si="4"/>
        <v>0</v>
      </c>
      <c r="P23" s="338">
        <f t="shared" si="5"/>
        <v>0</v>
      </c>
      <c r="Q23" s="338">
        <f t="shared" si="6"/>
        <v>0</v>
      </c>
      <c r="R23" s="338">
        <f t="shared" si="7"/>
        <v>0</v>
      </c>
    </row>
    <row r="24" spans="1:18" ht="12">
      <c r="A24" s="985">
        <v>1380</v>
      </c>
      <c r="B24" s="984" t="s">
        <v>2659</v>
      </c>
      <c r="C24" s="975" t="s">
        <v>286</v>
      </c>
      <c r="D24" s="401"/>
      <c r="E24" s="980"/>
      <c r="F24" s="980"/>
      <c r="G24" s="401" t="str">
        <f t="shared" si="8"/>
        <v/>
      </c>
      <c r="H24" s="401" t="str">
        <f t="shared" si="9"/>
        <v/>
      </c>
      <c r="I24" s="401">
        <f t="shared" si="10"/>
        <v>1380</v>
      </c>
      <c r="J24" s="981" t="str">
        <f t="shared" si="11"/>
        <v>Participaciones por vigilancia en el cumplimiento de las leyes y custodia de valores</v>
      </c>
      <c r="K24" s="338">
        <f t="shared" si="0"/>
        <v>0</v>
      </c>
      <c r="L24" s="338">
        <f t="shared" si="1"/>
        <v>0</v>
      </c>
      <c r="M24" s="338">
        <f t="shared" si="2"/>
        <v>0</v>
      </c>
      <c r="N24" s="338">
        <f t="shared" si="3"/>
        <v>0</v>
      </c>
      <c r="O24" s="338">
        <f t="shared" si="4"/>
        <v>0</v>
      </c>
      <c r="P24" s="338">
        <f t="shared" si="5"/>
        <v>0</v>
      </c>
      <c r="Q24" s="338">
        <f t="shared" si="6"/>
        <v>0</v>
      </c>
      <c r="R24" s="338">
        <f t="shared" si="7"/>
        <v>0</v>
      </c>
    </row>
    <row r="25" spans="1:18">
      <c r="A25" s="229">
        <v>1400</v>
      </c>
      <c r="B25" s="230" t="s">
        <v>259</v>
      </c>
      <c r="C25" s="975" t="s">
        <v>286</v>
      </c>
      <c r="D25" s="401"/>
      <c r="E25" s="980"/>
      <c r="F25" s="980"/>
      <c r="G25" s="401" t="str">
        <f t="shared" si="8"/>
        <v/>
      </c>
      <c r="H25" s="401">
        <f t="shared" si="9"/>
        <v>1400</v>
      </c>
      <c r="I25" s="401" t="str">
        <f t="shared" si="10"/>
        <v/>
      </c>
      <c r="J25" s="981" t="str">
        <f t="shared" si="11"/>
        <v>Seguridad Social</v>
      </c>
      <c r="K25" s="338">
        <f t="shared" si="0"/>
        <v>4747500.33</v>
      </c>
      <c r="L25" s="338">
        <f t="shared" si="1"/>
        <v>-144275.09000000017</v>
      </c>
      <c r="M25" s="338">
        <f t="shared" si="2"/>
        <v>4603225.24</v>
      </c>
      <c r="N25" s="338">
        <f t="shared" si="3"/>
        <v>4603225.24</v>
      </c>
      <c r="O25" s="338">
        <f t="shared" si="4"/>
        <v>4603225.24</v>
      </c>
      <c r="P25" s="338">
        <f t="shared" si="5"/>
        <v>4603225.24</v>
      </c>
      <c r="Q25" s="338">
        <f t="shared" si="6"/>
        <v>4603225.24</v>
      </c>
      <c r="R25" s="338">
        <f t="shared" si="7"/>
        <v>0</v>
      </c>
    </row>
    <row r="26" spans="1:18" ht="12">
      <c r="A26" s="985">
        <v>1410</v>
      </c>
      <c r="B26" s="984" t="s">
        <v>2660</v>
      </c>
      <c r="C26" s="975" t="s">
        <v>286</v>
      </c>
      <c r="D26" s="401"/>
      <c r="E26" s="980"/>
      <c r="F26" s="980"/>
      <c r="G26" s="401" t="str">
        <f t="shared" si="8"/>
        <v/>
      </c>
      <c r="H26" s="401" t="str">
        <f t="shared" si="9"/>
        <v/>
      </c>
      <c r="I26" s="401">
        <f t="shared" si="10"/>
        <v>1410</v>
      </c>
      <c r="J26" s="981" t="str">
        <f t="shared" si="11"/>
        <v>Aportaciones de seguridad social</v>
      </c>
      <c r="K26" s="338">
        <f t="shared" si="0"/>
        <v>4232598.1099999994</v>
      </c>
      <c r="L26" s="338">
        <f t="shared" si="1"/>
        <v>100825.6399999999</v>
      </c>
      <c r="M26" s="338">
        <f t="shared" si="2"/>
        <v>4333423.7499999991</v>
      </c>
      <c r="N26" s="338">
        <f t="shared" si="3"/>
        <v>4333423.75</v>
      </c>
      <c r="O26" s="338">
        <f t="shared" si="4"/>
        <v>4333423.75</v>
      </c>
      <c r="P26" s="338">
        <f t="shared" si="5"/>
        <v>4333423.75</v>
      </c>
      <c r="Q26" s="338">
        <f t="shared" si="6"/>
        <v>4333423.75</v>
      </c>
      <c r="R26" s="338">
        <f t="shared" si="7"/>
        <v>0</v>
      </c>
    </row>
    <row r="27" spans="1:18" ht="12">
      <c r="A27" s="985">
        <v>1420</v>
      </c>
      <c r="B27" s="984" t="s">
        <v>2661</v>
      </c>
      <c r="C27" s="975" t="s">
        <v>286</v>
      </c>
      <c r="D27" s="401"/>
      <c r="E27" s="980"/>
      <c r="F27" s="980"/>
      <c r="G27" s="401" t="str">
        <f t="shared" si="8"/>
        <v/>
      </c>
      <c r="H27" s="401" t="str">
        <f t="shared" si="9"/>
        <v/>
      </c>
      <c r="I27" s="401">
        <f t="shared" si="10"/>
        <v>1420</v>
      </c>
      <c r="J27" s="981" t="str">
        <f t="shared" si="11"/>
        <v>Aportaciones a fondos de vivienda</v>
      </c>
      <c r="K27" s="338">
        <f t="shared" si="0"/>
        <v>0</v>
      </c>
      <c r="L27" s="338">
        <f t="shared" si="1"/>
        <v>0</v>
      </c>
      <c r="M27" s="338">
        <f t="shared" si="2"/>
        <v>0</v>
      </c>
      <c r="N27" s="338">
        <f t="shared" si="3"/>
        <v>0</v>
      </c>
      <c r="O27" s="338">
        <f t="shared" si="4"/>
        <v>0</v>
      </c>
      <c r="P27" s="338">
        <f t="shared" si="5"/>
        <v>0</v>
      </c>
      <c r="Q27" s="338">
        <f t="shared" si="6"/>
        <v>0</v>
      </c>
      <c r="R27" s="338">
        <f t="shared" si="7"/>
        <v>0</v>
      </c>
    </row>
    <row r="28" spans="1:18" ht="12">
      <c r="A28" s="985">
        <v>1430</v>
      </c>
      <c r="B28" s="984" t="s">
        <v>2662</v>
      </c>
      <c r="C28" s="975" t="s">
        <v>286</v>
      </c>
      <c r="D28" s="401"/>
      <c r="E28" s="980"/>
      <c r="F28" s="980"/>
      <c r="G28" s="401" t="str">
        <f t="shared" si="8"/>
        <v/>
      </c>
      <c r="H28" s="401" t="str">
        <f t="shared" si="9"/>
        <v/>
      </c>
      <c r="I28" s="401">
        <f t="shared" si="10"/>
        <v>1430</v>
      </c>
      <c r="J28" s="981" t="str">
        <f t="shared" si="11"/>
        <v>Aportaciones al sistema para el retiro</v>
      </c>
      <c r="K28" s="338">
        <f t="shared" si="0"/>
        <v>0</v>
      </c>
      <c r="L28" s="338">
        <f t="shared" si="1"/>
        <v>0</v>
      </c>
      <c r="M28" s="338">
        <f t="shared" si="2"/>
        <v>0</v>
      </c>
      <c r="N28" s="338">
        <f t="shared" si="3"/>
        <v>0</v>
      </c>
      <c r="O28" s="338">
        <f t="shared" si="4"/>
        <v>0</v>
      </c>
      <c r="P28" s="338">
        <f t="shared" si="5"/>
        <v>0</v>
      </c>
      <c r="Q28" s="338">
        <f t="shared" si="6"/>
        <v>0</v>
      </c>
      <c r="R28" s="338">
        <f t="shared" si="7"/>
        <v>0</v>
      </c>
    </row>
    <row r="29" spans="1:18" ht="12">
      <c r="A29" s="985">
        <v>1440</v>
      </c>
      <c r="B29" s="984" t="s">
        <v>2663</v>
      </c>
      <c r="C29" s="975" t="s">
        <v>286</v>
      </c>
      <c r="D29" s="401"/>
      <c r="E29" s="980"/>
      <c r="F29" s="980"/>
      <c r="G29" s="401" t="str">
        <f t="shared" si="8"/>
        <v/>
      </c>
      <c r="H29" s="401" t="str">
        <f t="shared" si="9"/>
        <v/>
      </c>
      <c r="I29" s="401">
        <f t="shared" si="10"/>
        <v>1440</v>
      </c>
      <c r="J29" s="981" t="str">
        <f t="shared" si="11"/>
        <v>Aportaciones para seguros</v>
      </c>
      <c r="K29" s="338">
        <f t="shared" si="0"/>
        <v>514902.22</v>
      </c>
      <c r="L29" s="338">
        <f t="shared" si="1"/>
        <v>-245100.73000000007</v>
      </c>
      <c r="M29" s="338">
        <f t="shared" si="2"/>
        <v>269801.48999999987</v>
      </c>
      <c r="N29" s="338">
        <f t="shared" si="3"/>
        <v>269801.49</v>
      </c>
      <c r="O29" s="338">
        <f t="shared" si="4"/>
        <v>269801.49</v>
      </c>
      <c r="P29" s="338">
        <f t="shared" si="5"/>
        <v>269801.49</v>
      </c>
      <c r="Q29" s="338">
        <f t="shared" si="6"/>
        <v>269801.49</v>
      </c>
      <c r="R29" s="338">
        <f t="shared" si="7"/>
        <v>0</v>
      </c>
    </row>
    <row r="30" spans="1:18">
      <c r="A30" s="229">
        <v>1500</v>
      </c>
      <c r="B30" s="230" t="s">
        <v>188</v>
      </c>
      <c r="C30" s="975" t="s">
        <v>286</v>
      </c>
      <c r="D30" s="401"/>
      <c r="E30" s="980"/>
      <c r="F30" s="980"/>
      <c r="G30" s="401" t="str">
        <f t="shared" si="8"/>
        <v/>
      </c>
      <c r="H30" s="401">
        <f t="shared" si="9"/>
        <v>1500</v>
      </c>
      <c r="I30" s="401" t="str">
        <f t="shared" si="10"/>
        <v/>
      </c>
      <c r="J30" s="981" t="str">
        <f t="shared" si="11"/>
        <v>Otras prestaciones sociales y económicas</v>
      </c>
      <c r="K30" s="338">
        <f t="shared" si="0"/>
        <v>29057822.379999999</v>
      </c>
      <c r="L30" s="338">
        <f t="shared" si="1"/>
        <v>5248468.51</v>
      </c>
      <c r="M30" s="338">
        <f t="shared" si="2"/>
        <v>34306290.890000001</v>
      </c>
      <c r="N30" s="338">
        <f t="shared" si="3"/>
        <v>34306290.889999993</v>
      </c>
      <c r="O30" s="338">
        <f t="shared" si="4"/>
        <v>34306290.889999993</v>
      </c>
      <c r="P30" s="338">
        <f t="shared" si="5"/>
        <v>34306290.889999993</v>
      </c>
      <c r="Q30" s="338">
        <f t="shared" si="6"/>
        <v>33120191.039999999</v>
      </c>
      <c r="R30" s="338">
        <f t="shared" si="7"/>
        <v>0</v>
      </c>
    </row>
    <row r="31" spans="1:18" ht="12">
      <c r="A31" s="985">
        <v>1510</v>
      </c>
      <c r="B31" s="984" t="s">
        <v>2664</v>
      </c>
      <c r="C31" s="975" t="s">
        <v>286</v>
      </c>
      <c r="D31" s="401"/>
      <c r="E31" s="980"/>
      <c r="F31" s="980"/>
      <c r="G31" s="401" t="str">
        <f t="shared" si="8"/>
        <v/>
      </c>
      <c r="H31" s="401" t="str">
        <f t="shared" si="9"/>
        <v/>
      </c>
      <c r="I31" s="401">
        <f t="shared" si="10"/>
        <v>1510</v>
      </c>
      <c r="J31" s="981" t="str">
        <f t="shared" si="11"/>
        <v>Cuotas para el fondo de ahorro y fondo de trabajo</v>
      </c>
      <c r="K31" s="338">
        <f t="shared" si="0"/>
        <v>0</v>
      </c>
      <c r="L31" s="338">
        <f t="shared" si="1"/>
        <v>0</v>
      </c>
      <c r="M31" s="338">
        <f t="shared" si="2"/>
        <v>0</v>
      </c>
      <c r="N31" s="338">
        <f t="shared" si="3"/>
        <v>0</v>
      </c>
      <c r="O31" s="338">
        <f t="shared" si="4"/>
        <v>0</v>
      </c>
      <c r="P31" s="338">
        <f t="shared" si="5"/>
        <v>0</v>
      </c>
      <c r="Q31" s="338">
        <f t="shared" si="6"/>
        <v>0</v>
      </c>
      <c r="R31" s="338">
        <f t="shared" si="7"/>
        <v>0</v>
      </c>
    </row>
    <row r="32" spans="1:18" ht="12">
      <c r="A32" s="985">
        <v>1520</v>
      </c>
      <c r="B32" s="984" t="s">
        <v>563</v>
      </c>
      <c r="C32" s="975" t="s">
        <v>286</v>
      </c>
      <c r="D32" s="401"/>
      <c r="E32" s="980"/>
      <c r="F32" s="980"/>
      <c r="G32" s="401" t="str">
        <f t="shared" si="8"/>
        <v/>
      </c>
      <c r="H32" s="401" t="str">
        <f t="shared" si="9"/>
        <v/>
      </c>
      <c r="I32" s="401">
        <f t="shared" si="10"/>
        <v>1520</v>
      </c>
      <c r="J32" s="981" t="str">
        <f t="shared" si="11"/>
        <v>Indemnizaciones</v>
      </c>
      <c r="K32" s="338">
        <f t="shared" si="0"/>
        <v>0</v>
      </c>
      <c r="L32" s="338">
        <f t="shared" si="1"/>
        <v>0</v>
      </c>
      <c r="M32" s="338">
        <f t="shared" si="2"/>
        <v>0</v>
      </c>
      <c r="N32" s="338">
        <f t="shared" si="3"/>
        <v>0</v>
      </c>
      <c r="O32" s="338">
        <f t="shared" si="4"/>
        <v>0</v>
      </c>
      <c r="P32" s="338">
        <f t="shared" si="5"/>
        <v>0</v>
      </c>
      <c r="Q32" s="338">
        <f t="shared" si="6"/>
        <v>0</v>
      </c>
      <c r="R32" s="338">
        <f t="shared" si="7"/>
        <v>0</v>
      </c>
    </row>
    <row r="33" spans="1:18" ht="12">
      <c r="A33" s="985">
        <v>1530</v>
      </c>
      <c r="B33" s="984" t="s">
        <v>2665</v>
      </c>
      <c r="C33" s="975" t="s">
        <v>286</v>
      </c>
      <c r="D33" s="401"/>
      <c r="E33" s="980"/>
      <c r="F33" s="980"/>
      <c r="G33" s="401" t="str">
        <f t="shared" si="8"/>
        <v/>
      </c>
      <c r="H33" s="401" t="str">
        <f t="shared" si="9"/>
        <v/>
      </c>
      <c r="I33" s="401">
        <f t="shared" si="10"/>
        <v>1530</v>
      </c>
      <c r="J33" s="981" t="str">
        <f t="shared" si="11"/>
        <v>Prestaciones y haberes de retiro</v>
      </c>
      <c r="K33" s="338">
        <f t="shared" si="0"/>
        <v>0</v>
      </c>
      <c r="L33" s="338">
        <f t="shared" si="1"/>
        <v>1612956.5999999999</v>
      </c>
      <c r="M33" s="338">
        <f t="shared" si="2"/>
        <v>1612956.5999999999</v>
      </c>
      <c r="N33" s="338">
        <f t="shared" si="3"/>
        <v>1612956.6</v>
      </c>
      <c r="O33" s="338">
        <f t="shared" si="4"/>
        <v>1612956.6</v>
      </c>
      <c r="P33" s="338">
        <f t="shared" si="5"/>
        <v>1612956.6</v>
      </c>
      <c r="Q33" s="338">
        <f t="shared" si="6"/>
        <v>426856.75</v>
      </c>
      <c r="R33" s="338">
        <f t="shared" si="7"/>
        <v>0</v>
      </c>
    </row>
    <row r="34" spans="1:18" ht="12">
      <c r="A34" s="985">
        <v>1540</v>
      </c>
      <c r="B34" s="984" t="s">
        <v>2666</v>
      </c>
      <c r="C34" s="975" t="s">
        <v>286</v>
      </c>
      <c r="D34" s="401"/>
      <c r="E34" s="980"/>
      <c r="F34" s="980"/>
      <c r="G34" s="401" t="str">
        <f t="shared" si="8"/>
        <v/>
      </c>
      <c r="H34" s="401" t="str">
        <f t="shared" si="9"/>
        <v/>
      </c>
      <c r="I34" s="401">
        <f t="shared" si="10"/>
        <v>1540</v>
      </c>
      <c r="J34" s="981" t="str">
        <f t="shared" si="11"/>
        <v>Prestaciones contractuales</v>
      </c>
      <c r="K34" s="338">
        <f t="shared" si="0"/>
        <v>13426284.24</v>
      </c>
      <c r="L34" s="338">
        <f t="shared" si="1"/>
        <v>2132631.12</v>
      </c>
      <c r="M34" s="338">
        <f t="shared" si="2"/>
        <v>15558915.359999999</v>
      </c>
      <c r="N34" s="338">
        <f t="shared" si="3"/>
        <v>15558915.359999999</v>
      </c>
      <c r="O34" s="338">
        <f t="shared" si="4"/>
        <v>15558915.359999999</v>
      </c>
      <c r="P34" s="338">
        <f t="shared" si="5"/>
        <v>15558915.359999999</v>
      </c>
      <c r="Q34" s="338">
        <f t="shared" si="6"/>
        <v>15558915.359999999</v>
      </c>
      <c r="R34" s="338">
        <f t="shared" si="7"/>
        <v>0</v>
      </c>
    </row>
    <row r="35" spans="1:18" ht="12">
      <c r="A35" s="985">
        <v>1550</v>
      </c>
      <c r="B35" s="984" t="s">
        <v>2667</v>
      </c>
      <c r="C35" s="975" t="s">
        <v>286</v>
      </c>
      <c r="D35" s="401"/>
      <c r="E35" s="980"/>
      <c r="F35" s="980"/>
      <c r="G35" s="401" t="str">
        <f t="shared" si="8"/>
        <v/>
      </c>
      <c r="H35" s="401" t="str">
        <f t="shared" si="9"/>
        <v/>
      </c>
      <c r="I35" s="401">
        <f t="shared" si="10"/>
        <v>1550</v>
      </c>
      <c r="J35" s="981" t="str">
        <f t="shared" si="11"/>
        <v>Apoyos a la capacitación de los servidores públicos</v>
      </c>
      <c r="K35" s="338">
        <f t="shared" si="0"/>
        <v>0</v>
      </c>
      <c r="L35" s="338">
        <f t="shared" si="1"/>
        <v>0</v>
      </c>
      <c r="M35" s="338">
        <f t="shared" si="2"/>
        <v>0</v>
      </c>
      <c r="N35" s="338">
        <f t="shared" si="3"/>
        <v>0</v>
      </c>
      <c r="O35" s="338">
        <f t="shared" si="4"/>
        <v>0</v>
      </c>
      <c r="P35" s="338">
        <f t="shared" si="5"/>
        <v>0</v>
      </c>
      <c r="Q35" s="338">
        <f t="shared" si="6"/>
        <v>0</v>
      </c>
      <c r="R35" s="338">
        <f t="shared" si="7"/>
        <v>0</v>
      </c>
    </row>
    <row r="36" spans="1:18" ht="12">
      <c r="A36" s="985">
        <v>1590</v>
      </c>
      <c r="B36" s="984" t="s">
        <v>188</v>
      </c>
      <c r="C36" s="975" t="s">
        <v>286</v>
      </c>
      <c r="D36" s="401"/>
      <c r="E36" s="980"/>
      <c r="F36" s="980"/>
      <c r="G36" s="401" t="str">
        <f t="shared" si="8"/>
        <v/>
      </c>
      <c r="H36" s="401" t="str">
        <f t="shared" si="9"/>
        <v/>
      </c>
      <c r="I36" s="401">
        <f t="shared" si="10"/>
        <v>1590</v>
      </c>
      <c r="J36" s="981" t="str">
        <f t="shared" si="11"/>
        <v>Otras prestaciones sociales y económicas</v>
      </c>
      <c r="K36" s="338">
        <f t="shared" si="0"/>
        <v>15631538.140000002</v>
      </c>
      <c r="L36" s="338">
        <f t="shared" si="1"/>
        <v>1502880.7900000003</v>
      </c>
      <c r="M36" s="338">
        <f t="shared" si="2"/>
        <v>17134418.930000003</v>
      </c>
      <c r="N36" s="338">
        <f t="shared" si="3"/>
        <v>17134418.929999996</v>
      </c>
      <c r="O36" s="338">
        <f t="shared" si="4"/>
        <v>17134418.929999996</v>
      </c>
      <c r="P36" s="338">
        <f t="shared" si="5"/>
        <v>17134418.929999996</v>
      </c>
      <c r="Q36" s="338">
        <f t="shared" si="6"/>
        <v>17134418.929999996</v>
      </c>
      <c r="R36" s="338">
        <f t="shared" si="7"/>
        <v>0</v>
      </c>
    </row>
    <row r="37" spans="1:18">
      <c r="A37" s="229">
        <v>1600</v>
      </c>
      <c r="B37" s="230" t="s">
        <v>260</v>
      </c>
      <c r="C37" s="975" t="s">
        <v>286</v>
      </c>
      <c r="D37" s="401"/>
      <c r="E37" s="980"/>
      <c r="F37" s="980"/>
      <c r="G37" s="401" t="str">
        <f t="shared" si="8"/>
        <v/>
      </c>
      <c r="H37" s="401">
        <f t="shared" si="9"/>
        <v>1600</v>
      </c>
      <c r="I37" s="401" t="str">
        <f t="shared" si="10"/>
        <v/>
      </c>
      <c r="J37" s="981" t="str">
        <f t="shared" si="11"/>
        <v>Previsiones</v>
      </c>
      <c r="K37" s="338">
        <f t="shared" si="0"/>
        <v>1617161.0099999998</v>
      </c>
      <c r="L37" s="338">
        <f t="shared" si="1"/>
        <v>-1617161.0099999998</v>
      </c>
      <c r="M37" s="338">
        <f t="shared" si="2"/>
        <v>0</v>
      </c>
      <c r="N37" s="338">
        <f t="shared" si="3"/>
        <v>0</v>
      </c>
      <c r="O37" s="338">
        <f t="shared" si="4"/>
        <v>0</v>
      </c>
      <c r="P37" s="338">
        <f t="shared" si="5"/>
        <v>0</v>
      </c>
      <c r="Q37" s="338">
        <f t="shared" si="6"/>
        <v>0</v>
      </c>
      <c r="R37" s="338">
        <f t="shared" si="7"/>
        <v>0</v>
      </c>
    </row>
    <row r="38" spans="1:18" ht="12">
      <c r="A38" s="985">
        <v>1610</v>
      </c>
      <c r="B38" s="984" t="s">
        <v>2668</v>
      </c>
      <c r="C38" s="975" t="s">
        <v>286</v>
      </c>
      <c r="D38" s="401"/>
      <c r="E38" s="980"/>
      <c r="F38" s="980"/>
      <c r="G38" s="401" t="str">
        <f t="shared" si="8"/>
        <v/>
      </c>
      <c r="H38" s="401" t="str">
        <f t="shared" si="9"/>
        <v/>
      </c>
      <c r="I38" s="401">
        <f t="shared" si="10"/>
        <v>1610</v>
      </c>
      <c r="J38" s="981" t="str">
        <f t="shared" si="11"/>
        <v>Previsiones de carácter laboral, económica y de seguridad social</v>
      </c>
      <c r="K38" s="338">
        <f t="shared" si="0"/>
        <v>1617161.0099999998</v>
      </c>
      <c r="L38" s="338">
        <f t="shared" si="1"/>
        <v>-1617161.0099999998</v>
      </c>
      <c r="M38" s="338">
        <f t="shared" si="2"/>
        <v>0</v>
      </c>
      <c r="N38" s="338">
        <f t="shared" si="3"/>
        <v>0</v>
      </c>
      <c r="O38" s="338">
        <f t="shared" si="4"/>
        <v>0</v>
      </c>
      <c r="P38" s="338">
        <f t="shared" si="5"/>
        <v>0</v>
      </c>
      <c r="Q38" s="338">
        <f t="shared" si="6"/>
        <v>0</v>
      </c>
      <c r="R38" s="338">
        <f t="shared" si="7"/>
        <v>0</v>
      </c>
    </row>
    <row r="39" spans="1:18">
      <c r="A39" s="229">
        <v>1700</v>
      </c>
      <c r="B39" s="230" t="s">
        <v>189</v>
      </c>
      <c r="C39" s="975" t="s">
        <v>286</v>
      </c>
      <c r="D39" s="401"/>
      <c r="E39" s="980"/>
      <c r="F39" s="980"/>
      <c r="G39" s="401" t="str">
        <f t="shared" si="8"/>
        <v/>
      </c>
      <c r="H39" s="401">
        <f t="shared" si="9"/>
        <v>1700</v>
      </c>
      <c r="I39" s="401" t="str">
        <f t="shared" si="10"/>
        <v/>
      </c>
      <c r="J39" s="981" t="str">
        <f t="shared" si="11"/>
        <v>Pago de estímulos a servidores públicos</v>
      </c>
      <c r="K39" s="338">
        <f t="shared" si="0"/>
        <v>1099382.22</v>
      </c>
      <c r="L39" s="338">
        <f t="shared" si="1"/>
        <v>246145.56000000041</v>
      </c>
      <c r="M39" s="338">
        <f t="shared" si="2"/>
        <v>1345527.7800000003</v>
      </c>
      <c r="N39" s="338">
        <f t="shared" si="3"/>
        <v>1345527.7799999998</v>
      </c>
      <c r="O39" s="338">
        <f t="shared" si="4"/>
        <v>1345527.7799999998</v>
      </c>
      <c r="P39" s="338">
        <f t="shared" si="5"/>
        <v>1345527.7799999998</v>
      </c>
      <c r="Q39" s="338">
        <f t="shared" si="6"/>
        <v>1345527.7799999998</v>
      </c>
      <c r="R39" s="338">
        <f t="shared" si="7"/>
        <v>0</v>
      </c>
    </row>
    <row r="40" spans="1:18" ht="12">
      <c r="A40" s="985">
        <v>1710</v>
      </c>
      <c r="B40" s="984" t="s">
        <v>2669</v>
      </c>
      <c r="C40" s="975" t="s">
        <v>286</v>
      </c>
      <c r="D40" s="401"/>
      <c r="E40" s="980"/>
      <c r="F40" s="980"/>
      <c r="G40" s="401" t="str">
        <f t="shared" si="8"/>
        <v/>
      </c>
      <c r="H40" s="401" t="str">
        <f t="shared" si="9"/>
        <v/>
      </c>
      <c r="I40" s="401">
        <f t="shared" si="10"/>
        <v>1710</v>
      </c>
      <c r="J40" s="981" t="str">
        <f t="shared" si="11"/>
        <v>Estímulos</v>
      </c>
      <c r="K40" s="338">
        <f t="shared" si="0"/>
        <v>1099382.22</v>
      </c>
      <c r="L40" s="338">
        <f t="shared" si="1"/>
        <v>246145.56000000041</v>
      </c>
      <c r="M40" s="338">
        <f t="shared" si="2"/>
        <v>1345527.7800000003</v>
      </c>
      <c r="N40" s="338">
        <f t="shared" si="3"/>
        <v>1345527.7799999998</v>
      </c>
      <c r="O40" s="338">
        <f t="shared" si="4"/>
        <v>1345527.7799999998</v>
      </c>
      <c r="P40" s="338">
        <f t="shared" si="5"/>
        <v>1345527.7799999998</v>
      </c>
      <c r="Q40" s="338">
        <f t="shared" si="6"/>
        <v>1345527.7799999998</v>
      </c>
      <c r="R40" s="338">
        <f t="shared" si="7"/>
        <v>0</v>
      </c>
    </row>
    <row r="41" spans="1:18" ht="12">
      <c r="A41" s="985">
        <v>1720</v>
      </c>
      <c r="B41" s="984" t="s">
        <v>2670</v>
      </c>
      <c r="C41" s="975" t="s">
        <v>286</v>
      </c>
      <c r="D41" s="401"/>
      <c r="E41" s="980"/>
      <c r="F41" s="980"/>
      <c r="G41" s="401" t="str">
        <f t="shared" si="8"/>
        <v/>
      </c>
      <c r="H41" s="401" t="str">
        <f t="shared" si="9"/>
        <v/>
      </c>
      <c r="I41" s="401">
        <f t="shared" si="10"/>
        <v>1720</v>
      </c>
      <c r="J41" s="981" t="str">
        <f t="shared" si="11"/>
        <v>Recompensas</v>
      </c>
      <c r="K41" s="338">
        <f t="shared" si="0"/>
        <v>0</v>
      </c>
      <c r="L41" s="338">
        <f t="shared" si="1"/>
        <v>0</v>
      </c>
      <c r="M41" s="338">
        <f t="shared" si="2"/>
        <v>0</v>
      </c>
      <c r="N41" s="338">
        <f t="shared" si="3"/>
        <v>0</v>
      </c>
      <c r="O41" s="338">
        <f t="shared" si="4"/>
        <v>0</v>
      </c>
      <c r="P41" s="338">
        <f t="shared" si="5"/>
        <v>0</v>
      </c>
      <c r="Q41" s="338">
        <f t="shared" si="6"/>
        <v>0</v>
      </c>
      <c r="R41" s="338">
        <f t="shared" si="7"/>
        <v>0</v>
      </c>
    </row>
    <row r="42" spans="1:18">
      <c r="A42" s="229">
        <v>2000</v>
      </c>
      <c r="B42" s="230" t="s">
        <v>261</v>
      </c>
      <c r="C42" s="975" t="s">
        <v>286</v>
      </c>
      <c r="D42" s="401"/>
      <c r="E42" s="980"/>
      <c r="F42" s="980"/>
      <c r="G42" s="401">
        <f t="shared" si="8"/>
        <v>2000</v>
      </c>
      <c r="H42" s="401" t="str">
        <f t="shared" si="9"/>
        <v/>
      </c>
      <c r="I42" s="401" t="str">
        <f t="shared" si="10"/>
        <v/>
      </c>
      <c r="J42" s="981" t="str">
        <f t="shared" si="11"/>
        <v>MATERIALES Y SUMINISTROS</v>
      </c>
      <c r="K42" s="338">
        <f t="shared" si="0"/>
        <v>2249254.5200000005</v>
      </c>
      <c r="L42" s="338">
        <f t="shared" si="1"/>
        <v>-349815.94999999995</v>
      </c>
      <c r="M42" s="338">
        <f t="shared" si="2"/>
        <v>1899438.5700000005</v>
      </c>
      <c r="N42" s="338">
        <f t="shared" si="3"/>
        <v>1899438.57</v>
      </c>
      <c r="O42" s="338">
        <f t="shared" si="4"/>
        <v>1899438.57</v>
      </c>
      <c r="P42" s="338">
        <f t="shared" si="5"/>
        <v>1899438.57</v>
      </c>
      <c r="Q42" s="338">
        <f t="shared" si="6"/>
        <v>1899438.57</v>
      </c>
      <c r="R42" s="338">
        <f t="shared" si="7"/>
        <v>0</v>
      </c>
    </row>
    <row r="43" spans="1:18">
      <c r="A43" s="229">
        <v>2100</v>
      </c>
      <c r="B43" s="230" t="s">
        <v>190</v>
      </c>
      <c r="C43" s="975" t="s">
        <v>286</v>
      </c>
      <c r="D43" s="401"/>
      <c r="E43" s="980"/>
      <c r="F43" s="980"/>
      <c r="G43" s="401" t="str">
        <f t="shared" si="8"/>
        <v/>
      </c>
      <c r="H43" s="401">
        <f t="shared" si="9"/>
        <v>2100</v>
      </c>
      <c r="I43" s="401" t="str">
        <f t="shared" si="10"/>
        <v/>
      </c>
      <c r="J43" s="981" t="str">
        <f t="shared" si="11"/>
        <v>Materiales de administración, emisión de documentos y artículos oficiales</v>
      </c>
      <c r="K43" s="338">
        <f t="shared" si="0"/>
        <v>1161530.19</v>
      </c>
      <c r="L43" s="338">
        <f t="shared" si="1"/>
        <v>-261198.14999999997</v>
      </c>
      <c r="M43" s="338">
        <f t="shared" si="2"/>
        <v>900332.04</v>
      </c>
      <c r="N43" s="338">
        <f t="shared" si="3"/>
        <v>900332.04</v>
      </c>
      <c r="O43" s="338">
        <f t="shared" si="4"/>
        <v>900332.04</v>
      </c>
      <c r="P43" s="338">
        <f t="shared" si="5"/>
        <v>900332.04</v>
      </c>
      <c r="Q43" s="338">
        <f t="shared" si="6"/>
        <v>900332.04</v>
      </c>
      <c r="R43" s="338">
        <f t="shared" si="7"/>
        <v>0</v>
      </c>
    </row>
    <row r="44" spans="1:18" ht="12">
      <c r="A44" s="985">
        <v>2110</v>
      </c>
      <c r="B44" s="984" t="s">
        <v>2671</v>
      </c>
      <c r="C44" s="975" t="s">
        <v>286</v>
      </c>
      <c r="D44" s="401"/>
      <c r="E44" s="980"/>
      <c r="F44" s="980"/>
      <c r="G44" s="401" t="str">
        <f t="shared" si="8"/>
        <v/>
      </c>
      <c r="H44" s="401" t="str">
        <f t="shared" si="9"/>
        <v/>
      </c>
      <c r="I44" s="401">
        <f t="shared" si="10"/>
        <v>2110</v>
      </c>
      <c r="J44" s="981" t="str">
        <f t="shared" si="11"/>
        <v>Materiales, útiles y equipos menores de oficina</v>
      </c>
      <c r="K44" s="338">
        <f t="shared" si="0"/>
        <v>397592.29</v>
      </c>
      <c r="L44" s="338">
        <f t="shared" si="1"/>
        <v>-116141.26999999999</v>
      </c>
      <c r="M44" s="338">
        <f t="shared" si="2"/>
        <v>281451.02</v>
      </c>
      <c r="N44" s="338">
        <f t="shared" si="3"/>
        <v>281451.02</v>
      </c>
      <c r="O44" s="338">
        <f t="shared" si="4"/>
        <v>281451.02</v>
      </c>
      <c r="P44" s="338">
        <f t="shared" si="5"/>
        <v>281451.02</v>
      </c>
      <c r="Q44" s="338">
        <f t="shared" si="6"/>
        <v>281451.02</v>
      </c>
      <c r="R44" s="338">
        <f t="shared" si="7"/>
        <v>0</v>
      </c>
    </row>
    <row r="45" spans="1:18" ht="12">
      <c r="A45" s="985">
        <v>2120</v>
      </c>
      <c r="B45" s="984" t="s">
        <v>2672</v>
      </c>
      <c r="C45" s="975" t="s">
        <v>286</v>
      </c>
      <c r="D45" s="401"/>
      <c r="E45" s="980"/>
      <c r="F45" s="980"/>
      <c r="G45" s="401" t="str">
        <f t="shared" si="8"/>
        <v/>
      </c>
      <c r="H45" s="401" t="str">
        <f t="shared" si="9"/>
        <v/>
      </c>
      <c r="I45" s="401">
        <f t="shared" si="10"/>
        <v>2120</v>
      </c>
      <c r="J45" s="981" t="str">
        <f t="shared" si="11"/>
        <v>Materiales y útiles de impresión y reproducción</v>
      </c>
      <c r="K45" s="338">
        <f t="shared" si="0"/>
        <v>51500</v>
      </c>
      <c r="L45" s="338">
        <f t="shared" si="1"/>
        <v>-51500</v>
      </c>
      <c r="M45" s="338">
        <f t="shared" si="2"/>
        <v>0</v>
      </c>
      <c r="N45" s="338">
        <f t="shared" si="3"/>
        <v>0</v>
      </c>
      <c r="O45" s="338">
        <f t="shared" si="4"/>
        <v>0</v>
      </c>
      <c r="P45" s="338">
        <f t="shared" si="5"/>
        <v>0</v>
      </c>
      <c r="Q45" s="338">
        <f t="shared" si="6"/>
        <v>0</v>
      </c>
      <c r="R45" s="338">
        <f t="shared" si="7"/>
        <v>0</v>
      </c>
    </row>
    <row r="46" spans="1:18" ht="12">
      <c r="A46" s="985">
        <v>2130</v>
      </c>
      <c r="B46" s="984" t="s">
        <v>2673</v>
      </c>
      <c r="C46" s="975" t="s">
        <v>286</v>
      </c>
      <c r="D46" s="401"/>
      <c r="E46" s="980"/>
      <c r="F46" s="980"/>
      <c r="G46" s="401" t="str">
        <f t="shared" si="8"/>
        <v/>
      </c>
      <c r="H46" s="401" t="str">
        <f t="shared" si="9"/>
        <v/>
      </c>
      <c r="I46" s="401">
        <f t="shared" si="10"/>
        <v>2130</v>
      </c>
      <c r="J46" s="981" t="str">
        <f t="shared" si="11"/>
        <v>Material estadístico y geográfico</v>
      </c>
      <c r="K46" s="338">
        <f t="shared" si="0"/>
        <v>0</v>
      </c>
      <c r="L46" s="338">
        <f t="shared" si="1"/>
        <v>0</v>
      </c>
      <c r="M46" s="338">
        <f t="shared" si="2"/>
        <v>0</v>
      </c>
      <c r="N46" s="338">
        <f t="shared" si="3"/>
        <v>0</v>
      </c>
      <c r="O46" s="338">
        <f t="shared" si="4"/>
        <v>0</v>
      </c>
      <c r="P46" s="338">
        <f t="shared" si="5"/>
        <v>0</v>
      </c>
      <c r="Q46" s="338">
        <f t="shared" si="6"/>
        <v>0</v>
      </c>
      <c r="R46" s="338">
        <f t="shared" si="7"/>
        <v>0</v>
      </c>
    </row>
    <row r="47" spans="1:18" ht="12">
      <c r="A47" s="985">
        <v>2140</v>
      </c>
      <c r="B47" s="984" t="s">
        <v>2674</v>
      </c>
      <c r="C47" s="975" t="s">
        <v>286</v>
      </c>
      <c r="D47" s="401"/>
      <c r="E47" s="980"/>
      <c r="F47" s="980"/>
      <c r="G47" s="401" t="str">
        <f t="shared" si="8"/>
        <v/>
      </c>
      <c r="H47" s="401" t="str">
        <f t="shared" si="9"/>
        <v/>
      </c>
      <c r="I47" s="401">
        <f t="shared" si="10"/>
        <v>2140</v>
      </c>
      <c r="J47" s="981" t="str">
        <f t="shared" si="11"/>
        <v>Materiales, útiles y equipos menores de tecnologías de la información y comunicaciones</v>
      </c>
      <c r="K47" s="338">
        <f t="shared" si="0"/>
        <v>488250.33</v>
      </c>
      <c r="L47" s="338">
        <f t="shared" si="1"/>
        <v>-105120.29999999999</v>
      </c>
      <c r="M47" s="338">
        <f t="shared" si="2"/>
        <v>383130.03</v>
      </c>
      <c r="N47" s="338">
        <f t="shared" si="3"/>
        <v>383130.03</v>
      </c>
      <c r="O47" s="338">
        <f t="shared" si="4"/>
        <v>383130.03</v>
      </c>
      <c r="P47" s="338">
        <f t="shared" si="5"/>
        <v>383130.03</v>
      </c>
      <c r="Q47" s="338">
        <f t="shared" si="6"/>
        <v>383130.03</v>
      </c>
      <c r="R47" s="338">
        <f t="shared" si="7"/>
        <v>0</v>
      </c>
    </row>
    <row r="48" spans="1:18" ht="12">
      <c r="A48" s="985">
        <v>2150</v>
      </c>
      <c r="B48" s="984" t="s">
        <v>2675</v>
      </c>
      <c r="C48" s="975" t="s">
        <v>286</v>
      </c>
      <c r="D48" s="401"/>
      <c r="E48" s="980"/>
      <c r="F48" s="980"/>
      <c r="G48" s="401" t="str">
        <f t="shared" si="8"/>
        <v/>
      </c>
      <c r="H48" s="401" t="str">
        <f t="shared" si="9"/>
        <v/>
      </c>
      <c r="I48" s="401">
        <f t="shared" si="10"/>
        <v>2150</v>
      </c>
      <c r="J48" s="981" t="str">
        <f t="shared" si="11"/>
        <v>Material impreso e información digital</v>
      </c>
      <c r="K48" s="338">
        <f t="shared" si="0"/>
        <v>126996.61</v>
      </c>
      <c r="L48" s="338">
        <f t="shared" si="1"/>
        <v>-49433.609999999986</v>
      </c>
      <c r="M48" s="338">
        <f t="shared" si="2"/>
        <v>77563.000000000015</v>
      </c>
      <c r="N48" s="338">
        <f t="shared" si="3"/>
        <v>77563</v>
      </c>
      <c r="O48" s="338">
        <f t="shared" si="4"/>
        <v>77563</v>
      </c>
      <c r="P48" s="338">
        <f t="shared" si="5"/>
        <v>77563</v>
      </c>
      <c r="Q48" s="338">
        <f t="shared" si="6"/>
        <v>77563</v>
      </c>
      <c r="R48" s="338">
        <f t="shared" si="7"/>
        <v>0</v>
      </c>
    </row>
    <row r="49" spans="1:18" ht="12">
      <c r="A49" s="985">
        <v>2160</v>
      </c>
      <c r="B49" s="984" t="s">
        <v>2676</v>
      </c>
      <c r="C49" s="975" t="s">
        <v>286</v>
      </c>
      <c r="D49" s="401"/>
      <c r="E49" s="980"/>
      <c r="F49" s="980"/>
      <c r="G49" s="401" t="str">
        <f t="shared" si="8"/>
        <v/>
      </c>
      <c r="H49" s="401" t="str">
        <f t="shared" si="9"/>
        <v/>
      </c>
      <c r="I49" s="401">
        <f t="shared" si="10"/>
        <v>2160</v>
      </c>
      <c r="J49" s="981" t="str">
        <f t="shared" si="11"/>
        <v>Material de limpieza</v>
      </c>
      <c r="K49" s="338">
        <f t="shared" si="0"/>
        <v>97190.96</v>
      </c>
      <c r="L49" s="338">
        <f t="shared" si="1"/>
        <v>60997.03</v>
      </c>
      <c r="M49" s="338">
        <f t="shared" si="2"/>
        <v>158187.99</v>
      </c>
      <c r="N49" s="338">
        <f t="shared" si="3"/>
        <v>158187.99</v>
      </c>
      <c r="O49" s="338">
        <f t="shared" si="4"/>
        <v>158187.99</v>
      </c>
      <c r="P49" s="338">
        <f t="shared" si="5"/>
        <v>158187.99</v>
      </c>
      <c r="Q49" s="338">
        <f t="shared" si="6"/>
        <v>158187.99</v>
      </c>
      <c r="R49" s="338">
        <f t="shared" si="7"/>
        <v>0</v>
      </c>
    </row>
    <row r="50" spans="1:18" ht="12">
      <c r="A50" s="985">
        <v>2170</v>
      </c>
      <c r="B50" s="984" t="s">
        <v>2677</v>
      </c>
      <c r="C50" s="975" t="s">
        <v>286</v>
      </c>
      <c r="D50" s="401"/>
      <c r="E50" s="980"/>
      <c r="F50" s="980"/>
      <c r="G50" s="401" t="str">
        <f t="shared" si="8"/>
        <v/>
      </c>
      <c r="H50" s="401" t="str">
        <f t="shared" si="9"/>
        <v/>
      </c>
      <c r="I50" s="401">
        <f t="shared" si="10"/>
        <v>2170</v>
      </c>
      <c r="J50" s="981" t="str">
        <f t="shared" si="11"/>
        <v>Materiales y útiles de enseñanza</v>
      </c>
      <c r="K50" s="338">
        <f t="shared" si="0"/>
        <v>0</v>
      </c>
      <c r="L50" s="338">
        <f t="shared" si="1"/>
        <v>0</v>
      </c>
      <c r="M50" s="338">
        <f t="shared" si="2"/>
        <v>0</v>
      </c>
      <c r="N50" s="338">
        <f t="shared" si="3"/>
        <v>0</v>
      </c>
      <c r="O50" s="338">
        <f t="shared" si="4"/>
        <v>0</v>
      </c>
      <c r="P50" s="338">
        <f t="shared" si="5"/>
        <v>0</v>
      </c>
      <c r="Q50" s="338">
        <f t="shared" si="6"/>
        <v>0</v>
      </c>
      <c r="R50" s="338">
        <f t="shared" si="7"/>
        <v>0</v>
      </c>
    </row>
    <row r="51" spans="1:18" ht="12">
      <c r="A51" s="985">
        <v>2180</v>
      </c>
      <c r="B51" s="984" t="s">
        <v>2678</v>
      </c>
      <c r="C51" s="975" t="s">
        <v>286</v>
      </c>
      <c r="D51" s="401"/>
      <c r="E51" s="980"/>
      <c r="F51" s="980"/>
      <c r="G51" s="401" t="str">
        <f t="shared" si="8"/>
        <v/>
      </c>
      <c r="H51" s="401" t="str">
        <f t="shared" si="9"/>
        <v/>
      </c>
      <c r="I51" s="401">
        <f t="shared" si="10"/>
        <v>2180</v>
      </c>
      <c r="J51" s="981" t="str">
        <f t="shared" si="11"/>
        <v>Materiales para el registro e identificación de bienes y personas</v>
      </c>
      <c r="K51" s="338">
        <f t="shared" si="0"/>
        <v>0</v>
      </c>
      <c r="L51" s="338">
        <f t="shared" si="1"/>
        <v>0</v>
      </c>
      <c r="M51" s="338">
        <f t="shared" si="2"/>
        <v>0</v>
      </c>
      <c r="N51" s="338">
        <f t="shared" si="3"/>
        <v>0</v>
      </c>
      <c r="O51" s="338">
        <f t="shared" si="4"/>
        <v>0</v>
      </c>
      <c r="P51" s="338">
        <f t="shared" si="5"/>
        <v>0</v>
      </c>
      <c r="Q51" s="338">
        <f t="shared" si="6"/>
        <v>0</v>
      </c>
      <c r="R51" s="338">
        <f t="shared" si="7"/>
        <v>0</v>
      </c>
    </row>
    <row r="52" spans="1:18">
      <c r="A52" s="229">
        <v>2200</v>
      </c>
      <c r="B52" s="230" t="s">
        <v>191</v>
      </c>
      <c r="C52" s="975" t="s">
        <v>286</v>
      </c>
      <c r="D52" s="401"/>
      <c r="E52" s="980"/>
      <c r="F52" s="980"/>
      <c r="G52" s="401" t="str">
        <f t="shared" si="8"/>
        <v/>
      </c>
      <c r="H52" s="401">
        <f t="shared" si="9"/>
        <v>2200</v>
      </c>
      <c r="I52" s="401" t="str">
        <f t="shared" si="10"/>
        <v/>
      </c>
      <c r="J52" s="981" t="str">
        <f t="shared" si="11"/>
        <v>Alimentos y utensilios</v>
      </c>
      <c r="K52" s="338">
        <f t="shared" si="0"/>
        <v>33433.71</v>
      </c>
      <c r="L52" s="338">
        <f t="shared" si="1"/>
        <v>-16966.899999999998</v>
      </c>
      <c r="M52" s="338">
        <f t="shared" si="2"/>
        <v>16466.810000000001</v>
      </c>
      <c r="N52" s="338">
        <f t="shared" si="3"/>
        <v>16466.810000000001</v>
      </c>
      <c r="O52" s="338">
        <f t="shared" si="4"/>
        <v>16466.810000000001</v>
      </c>
      <c r="P52" s="338">
        <f t="shared" si="5"/>
        <v>16466.810000000001</v>
      </c>
      <c r="Q52" s="338">
        <f t="shared" si="6"/>
        <v>16466.810000000001</v>
      </c>
      <c r="R52" s="338">
        <f t="shared" si="7"/>
        <v>0</v>
      </c>
    </row>
    <row r="53" spans="1:18" ht="12">
      <c r="A53" s="985">
        <v>2210</v>
      </c>
      <c r="B53" s="984" t="s">
        <v>2679</v>
      </c>
      <c r="C53" s="975" t="s">
        <v>286</v>
      </c>
      <c r="D53" s="401"/>
      <c r="E53" s="980"/>
      <c r="F53" s="980"/>
      <c r="G53" s="401" t="str">
        <f t="shared" si="8"/>
        <v/>
      </c>
      <c r="H53" s="401" t="str">
        <f t="shared" si="9"/>
        <v/>
      </c>
      <c r="I53" s="401">
        <f t="shared" si="10"/>
        <v>2210</v>
      </c>
      <c r="J53" s="981" t="str">
        <f t="shared" si="11"/>
        <v>Productos alimenticios para personas</v>
      </c>
      <c r="K53" s="338">
        <f t="shared" si="0"/>
        <v>33433.71</v>
      </c>
      <c r="L53" s="338">
        <f t="shared" si="1"/>
        <v>-16966.899999999998</v>
      </c>
      <c r="M53" s="338">
        <f t="shared" si="2"/>
        <v>16466.810000000001</v>
      </c>
      <c r="N53" s="338">
        <f t="shared" si="3"/>
        <v>16466.810000000001</v>
      </c>
      <c r="O53" s="338">
        <f t="shared" si="4"/>
        <v>16466.810000000001</v>
      </c>
      <c r="P53" s="338">
        <f t="shared" si="5"/>
        <v>16466.810000000001</v>
      </c>
      <c r="Q53" s="338">
        <f t="shared" si="6"/>
        <v>16466.810000000001</v>
      </c>
      <c r="R53" s="338">
        <f t="shared" si="7"/>
        <v>0</v>
      </c>
    </row>
    <row r="54" spans="1:18" ht="12">
      <c r="A54" s="985">
        <v>2220</v>
      </c>
      <c r="B54" s="984" t="s">
        <v>2680</v>
      </c>
      <c r="C54" s="975" t="s">
        <v>286</v>
      </c>
      <c r="D54" s="401"/>
      <c r="E54" s="980"/>
      <c r="F54" s="980"/>
      <c r="G54" s="401" t="str">
        <f t="shared" si="8"/>
        <v/>
      </c>
      <c r="H54" s="401" t="str">
        <f t="shared" si="9"/>
        <v/>
      </c>
      <c r="I54" s="401">
        <f t="shared" si="10"/>
        <v>2220</v>
      </c>
      <c r="J54" s="981" t="str">
        <f t="shared" si="11"/>
        <v>Productos alimenticios para animales</v>
      </c>
      <c r="K54" s="338">
        <f t="shared" si="0"/>
        <v>0</v>
      </c>
      <c r="L54" s="338">
        <f t="shared" si="1"/>
        <v>0</v>
      </c>
      <c r="M54" s="338">
        <f t="shared" si="2"/>
        <v>0</v>
      </c>
      <c r="N54" s="338">
        <f t="shared" si="3"/>
        <v>0</v>
      </c>
      <c r="O54" s="338">
        <f t="shared" si="4"/>
        <v>0</v>
      </c>
      <c r="P54" s="338">
        <f t="shared" si="5"/>
        <v>0</v>
      </c>
      <c r="Q54" s="338">
        <f t="shared" si="6"/>
        <v>0</v>
      </c>
      <c r="R54" s="338">
        <f t="shared" si="7"/>
        <v>0</v>
      </c>
    </row>
    <row r="55" spans="1:18" ht="12">
      <c r="A55" s="985">
        <v>2230</v>
      </c>
      <c r="B55" s="984" t="s">
        <v>2681</v>
      </c>
      <c r="C55" s="975" t="s">
        <v>286</v>
      </c>
      <c r="D55" s="401"/>
      <c r="E55" s="980"/>
      <c r="F55" s="980"/>
      <c r="G55" s="401" t="str">
        <f t="shared" si="8"/>
        <v/>
      </c>
      <c r="H55" s="401" t="str">
        <f t="shared" si="9"/>
        <v/>
      </c>
      <c r="I55" s="401">
        <f t="shared" si="10"/>
        <v>2230</v>
      </c>
      <c r="J55" s="981" t="str">
        <f t="shared" si="11"/>
        <v>Utensilios para el servicio de alimentación</v>
      </c>
      <c r="K55" s="338">
        <f t="shared" si="0"/>
        <v>0</v>
      </c>
      <c r="L55" s="338">
        <f t="shared" si="1"/>
        <v>0</v>
      </c>
      <c r="M55" s="338">
        <f t="shared" si="2"/>
        <v>0</v>
      </c>
      <c r="N55" s="338">
        <f t="shared" si="3"/>
        <v>0</v>
      </c>
      <c r="O55" s="338">
        <f t="shared" si="4"/>
        <v>0</v>
      </c>
      <c r="P55" s="338">
        <f t="shared" si="5"/>
        <v>0</v>
      </c>
      <c r="Q55" s="338">
        <f t="shared" si="6"/>
        <v>0</v>
      </c>
      <c r="R55" s="338">
        <f t="shared" si="7"/>
        <v>0</v>
      </c>
    </row>
    <row r="56" spans="1:18">
      <c r="A56" s="229">
        <v>2300</v>
      </c>
      <c r="B56" s="230" t="s">
        <v>192</v>
      </c>
      <c r="C56" s="975" t="s">
        <v>286</v>
      </c>
      <c r="D56" s="401"/>
      <c r="E56" s="980"/>
      <c r="F56" s="980"/>
      <c r="G56" s="401" t="str">
        <f t="shared" si="8"/>
        <v/>
      </c>
      <c r="H56" s="401">
        <f t="shared" si="9"/>
        <v>2300</v>
      </c>
      <c r="I56" s="401" t="str">
        <f t="shared" si="10"/>
        <v/>
      </c>
      <c r="J56" s="981" t="str">
        <f t="shared" si="11"/>
        <v>Materias primas y materiales de producción y comercialización</v>
      </c>
      <c r="K56" s="338">
        <f t="shared" si="0"/>
        <v>0</v>
      </c>
      <c r="L56" s="338">
        <f t="shared" si="1"/>
        <v>0</v>
      </c>
      <c r="M56" s="338">
        <f t="shared" si="2"/>
        <v>0</v>
      </c>
      <c r="N56" s="338">
        <f t="shared" si="3"/>
        <v>0</v>
      </c>
      <c r="O56" s="338">
        <f t="shared" si="4"/>
        <v>0</v>
      </c>
      <c r="P56" s="338">
        <f t="shared" si="5"/>
        <v>0</v>
      </c>
      <c r="Q56" s="338">
        <f t="shared" si="6"/>
        <v>0</v>
      </c>
      <c r="R56" s="338">
        <f t="shared" si="7"/>
        <v>0</v>
      </c>
    </row>
    <row r="57" spans="1:18" ht="12">
      <c r="A57" s="985">
        <v>2310</v>
      </c>
      <c r="B57" s="984" t="s">
        <v>2682</v>
      </c>
      <c r="C57" s="975" t="s">
        <v>286</v>
      </c>
      <c r="D57" s="401"/>
      <c r="E57" s="980"/>
      <c r="F57" s="980"/>
      <c r="G57" s="401" t="str">
        <f t="shared" si="8"/>
        <v/>
      </c>
      <c r="H57" s="401" t="str">
        <f t="shared" si="9"/>
        <v/>
      </c>
      <c r="I57" s="401">
        <f t="shared" si="10"/>
        <v>2310</v>
      </c>
      <c r="J57" s="981" t="str">
        <f t="shared" si="11"/>
        <v>Productos alimenticios, agropecuarios y forestales adquiridos como materia prima</v>
      </c>
      <c r="K57" s="338">
        <f t="shared" si="0"/>
        <v>0</v>
      </c>
      <c r="L57" s="338">
        <f t="shared" si="1"/>
        <v>0</v>
      </c>
      <c r="M57" s="338">
        <f t="shared" si="2"/>
        <v>0</v>
      </c>
      <c r="N57" s="338">
        <f t="shared" si="3"/>
        <v>0</v>
      </c>
      <c r="O57" s="338">
        <f t="shared" si="4"/>
        <v>0</v>
      </c>
      <c r="P57" s="338">
        <f t="shared" si="5"/>
        <v>0</v>
      </c>
      <c r="Q57" s="338">
        <f t="shared" si="6"/>
        <v>0</v>
      </c>
      <c r="R57" s="338">
        <f t="shared" si="7"/>
        <v>0</v>
      </c>
    </row>
    <row r="58" spans="1:18" ht="12">
      <c r="A58" s="985">
        <v>2320</v>
      </c>
      <c r="B58" s="984" t="s">
        <v>2683</v>
      </c>
      <c r="C58" s="975" t="s">
        <v>286</v>
      </c>
      <c r="D58" s="401"/>
      <c r="E58" s="980"/>
      <c r="F58" s="980"/>
      <c r="G58" s="401" t="str">
        <f t="shared" si="8"/>
        <v/>
      </c>
      <c r="H58" s="401" t="str">
        <f t="shared" si="9"/>
        <v/>
      </c>
      <c r="I58" s="401">
        <f t="shared" si="10"/>
        <v>2320</v>
      </c>
      <c r="J58" s="981" t="str">
        <f t="shared" si="11"/>
        <v>Insumos textiles adquiridos como materia prima</v>
      </c>
      <c r="K58" s="338">
        <f t="shared" si="0"/>
        <v>0</v>
      </c>
      <c r="L58" s="338">
        <f t="shared" si="1"/>
        <v>0</v>
      </c>
      <c r="M58" s="338">
        <f t="shared" si="2"/>
        <v>0</v>
      </c>
      <c r="N58" s="338">
        <f t="shared" si="3"/>
        <v>0</v>
      </c>
      <c r="O58" s="338">
        <f t="shared" si="4"/>
        <v>0</v>
      </c>
      <c r="P58" s="338">
        <f t="shared" si="5"/>
        <v>0</v>
      </c>
      <c r="Q58" s="338">
        <f t="shared" si="6"/>
        <v>0</v>
      </c>
      <c r="R58" s="338">
        <f t="shared" si="7"/>
        <v>0</v>
      </c>
    </row>
    <row r="59" spans="1:18" ht="12">
      <c r="A59" s="985">
        <v>2330</v>
      </c>
      <c r="B59" s="984" t="s">
        <v>2684</v>
      </c>
      <c r="C59" s="975" t="s">
        <v>286</v>
      </c>
      <c r="D59" s="401"/>
      <c r="E59" s="980"/>
      <c r="F59" s="980"/>
      <c r="G59" s="401" t="str">
        <f t="shared" si="8"/>
        <v/>
      </c>
      <c r="H59" s="401" t="str">
        <f t="shared" si="9"/>
        <v/>
      </c>
      <c r="I59" s="401">
        <f t="shared" si="10"/>
        <v>2330</v>
      </c>
      <c r="J59" s="981" t="str">
        <f t="shared" si="11"/>
        <v>Productos de papel, cartón e impresos adquiridos como materia prima</v>
      </c>
      <c r="K59" s="338">
        <f t="shared" si="0"/>
        <v>0</v>
      </c>
      <c r="L59" s="338">
        <f t="shared" si="1"/>
        <v>0</v>
      </c>
      <c r="M59" s="338">
        <f t="shared" si="2"/>
        <v>0</v>
      </c>
      <c r="N59" s="338">
        <f t="shared" si="3"/>
        <v>0</v>
      </c>
      <c r="O59" s="338">
        <f t="shared" si="4"/>
        <v>0</v>
      </c>
      <c r="P59" s="338">
        <f t="shared" si="5"/>
        <v>0</v>
      </c>
      <c r="Q59" s="338">
        <f t="shared" si="6"/>
        <v>0</v>
      </c>
      <c r="R59" s="338">
        <f t="shared" si="7"/>
        <v>0</v>
      </c>
    </row>
    <row r="60" spans="1:18" ht="12">
      <c r="A60" s="985">
        <v>2340</v>
      </c>
      <c r="B60" s="984" t="s">
        <v>2685</v>
      </c>
      <c r="C60" s="975" t="s">
        <v>286</v>
      </c>
      <c r="D60" s="401"/>
      <c r="E60" s="980"/>
      <c r="F60" s="980"/>
      <c r="G60" s="401" t="str">
        <f t="shared" si="8"/>
        <v/>
      </c>
      <c r="H60" s="401" t="str">
        <f t="shared" si="9"/>
        <v/>
      </c>
      <c r="I60" s="401">
        <f t="shared" si="10"/>
        <v>2340</v>
      </c>
      <c r="J60" s="981" t="str">
        <f t="shared" si="11"/>
        <v>Combustibles, lubricantes, aditivos, carbón y sus derivados adquiridos como materia prima</v>
      </c>
      <c r="K60" s="338">
        <f t="shared" si="0"/>
        <v>0</v>
      </c>
      <c r="L60" s="338">
        <f t="shared" si="1"/>
        <v>0</v>
      </c>
      <c r="M60" s="338">
        <f t="shared" si="2"/>
        <v>0</v>
      </c>
      <c r="N60" s="338">
        <f t="shared" si="3"/>
        <v>0</v>
      </c>
      <c r="O60" s="338">
        <f t="shared" si="4"/>
        <v>0</v>
      </c>
      <c r="P60" s="338">
        <f t="shared" si="5"/>
        <v>0</v>
      </c>
      <c r="Q60" s="338">
        <f t="shared" si="6"/>
        <v>0</v>
      </c>
      <c r="R60" s="338">
        <f t="shared" si="7"/>
        <v>0</v>
      </c>
    </row>
    <row r="61" spans="1:18" ht="12">
      <c r="A61" s="985">
        <v>2350</v>
      </c>
      <c r="B61" s="984" t="s">
        <v>2686</v>
      </c>
      <c r="C61" s="975" t="s">
        <v>286</v>
      </c>
      <c r="D61" s="401"/>
      <c r="E61" s="980"/>
      <c r="F61" s="980"/>
      <c r="G61" s="401" t="str">
        <f t="shared" si="8"/>
        <v/>
      </c>
      <c r="H61" s="401" t="str">
        <f t="shared" si="9"/>
        <v/>
      </c>
      <c r="I61" s="401">
        <f t="shared" si="10"/>
        <v>2350</v>
      </c>
      <c r="J61" s="981" t="str">
        <f t="shared" si="11"/>
        <v>Productos químicos, farmacéuticos y de laboratorio adquiridos como materia prima</v>
      </c>
      <c r="K61" s="338">
        <f t="shared" si="0"/>
        <v>0</v>
      </c>
      <c r="L61" s="338">
        <f t="shared" si="1"/>
        <v>0</v>
      </c>
      <c r="M61" s="338">
        <f t="shared" si="2"/>
        <v>0</v>
      </c>
      <c r="N61" s="338">
        <f t="shared" si="3"/>
        <v>0</v>
      </c>
      <c r="O61" s="338">
        <f t="shared" si="4"/>
        <v>0</v>
      </c>
      <c r="P61" s="338">
        <f t="shared" si="5"/>
        <v>0</v>
      </c>
      <c r="Q61" s="338">
        <f t="shared" si="6"/>
        <v>0</v>
      </c>
      <c r="R61" s="338">
        <f t="shared" si="7"/>
        <v>0</v>
      </c>
    </row>
    <row r="62" spans="1:18" ht="12">
      <c r="A62" s="985">
        <v>2360</v>
      </c>
      <c r="B62" s="984" t="s">
        <v>2687</v>
      </c>
      <c r="C62" s="975" t="s">
        <v>286</v>
      </c>
      <c r="D62" s="401"/>
      <c r="E62" s="980"/>
      <c r="F62" s="980"/>
      <c r="G62" s="401" t="str">
        <f t="shared" si="8"/>
        <v/>
      </c>
      <c r="H62" s="401" t="str">
        <f t="shared" si="9"/>
        <v/>
      </c>
      <c r="I62" s="401">
        <f t="shared" si="10"/>
        <v>2360</v>
      </c>
      <c r="J62" s="981" t="str">
        <f t="shared" si="11"/>
        <v>Productos metálicos y a base de minerales no metálicos adquiridos como materia prima</v>
      </c>
      <c r="K62" s="338">
        <f t="shared" si="0"/>
        <v>0</v>
      </c>
      <c r="L62" s="338">
        <f t="shared" si="1"/>
        <v>0</v>
      </c>
      <c r="M62" s="338">
        <f t="shared" si="2"/>
        <v>0</v>
      </c>
      <c r="N62" s="338">
        <f t="shared" si="3"/>
        <v>0</v>
      </c>
      <c r="O62" s="338">
        <f t="shared" si="4"/>
        <v>0</v>
      </c>
      <c r="P62" s="338">
        <f t="shared" si="5"/>
        <v>0</v>
      </c>
      <c r="Q62" s="338">
        <f t="shared" si="6"/>
        <v>0</v>
      </c>
      <c r="R62" s="338">
        <f t="shared" si="7"/>
        <v>0</v>
      </c>
    </row>
    <row r="63" spans="1:18" ht="12">
      <c r="A63" s="985">
        <v>2370</v>
      </c>
      <c r="B63" s="984" t="s">
        <v>2688</v>
      </c>
      <c r="C63" s="975" t="s">
        <v>286</v>
      </c>
      <c r="D63" s="401"/>
      <c r="E63" s="980"/>
      <c r="F63" s="980"/>
      <c r="G63" s="401" t="str">
        <f t="shared" si="8"/>
        <v/>
      </c>
      <c r="H63" s="401" t="str">
        <f t="shared" si="9"/>
        <v/>
      </c>
      <c r="I63" s="401">
        <f t="shared" si="10"/>
        <v>2370</v>
      </c>
      <c r="J63" s="981" t="str">
        <f t="shared" si="11"/>
        <v>Productos de cuero, piel, plástico y hule adquiridos como materia prima</v>
      </c>
      <c r="K63" s="338">
        <f t="shared" si="0"/>
        <v>0</v>
      </c>
      <c r="L63" s="338">
        <f t="shared" si="1"/>
        <v>0</v>
      </c>
      <c r="M63" s="338">
        <f t="shared" si="2"/>
        <v>0</v>
      </c>
      <c r="N63" s="338">
        <f t="shared" si="3"/>
        <v>0</v>
      </c>
      <c r="O63" s="338">
        <f t="shared" si="4"/>
        <v>0</v>
      </c>
      <c r="P63" s="338">
        <f t="shared" si="5"/>
        <v>0</v>
      </c>
      <c r="Q63" s="338">
        <f t="shared" si="6"/>
        <v>0</v>
      </c>
      <c r="R63" s="338">
        <f t="shared" si="7"/>
        <v>0</v>
      </c>
    </row>
    <row r="64" spans="1:18" ht="12">
      <c r="A64" s="985">
        <v>2380</v>
      </c>
      <c r="B64" s="984" t="s">
        <v>2689</v>
      </c>
      <c r="C64" s="975" t="s">
        <v>286</v>
      </c>
      <c r="D64" s="401"/>
      <c r="E64" s="980"/>
      <c r="F64" s="980"/>
      <c r="G64" s="401" t="str">
        <f t="shared" si="8"/>
        <v/>
      </c>
      <c r="H64" s="401" t="str">
        <f t="shared" si="9"/>
        <v/>
      </c>
      <c r="I64" s="401">
        <f t="shared" si="10"/>
        <v>2380</v>
      </c>
      <c r="J64" s="981" t="str">
        <f t="shared" si="11"/>
        <v>Mercancías adquiridas para su comercialización</v>
      </c>
      <c r="K64" s="338">
        <f t="shared" si="0"/>
        <v>0</v>
      </c>
      <c r="L64" s="338">
        <f t="shared" si="1"/>
        <v>0</v>
      </c>
      <c r="M64" s="338">
        <f t="shared" si="2"/>
        <v>0</v>
      </c>
      <c r="N64" s="338">
        <f t="shared" si="3"/>
        <v>0</v>
      </c>
      <c r="O64" s="338">
        <f t="shared" si="4"/>
        <v>0</v>
      </c>
      <c r="P64" s="338">
        <f t="shared" si="5"/>
        <v>0</v>
      </c>
      <c r="Q64" s="338">
        <f t="shared" si="6"/>
        <v>0</v>
      </c>
      <c r="R64" s="338">
        <f t="shared" si="7"/>
        <v>0</v>
      </c>
    </row>
    <row r="65" spans="1:18" ht="12">
      <c r="A65" s="985">
        <v>2390</v>
      </c>
      <c r="B65" s="984" t="s">
        <v>2690</v>
      </c>
      <c r="C65" s="975" t="s">
        <v>286</v>
      </c>
      <c r="D65" s="401"/>
      <c r="E65" s="980"/>
      <c r="F65" s="980"/>
      <c r="G65" s="401" t="str">
        <f t="shared" si="8"/>
        <v/>
      </c>
      <c r="H65" s="401" t="str">
        <f t="shared" si="9"/>
        <v/>
      </c>
      <c r="I65" s="401">
        <f t="shared" si="10"/>
        <v>2390</v>
      </c>
      <c r="J65" s="981" t="str">
        <f t="shared" si="11"/>
        <v>Otros productos adquiridos como materia prima</v>
      </c>
      <c r="K65" s="338">
        <f t="shared" si="0"/>
        <v>0</v>
      </c>
      <c r="L65" s="338">
        <f t="shared" si="1"/>
        <v>0</v>
      </c>
      <c r="M65" s="338">
        <f t="shared" si="2"/>
        <v>0</v>
      </c>
      <c r="N65" s="338">
        <f t="shared" si="3"/>
        <v>0</v>
      </c>
      <c r="O65" s="338">
        <f t="shared" si="4"/>
        <v>0</v>
      </c>
      <c r="P65" s="338">
        <f t="shared" si="5"/>
        <v>0</v>
      </c>
      <c r="Q65" s="338">
        <f t="shared" si="6"/>
        <v>0</v>
      </c>
      <c r="R65" s="338">
        <f t="shared" si="7"/>
        <v>0</v>
      </c>
    </row>
    <row r="66" spans="1:18">
      <c r="A66" s="229">
        <v>2400</v>
      </c>
      <c r="B66" s="230" t="s">
        <v>193</v>
      </c>
      <c r="C66" s="975" t="s">
        <v>286</v>
      </c>
      <c r="D66" s="401"/>
      <c r="E66" s="980"/>
      <c r="F66" s="980"/>
      <c r="G66" s="401" t="str">
        <f t="shared" si="8"/>
        <v/>
      </c>
      <c r="H66" s="401">
        <f t="shared" si="9"/>
        <v>2400</v>
      </c>
      <c r="I66" s="401" t="str">
        <f t="shared" si="10"/>
        <v/>
      </c>
      <c r="J66" s="981" t="str">
        <f t="shared" si="11"/>
        <v>Materiales y artículos de construcción y de reparación</v>
      </c>
      <c r="K66" s="338">
        <f t="shared" si="0"/>
        <v>77471.66</v>
      </c>
      <c r="L66" s="338">
        <f t="shared" si="1"/>
        <v>-46051.489999999991</v>
      </c>
      <c r="M66" s="338">
        <f t="shared" si="2"/>
        <v>31420.170000000013</v>
      </c>
      <c r="N66" s="338">
        <f t="shared" si="3"/>
        <v>31420.17</v>
      </c>
      <c r="O66" s="338">
        <f t="shared" si="4"/>
        <v>31420.17</v>
      </c>
      <c r="P66" s="338">
        <f t="shared" si="5"/>
        <v>31420.17</v>
      </c>
      <c r="Q66" s="338">
        <f t="shared" si="6"/>
        <v>31420.17</v>
      </c>
      <c r="R66" s="338">
        <f t="shared" si="7"/>
        <v>0</v>
      </c>
    </row>
    <row r="67" spans="1:18" ht="12">
      <c r="A67" s="985">
        <v>2410</v>
      </c>
      <c r="B67" s="984" t="s">
        <v>2691</v>
      </c>
      <c r="C67" s="975" t="s">
        <v>286</v>
      </c>
      <c r="D67" s="401"/>
      <c r="E67" s="980"/>
      <c r="F67" s="980"/>
      <c r="G67" s="401" t="str">
        <f t="shared" si="8"/>
        <v/>
      </c>
      <c r="H67" s="401" t="str">
        <f t="shared" si="9"/>
        <v/>
      </c>
      <c r="I67" s="401">
        <f t="shared" si="10"/>
        <v>2410</v>
      </c>
      <c r="J67" s="981" t="str">
        <f t="shared" si="11"/>
        <v>Productos minerales no metálicos</v>
      </c>
      <c r="K67" s="338">
        <f t="shared" si="0"/>
        <v>0</v>
      </c>
      <c r="L67" s="338">
        <f t="shared" si="1"/>
        <v>0</v>
      </c>
      <c r="M67" s="338">
        <f t="shared" si="2"/>
        <v>0</v>
      </c>
      <c r="N67" s="338">
        <f t="shared" si="3"/>
        <v>0</v>
      </c>
      <c r="O67" s="338">
        <f t="shared" si="4"/>
        <v>0</v>
      </c>
      <c r="P67" s="338">
        <f t="shared" si="5"/>
        <v>0</v>
      </c>
      <c r="Q67" s="338">
        <f t="shared" si="6"/>
        <v>0</v>
      </c>
      <c r="R67" s="338">
        <f t="shared" si="7"/>
        <v>0</v>
      </c>
    </row>
    <row r="68" spans="1:18" ht="12">
      <c r="A68" s="985">
        <v>2420</v>
      </c>
      <c r="B68" s="984" t="s">
        <v>2692</v>
      </c>
      <c r="C68" s="975" t="s">
        <v>286</v>
      </c>
      <c r="D68" s="401"/>
      <c r="E68" s="980"/>
      <c r="F68" s="980"/>
      <c r="G68" s="401" t="str">
        <f t="shared" si="8"/>
        <v/>
      </c>
      <c r="H68" s="401" t="str">
        <f t="shared" si="9"/>
        <v/>
      </c>
      <c r="I68" s="401">
        <f t="shared" si="10"/>
        <v>2420</v>
      </c>
      <c r="J68" s="981" t="str">
        <f t="shared" si="11"/>
        <v>Cemento y productos de concreto</v>
      </c>
      <c r="K68" s="338">
        <f t="shared" si="0"/>
        <v>0</v>
      </c>
      <c r="L68" s="338">
        <f t="shared" si="1"/>
        <v>0</v>
      </c>
      <c r="M68" s="338">
        <f t="shared" si="2"/>
        <v>0</v>
      </c>
      <c r="N68" s="338">
        <f t="shared" si="3"/>
        <v>0</v>
      </c>
      <c r="O68" s="338">
        <f t="shared" si="4"/>
        <v>0</v>
      </c>
      <c r="P68" s="338">
        <f t="shared" si="5"/>
        <v>0</v>
      </c>
      <c r="Q68" s="338">
        <f t="shared" si="6"/>
        <v>0</v>
      </c>
      <c r="R68" s="338">
        <f t="shared" si="7"/>
        <v>0</v>
      </c>
    </row>
    <row r="69" spans="1:18" ht="12">
      <c r="A69" s="985">
        <v>2430</v>
      </c>
      <c r="B69" s="984" t="s">
        <v>2693</v>
      </c>
      <c r="C69" s="975" t="s">
        <v>286</v>
      </c>
      <c r="D69" s="401"/>
      <c r="E69" s="980"/>
      <c r="F69" s="980"/>
      <c r="G69" s="401" t="str">
        <f t="shared" si="8"/>
        <v/>
      </c>
      <c r="H69" s="401" t="str">
        <f t="shared" si="9"/>
        <v/>
      </c>
      <c r="I69" s="401">
        <f t="shared" si="10"/>
        <v>2430</v>
      </c>
      <c r="J69" s="981" t="str">
        <f t="shared" si="11"/>
        <v>Cal, yeso y productos de yeso</v>
      </c>
      <c r="K69" s="338">
        <f t="shared" ref="K69:K132" si="12">IF(MID(A69,2,1)="0",SUMIF(PE_COG,MID(A69,1,1)&amp;"*",PE_A),
IF(AND(MID(A69,2,1)&gt;"0",MID(A69,3,1)="0"),SUMIF(PE_COG,MID(A69,1,2)&amp;"*",PE_A),
IF(MID(A69,3,1)&gt;"0",SUMIF(PE_COG,MID(A69,1,3)&amp;"*",PE_A),"")))</f>
        <v>0</v>
      </c>
      <c r="L69" s="338">
        <f t="shared" ref="L69:L132" si="13">IF(MID(A69,2,1)="0",SUMIF(PE_COG,MID(A69,1,1)&amp;"*",PE_M),
IF(AND(MID(A69,2,1)&gt;"0",MID(A69,3,1)="0"),SUMIF(PE_COG,MID(A69,1,2)&amp;"*",PE_M),
IF(MID(A69,3,1)&gt;"0",SUMIF(PE_COG,MID(A69,1,3)&amp;"*",PE_M),"")))</f>
        <v>0</v>
      </c>
      <c r="M69" s="338">
        <f t="shared" ref="M69:M132" si="14">IF(MID(A69,2,1)="0",SUMIF(PE_COG,MID(A69,1,1)&amp;"*",PE_A),
IF(AND(MID(A69,2,1)&gt;"0",MID(A69,3,1)="0"),SUMIF(PE_COG,MID(A69,1,2)&amp;"*",PE_A),
IF(MID(A69,3,1)&gt;"0",SUMIF(PE_COG,MID(A69,1,3)&amp;"*",PE_A),"")))
+IF(MID(A69,2,1)="0",SUMIF(PE_COG,MID(A69,1,1)&amp;"*",PE_M),
IF(AND(MID(A69,2,1)&gt;"0",MID(A69,3,1)="0"),SUMIF(PE_COG,MID(A69,1,2)&amp;"*",PE_M),
IF(MID(A69,3,1)&gt;"0",SUMIF(PE_COG,MID(A69,1,3)&amp;"*",PE_M),"")))</f>
        <v>0</v>
      </c>
      <c r="N69" s="338">
        <f t="shared" ref="N69:N132" si="15">IF(MID(A69,2,1)="0",SUMIF(PE_COG,MID(A69,1,1)&amp;"*",PE_C),
IF(AND(MID(A69,2,1)&gt;"0",MID(A69,3,1)="0"),SUMIF(PE_COG,MID(A69,1,2)&amp;"*",PE_C),
IF(MID(A69,3,1)&gt;"0",SUMIF(PE_COG,MID(A69,1,3)&amp;"*",PE_C),"")))</f>
        <v>0</v>
      </c>
      <c r="O69" s="338">
        <f t="shared" ref="O69:O132" si="16">IF(MID(A69,2,1)="0",SUMIF(PE_COG,MID(A69,1,1)&amp;"*",PE_D),
IF(AND(MID(A69,2,1)&gt;"0",MID(A69,3,1)="0"),SUMIF(PE_COG,MID(A69,1,2)&amp;"*",PE_D),
IF(MID(A69,3,1)&gt;"0",SUMIF(PE_COG,MID(A69,1,3)&amp;"*",PE_D),"")))</f>
        <v>0</v>
      </c>
      <c r="P69" s="338">
        <f t="shared" ref="P69:P132" si="17">IF(MID(A69,2,1)="0",SUMIF(PE_COG,MID(A69,1,1)&amp;"*",PE_E),
IF(AND(MID(A69,2,1)&gt;"0",MID(A69,3,1)="0"),SUMIF(PE_COG,MID(A69,1,2)&amp;"*",PE_E),
IF(MID(A69,3,1)&gt;"0",SUMIF(PE_COG,MID(A69,1,3)&amp;"*",PE_E),"")))</f>
        <v>0</v>
      </c>
      <c r="Q69" s="338">
        <f t="shared" ref="Q69:Q132" si="18">IF(MID(A69,2,1)="0",SUMIF(PE_COG,MID(A69,1,1)&amp;"*",PE_P),
IF(AND(MID(A69,2,1)&gt;"0",MID(A69,3,1)="0"),SUMIF(PE_COG,MID(A69,1,2)&amp;"*",PE_P),
IF(MID(A69,3,1)&gt;"0",SUMIF(PE_COG,MID(A69,1,3)&amp;"*",PE_P),"")))</f>
        <v>0</v>
      </c>
      <c r="R69" s="338">
        <f t="shared" ref="R69:R132" si="19">IF(MID(A69,2,1)="0",SUMIF(PE_COG,MID(A69,1,1)&amp;"*",PE_A),
IF(AND(MID(A69,2,1)&gt;"0",MID(A69,3,1)="0"),SUMIF(PE_COG,MID(A69,1,2)&amp;"*",PE_A),
IF(MID(A69,3,1)&gt;"0",SUMIF(PE_COG,MID(A69,1,3)&amp;"*",PE_A),"")))
+IF(MID(A69,2,1)="0",SUMIF(PE_COG,MID(A69,1,1)&amp;"*",PE_M),
IF(AND(MID(A69,2,1)&gt;"0",MID(A69,3,1)="0"),SUMIF(PE_COG,MID(A69,1,2)&amp;"*",PE_M),
IF(MID(A69,3,1)&gt;"0",SUMIF(PE_COG,MID(A69,1,3)&amp;"*",PE_M),"")))
-IF(MID(A69,2,1)="0",SUMIF(PE_COG,MID(A69,1,1)&amp;"*",PE_D),
IF(AND(MID(A69,2,1)&gt;"0",MID(A69,3,1)="0"),SUMIF(PE_COG,MID(A69,1,2)&amp;"*",PE_D),
IF(MID(A69,3,1)&gt;"0",SUMIF(PE_COG,MID(A69,1,3)&amp;"*",PE_D),"")))</f>
        <v>0</v>
      </c>
    </row>
    <row r="70" spans="1:18" ht="12">
      <c r="A70" s="985">
        <v>2440</v>
      </c>
      <c r="B70" s="984" t="s">
        <v>2694</v>
      </c>
      <c r="C70" s="975" t="s">
        <v>286</v>
      </c>
      <c r="D70" s="401"/>
      <c r="E70" s="980"/>
      <c r="F70" s="980"/>
      <c r="G70" s="401" t="str">
        <f t="shared" ref="G70:G133" si="20">IF(MID(A70,2,1)="0",A70,"")</f>
        <v/>
      </c>
      <c r="H70" s="401" t="str">
        <f t="shared" ref="H70:H133" si="21">IF(AND(MID(A70,2,1)&gt;"0",MID(A70,3,1)="0"),A70,"")</f>
        <v/>
      </c>
      <c r="I70" s="401">
        <f t="shared" ref="I70:I133" si="22">IF(MID(A70,3,1)&gt;"0",A70,"")</f>
        <v>2440</v>
      </c>
      <c r="J70" s="981" t="str">
        <f t="shared" ref="J70:J133" si="23">+B70</f>
        <v>Madera y productos de madera</v>
      </c>
      <c r="K70" s="338">
        <f t="shared" si="12"/>
        <v>0</v>
      </c>
      <c r="L70" s="338">
        <f t="shared" si="13"/>
        <v>0</v>
      </c>
      <c r="M70" s="338">
        <f t="shared" si="14"/>
        <v>0</v>
      </c>
      <c r="N70" s="338">
        <f t="shared" si="15"/>
        <v>0</v>
      </c>
      <c r="O70" s="338">
        <f t="shared" si="16"/>
        <v>0</v>
      </c>
      <c r="P70" s="338">
        <f t="shared" si="17"/>
        <v>0</v>
      </c>
      <c r="Q70" s="338">
        <f t="shared" si="18"/>
        <v>0</v>
      </c>
      <c r="R70" s="338">
        <f t="shared" si="19"/>
        <v>0</v>
      </c>
    </row>
    <row r="71" spans="1:18" ht="12">
      <c r="A71" s="985">
        <v>2450</v>
      </c>
      <c r="B71" s="984" t="s">
        <v>2695</v>
      </c>
      <c r="C71" s="975" t="s">
        <v>286</v>
      </c>
      <c r="D71" s="401"/>
      <c r="E71" s="980"/>
      <c r="F71" s="980"/>
      <c r="G71" s="401" t="str">
        <f t="shared" si="20"/>
        <v/>
      </c>
      <c r="H71" s="401" t="str">
        <f t="shared" si="21"/>
        <v/>
      </c>
      <c r="I71" s="401">
        <f t="shared" si="22"/>
        <v>2450</v>
      </c>
      <c r="J71" s="981" t="str">
        <f t="shared" si="23"/>
        <v>Vidrio y productos de vidrio</v>
      </c>
      <c r="K71" s="338">
        <f t="shared" si="12"/>
        <v>0</v>
      </c>
      <c r="L71" s="338">
        <f t="shared" si="13"/>
        <v>0</v>
      </c>
      <c r="M71" s="338">
        <f t="shared" si="14"/>
        <v>0</v>
      </c>
      <c r="N71" s="338">
        <f t="shared" si="15"/>
        <v>0</v>
      </c>
      <c r="O71" s="338">
        <f t="shared" si="16"/>
        <v>0</v>
      </c>
      <c r="P71" s="338">
        <f t="shared" si="17"/>
        <v>0</v>
      </c>
      <c r="Q71" s="338">
        <f t="shared" si="18"/>
        <v>0</v>
      </c>
      <c r="R71" s="338">
        <f t="shared" si="19"/>
        <v>0</v>
      </c>
    </row>
    <row r="72" spans="1:18" ht="12">
      <c r="A72" s="985">
        <v>2460</v>
      </c>
      <c r="B72" s="984" t="s">
        <v>2696</v>
      </c>
      <c r="C72" s="975" t="s">
        <v>286</v>
      </c>
      <c r="D72" s="401"/>
      <c r="E72" s="980"/>
      <c r="F72" s="980"/>
      <c r="G72" s="401" t="str">
        <f t="shared" si="20"/>
        <v/>
      </c>
      <c r="H72" s="401" t="str">
        <f t="shared" si="21"/>
        <v/>
      </c>
      <c r="I72" s="401">
        <f t="shared" si="22"/>
        <v>2460</v>
      </c>
      <c r="J72" s="981" t="str">
        <f t="shared" si="23"/>
        <v>Material eléctrico y electrónico</v>
      </c>
      <c r="K72" s="338">
        <f t="shared" si="12"/>
        <v>23650.05</v>
      </c>
      <c r="L72" s="338">
        <f t="shared" si="13"/>
        <v>-22724.449999999997</v>
      </c>
      <c r="M72" s="338">
        <f t="shared" si="14"/>
        <v>925.60000000000218</v>
      </c>
      <c r="N72" s="338">
        <f t="shared" si="15"/>
        <v>925.6</v>
      </c>
      <c r="O72" s="338">
        <f t="shared" si="16"/>
        <v>925.6</v>
      </c>
      <c r="P72" s="338">
        <f t="shared" si="17"/>
        <v>925.6</v>
      </c>
      <c r="Q72" s="338">
        <f t="shared" si="18"/>
        <v>925.6</v>
      </c>
      <c r="R72" s="338">
        <f t="shared" si="19"/>
        <v>2.1600499167107046E-12</v>
      </c>
    </row>
    <row r="73" spans="1:18" ht="12">
      <c r="A73" s="985">
        <v>2470</v>
      </c>
      <c r="B73" s="984" t="s">
        <v>2697</v>
      </c>
      <c r="C73" s="975" t="s">
        <v>286</v>
      </c>
      <c r="D73" s="401"/>
      <c r="E73" s="980"/>
      <c r="F73" s="980"/>
      <c r="G73" s="401" t="str">
        <f t="shared" si="20"/>
        <v/>
      </c>
      <c r="H73" s="401" t="str">
        <f t="shared" si="21"/>
        <v/>
      </c>
      <c r="I73" s="401">
        <f t="shared" si="22"/>
        <v>2470</v>
      </c>
      <c r="J73" s="981" t="str">
        <f t="shared" si="23"/>
        <v>Artículos metálicos para la construcción</v>
      </c>
      <c r="K73" s="338">
        <f t="shared" si="12"/>
        <v>0</v>
      </c>
      <c r="L73" s="338">
        <f t="shared" si="13"/>
        <v>0</v>
      </c>
      <c r="M73" s="338">
        <f t="shared" si="14"/>
        <v>0</v>
      </c>
      <c r="N73" s="338">
        <f t="shared" si="15"/>
        <v>0</v>
      </c>
      <c r="O73" s="338">
        <f t="shared" si="16"/>
        <v>0</v>
      </c>
      <c r="P73" s="338">
        <f t="shared" si="17"/>
        <v>0</v>
      </c>
      <c r="Q73" s="338">
        <f t="shared" si="18"/>
        <v>0</v>
      </c>
      <c r="R73" s="338">
        <f t="shared" si="19"/>
        <v>0</v>
      </c>
    </row>
    <row r="74" spans="1:18" ht="12">
      <c r="A74" s="985">
        <v>2480</v>
      </c>
      <c r="B74" s="984" t="s">
        <v>2698</v>
      </c>
      <c r="C74" s="975" t="s">
        <v>286</v>
      </c>
      <c r="D74" s="401"/>
      <c r="E74" s="980"/>
      <c r="F74" s="980"/>
      <c r="G74" s="401" t="str">
        <f t="shared" si="20"/>
        <v/>
      </c>
      <c r="H74" s="401" t="str">
        <f t="shared" si="21"/>
        <v/>
      </c>
      <c r="I74" s="401">
        <f t="shared" si="22"/>
        <v>2480</v>
      </c>
      <c r="J74" s="981" t="str">
        <f t="shared" si="23"/>
        <v>Materiales complementarios</v>
      </c>
      <c r="K74" s="338">
        <f t="shared" si="12"/>
        <v>27911.54</v>
      </c>
      <c r="L74" s="338">
        <f t="shared" si="13"/>
        <v>-12175.369999999999</v>
      </c>
      <c r="M74" s="338">
        <f t="shared" si="14"/>
        <v>15736.170000000002</v>
      </c>
      <c r="N74" s="338">
        <f t="shared" si="15"/>
        <v>15736.17</v>
      </c>
      <c r="O74" s="338">
        <f t="shared" si="16"/>
        <v>15736.17</v>
      </c>
      <c r="P74" s="338">
        <f t="shared" si="17"/>
        <v>15736.17</v>
      </c>
      <c r="Q74" s="338">
        <f t="shared" si="18"/>
        <v>15736.17</v>
      </c>
      <c r="R74" s="338">
        <f t="shared" si="19"/>
        <v>0</v>
      </c>
    </row>
    <row r="75" spans="1:18" ht="12">
      <c r="A75" s="985">
        <v>2490</v>
      </c>
      <c r="B75" s="984" t="s">
        <v>2699</v>
      </c>
      <c r="C75" s="975" t="s">
        <v>286</v>
      </c>
      <c r="D75" s="401"/>
      <c r="E75" s="980"/>
      <c r="F75" s="980"/>
      <c r="G75" s="401" t="str">
        <f t="shared" si="20"/>
        <v/>
      </c>
      <c r="H75" s="401" t="str">
        <f t="shared" si="21"/>
        <v/>
      </c>
      <c r="I75" s="401">
        <f t="shared" si="22"/>
        <v>2490</v>
      </c>
      <c r="J75" s="981" t="str">
        <f t="shared" si="23"/>
        <v>Otros materiales y artículos de construcción y reparación</v>
      </c>
      <c r="K75" s="338">
        <f t="shared" si="12"/>
        <v>25910.07</v>
      </c>
      <c r="L75" s="338">
        <f t="shared" si="13"/>
        <v>-11151.669999999998</v>
      </c>
      <c r="M75" s="338">
        <f t="shared" si="14"/>
        <v>14758.400000000001</v>
      </c>
      <c r="N75" s="338">
        <f t="shared" si="15"/>
        <v>14758.4</v>
      </c>
      <c r="O75" s="338">
        <f t="shared" si="16"/>
        <v>14758.4</v>
      </c>
      <c r="P75" s="338">
        <f t="shared" si="17"/>
        <v>14758.4</v>
      </c>
      <c r="Q75" s="338">
        <f t="shared" si="18"/>
        <v>14758.4</v>
      </c>
      <c r="R75" s="338">
        <f t="shared" si="19"/>
        <v>0</v>
      </c>
    </row>
    <row r="76" spans="1:18">
      <c r="A76" s="229">
        <v>2500</v>
      </c>
      <c r="B76" s="232" t="s">
        <v>194</v>
      </c>
      <c r="C76" s="975" t="s">
        <v>286</v>
      </c>
      <c r="D76" s="401"/>
      <c r="E76" s="980"/>
      <c r="F76" s="980"/>
      <c r="G76" s="401" t="str">
        <f t="shared" si="20"/>
        <v/>
      </c>
      <c r="H76" s="401">
        <f t="shared" si="21"/>
        <v>2500</v>
      </c>
      <c r="I76" s="401" t="str">
        <f t="shared" si="22"/>
        <v/>
      </c>
      <c r="J76" s="981" t="str">
        <f t="shared" si="23"/>
        <v>Productos químicos, farmacéuticos y de laboratorio</v>
      </c>
      <c r="K76" s="338">
        <f t="shared" si="12"/>
        <v>2980.42</v>
      </c>
      <c r="L76" s="338">
        <f t="shared" si="13"/>
        <v>-1415.92</v>
      </c>
      <c r="M76" s="338">
        <f t="shared" si="14"/>
        <v>1564.5</v>
      </c>
      <c r="N76" s="338">
        <f t="shared" si="15"/>
        <v>1564.5</v>
      </c>
      <c r="O76" s="338">
        <f t="shared" si="16"/>
        <v>1564.5</v>
      </c>
      <c r="P76" s="338">
        <f t="shared" si="17"/>
        <v>1564.5</v>
      </c>
      <c r="Q76" s="338">
        <f t="shared" si="18"/>
        <v>1564.5</v>
      </c>
      <c r="R76" s="338">
        <f t="shared" si="19"/>
        <v>0</v>
      </c>
    </row>
    <row r="77" spans="1:18" ht="12">
      <c r="A77" s="985">
        <v>2510</v>
      </c>
      <c r="B77" s="984" t="s">
        <v>2700</v>
      </c>
      <c r="C77" s="975" t="str">
        <f>+A77&amp;0</f>
        <v>25100</v>
      </c>
      <c r="D77" s="401"/>
      <c r="E77" s="980"/>
      <c r="F77" s="980"/>
      <c r="G77" s="401" t="str">
        <f t="shared" si="20"/>
        <v/>
      </c>
      <c r="H77" s="401" t="str">
        <f t="shared" si="21"/>
        <v/>
      </c>
      <c r="I77" s="401">
        <f t="shared" si="22"/>
        <v>2510</v>
      </c>
      <c r="J77" s="981" t="str">
        <f t="shared" si="23"/>
        <v>Productos químicos básicos</v>
      </c>
      <c r="K77" s="338">
        <f t="shared" si="12"/>
        <v>0</v>
      </c>
      <c r="L77" s="338">
        <f t="shared" si="13"/>
        <v>0</v>
      </c>
      <c r="M77" s="338">
        <f t="shared" si="14"/>
        <v>0</v>
      </c>
      <c r="N77" s="338">
        <f t="shared" si="15"/>
        <v>0</v>
      </c>
      <c r="O77" s="338">
        <f t="shared" si="16"/>
        <v>0</v>
      </c>
      <c r="P77" s="338">
        <f t="shared" si="17"/>
        <v>0</v>
      </c>
      <c r="Q77" s="338">
        <f t="shared" si="18"/>
        <v>0</v>
      </c>
      <c r="R77" s="338">
        <f t="shared" si="19"/>
        <v>0</v>
      </c>
    </row>
    <row r="78" spans="1:18" ht="12">
      <c r="A78" s="985">
        <v>2520</v>
      </c>
      <c r="B78" s="984" t="s">
        <v>2701</v>
      </c>
      <c r="C78" s="975" t="str">
        <f t="shared" ref="C78:C141" si="24">+A78&amp;0</f>
        <v>25200</v>
      </c>
      <c r="D78" s="401"/>
      <c r="E78" s="980"/>
      <c r="F78" s="980"/>
      <c r="G78" s="401" t="str">
        <f t="shared" si="20"/>
        <v/>
      </c>
      <c r="H78" s="401" t="str">
        <f t="shared" si="21"/>
        <v/>
      </c>
      <c r="I78" s="401">
        <f t="shared" si="22"/>
        <v>2520</v>
      </c>
      <c r="J78" s="981" t="str">
        <f t="shared" si="23"/>
        <v>Fertilizantes, pesticidas y otros agroquímicos</v>
      </c>
      <c r="K78" s="338">
        <f t="shared" si="12"/>
        <v>0</v>
      </c>
      <c r="L78" s="338">
        <f t="shared" si="13"/>
        <v>0</v>
      </c>
      <c r="M78" s="338">
        <f t="shared" si="14"/>
        <v>0</v>
      </c>
      <c r="N78" s="338">
        <f t="shared" si="15"/>
        <v>0</v>
      </c>
      <c r="O78" s="338">
        <f t="shared" si="16"/>
        <v>0</v>
      </c>
      <c r="P78" s="338">
        <f t="shared" si="17"/>
        <v>0</v>
      </c>
      <c r="Q78" s="338">
        <f t="shared" si="18"/>
        <v>0</v>
      </c>
      <c r="R78" s="338">
        <f t="shared" si="19"/>
        <v>0</v>
      </c>
    </row>
    <row r="79" spans="1:18" ht="12">
      <c r="A79" s="985">
        <v>2530</v>
      </c>
      <c r="B79" s="984" t="s">
        <v>2702</v>
      </c>
      <c r="C79" s="975" t="str">
        <f t="shared" si="24"/>
        <v>25300</v>
      </c>
      <c r="D79" s="401"/>
      <c r="E79" s="980"/>
      <c r="F79" s="980"/>
      <c r="G79" s="401" t="str">
        <f t="shared" si="20"/>
        <v/>
      </c>
      <c r="H79" s="401" t="str">
        <f t="shared" si="21"/>
        <v/>
      </c>
      <c r="I79" s="401">
        <f t="shared" si="22"/>
        <v>2530</v>
      </c>
      <c r="J79" s="981" t="str">
        <f t="shared" si="23"/>
        <v>Medicinas y productos farmacéuticos</v>
      </c>
      <c r="K79" s="338">
        <f t="shared" si="12"/>
        <v>2980.42</v>
      </c>
      <c r="L79" s="338">
        <f t="shared" si="13"/>
        <v>-1415.92</v>
      </c>
      <c r="M79" s="338">
        <f t="shared" si="14"/>
        <v>1564.5</v>
      </c>
      <c r="N79" s="338">
        <f t="shared" si="15"/>
        <v>1564.5</v>
      </c>
      <c r="O79" s="338">
        <f t="shared" si="16"/>
        <v>1564.5</v>
      </c>
      <c r="P79" s="338">
        <f t="shared" si="17"/>
        <v>1564.5</v>
      </c>
      <c r="Q79" s="338">
        <f t="shared" si="18"/>
        <v>1564.5</v>
      </c>
      <c r="R79" s="338">
        <f t="shared" si="19"/>
        <v>0</v>
      </c>
    </row>
    <row r="80" spans="1:18" ht="12">
      <c r="A80" s="985">
        <v>2540</v>
      </c>
      <c r="B80" s="984" t="s">
        <v>2703</v>
      </c>
      <c r="C80" s="975" t="str">
        <f t="shared" si="24"/>
        <v>25400</v>
      </c>
      <c r="D80" s="401"/>
      <c r="E80" s="980"/>
      <c r="F80" s="980"/>
      <c r="G80" s="401" t="str">
        <f t="shared" si="20"/>
        <v/>
      </c>
      <c r="H80" s="401" t="str">
        <f t="shared" si="21"/>
        <v/>
      </c>
      <c r="I80" s="401">
        <f t="shared" si="22"/>
        <v>2540</v>
      </c>
      <c r="J80" s="981" t="str">
        <f t="shared" si="23"/>
        <v>Materiales, accesorios y suministros médicos</v>
      </c>
      <c r="K80" s="338">
        <f t="shared" si="12"/>
        <v>0</v>
      </c>
      <c r="L80" s="338">
        <f t="shared" si="13"/>
        <v>0</v>
      </c>
      <c r="M80" s="338">
        <f t="shared" si="14"/>
        <v>0</v>
      </c>
      <c r="N80" s="338">
        <f t="shared" si="15"/>
        <v>0</v>
      </c>
      <c r="O80" s="338">
        <f t="shared" si="16"/>
        <v>0</v>
      </c>
      <c r="P80" s="338">
        <f t="shared" si="17"/>
        <v>0</v>
      </c>
      <c r="Q80" s="338">
        <f t="shared" si="18"/>
        <v>0</v>
      </c>
      <c r="R80" s="338">
        <f t="shared" si="19"/>
        <v>0</v>
      </c>
    </row>
    <row r="81" spans="1:18" ht="12">
      <c r="A81" s="985">
        <v>2550</v>
      </c>
      <c r="B81" s="984" t="s">
        <v>2704</v>
      </c>
      <c r="C81" s="975" t="str">
        <f t="shared" si="24"/>
        <v>25500</v>
      </c>
      <c r="D81" s="401"/>
      <c r="E81" s="980"/>
      <c r="F81" s="980"/>
      <c r="G81" s="401" t="str">
        <f t="shared" si="20"/>
        <v/>
      </c>
      <c r="H81" s="401" t="str">
        <f t="shared" si="21"/>
        <v/>
      </c>
      <c r="I81" s="401">
        <f t="shared" si="22"/>
        <v>2550</v>
      </c>
      <c r="J81" s="981" t="str">
        <f t="shared" si="23"/>
        <v>Materiales, accesorios y suministros de laboratorio</v>
      </c>
      <c r="K81" s="338">
        <f t="shared" si="12"/>
        <v>0</v>
      </c>
      <c r="L81" s="338">
        <f t="shared" si="13"/>
        <v>0</v>
      </c>
      <c r="M81" s="338">
        <f t="shared" si="14"/>
        <v>0</v>
      </c>
      <c r="N81" s="338">
        <f t="shared" si="15"/>
        <v>0</v>
      </c>
      <c r="O81" s="338">
        <f t="shared" si="16"/>
        <v>0</v>
      </c>
      <c r="P81" s="338">
        <f t="shared" si="17"/>
        <v>0</v>
      </c>
      <c r="Q81" s="338">
        <f t="shared" si="18"/>
        <v>0</v>
      </c>
      <c r="R81" s="338">
        <f t="shared" si="19"/>
        <v>0</v>
      </c>
    </row>
    <row r="82" spans="1:18" ht="12">
      <c r="A82" s="985">
        <v>2560</v>
      </c>
      <c r="B82" s="984" t="s">
        <v>2705</v>
      </c>
      <c r="C82" s="975" t="str">
        <f t="shared" si="24"/>
        <v>25600</v>
      </c>
      <c r="D82" s="401"/>
      <c r="E82" s="980"/>
      <c r="F82" s="980"/>
      <c r="G82" s="401" t="str">
        <f t="shared" si="20"/>
        <v/>
      </c>
      <c r="H82" s="401" t="str">
        <f t="shared" si="21"/>
        <v/>
      </c>
      <c r="I82" s="401">
        <f t="shared" si="22"/>
        <v>2560</v>
      </c>
      <c r="J82" s="981" t="str">
        <f t="shared" si="23"/>
        <v>Fibras sintéticas, hules, plásticos y derivados</v>
      </c>
      <c r="K82" s="338">
        <f t="shared" si="12"/>
        <v>0</v>
      </c>
      <c r="L82" s="338">
        <f t="shared" si="13"/>
        <v>0</v>
      </c>
      <c r="M82" s="338">
        <f t="shared" si="14"/>
        <v>0</v>
      </c>
      <c r="N82" s="338">
        <f t="shared" si="15"/>
        <v>0</v>
      </c>
      <c r="O82" s="338">
        <f t="shared" si="16"/>
        <v>0</v>
      </c>
      <c r="P82" s="338">
        <f t="shared" si="17"/>
        <v>0</v>
      </c>
      <c r="Q82" s="338">
        <f t="shared" si="18"/>
        <v>0</v>
      </c>
      <c r="R82" s="338">
        <f t="shared" si="19"/>
        <v>0</v>
      </c>
    </row>
    <row r="83" spans="1:18" ht="12">
      <c r="A83" s="985">
        <v>2590</v>
      </c>
      <c r="B83" s="984" t="s">
        <v>2706</v>
      </c>
      <c r="C83" s="975" t="str">
        <f t="shared" si="24"/>
        <v>25900</v>
      </c>
      <c r="D83" s="401"/>
      <c r="E83" s="980"/>
      <c r="F83" s="980"/>
      <c r="G83" s="401" t="str">
        <f t="shared" si="20"/>
        <v/>
      </c>
      <c r="H83" s="401" t="str">
        <f t="shared" si="21"/>
        <v/>
      </c>
      <c r="I83" s="401">
        <f t="shared" si="22"/>
        <v>2590</v>
      </c>
      <c r="J83" s="981" t="str">
        <f t="shared" si="23"/>
        <v>Otros productos químicos</v>
      </c>
      <c r="K83" s="338">
        <f t="shared" si="12"/>
        <v>0</v>
      </c>
      <c r="L83" s="338">
        <f t="shared" si="13"/>
        <v>0</v>
      </c>
      <c r="M83" s="338">
        <f t="shared" si="14"/>
        <v>0</v>
      </c>
      <c r="N83" s="338">
        <f t="shared" si="15"/>
        <v>0</v>
      </c>
      <c r="O83" s="338">
        <f t="shared" si="16"/>
        <v>0</v>
      </c>
      <c r="P83" s="338">
        <f t="shared" si="17"/>
        <v>0</v>
      </c>
      <c r="Q83" s="338">
        <f t="shared" si="18"/>
        <v>0</v>
      </c>
      <c r="R83" s="338">
        <f t="shared" si="19"/>
        <v>0</v>
      </c>
    </row>
    <row r="84" spans="1:18">
      <c r="A84" s="229">
        <v>2600</v>
      </c>
      <c r="B84" s="230" t="s">
        <v>195</v>
      </c>
      <c r="C84" s="975" t="str">
        <f t="shared" si="24"/>
        <v>26000</v>
      </c>
      <c r="D84" s="401"/>
      <c r="E84" s="980"/>
      <c r="F84" s="980"/>
      <c r="G84" s="401" t="str">
        <f t="shared" si="20"/>
        <v/>
      </c>
      <c r="H84" s="401">
        <f t="shared" si="21"/>
        <v>2600</v>
      </c>
      <c r="I84" s="401" t="str">
        <f t="shared" si="22"/>
        <v/>
      </c>
      <c r="J84" s="981" t="str">
        <f t="shared" si="23"/>
        <v>Combustibles, lubricantes y aditivos</v>
      </c>
      <c r="K84" s="338">
        <f t="shared" si="12"/>
        <v>809561.62000000011</v>
      </c>
      <c r="L84" s="338">
        <f t="shared" si="13"/>
        <v>-32779.580000000024</v>
      </c>
      <c r="M84" s="338">
        <f t="shared" si="14"/>
        <v>776782.04</v>
      </c>
      <c r="N84" s="338">
        <f t="shared" si="15"/>
        <v>776782.04</v>
      </c>
      <c r="O84" s="338">
        <f t="shared" si="16"/>
        <v>776782.04</v>
      </c>
      <c r="P84" s="338">
        <f t="shared" si="17"/>
        <v>776782.04</v>
      </c>
      <c r="Q84" s="338">
        <f t="shared" si="18"/>
        <v>776782.04</v>
      </c>
      <c r="R84" s="338">
        <f t="shared" si="19"/>
        <v>0</v>
      </c>
    </row>
    <row r="85" spans="1:18" ht="12">
      <c r="A85" s="985">
        <v>2610</v>
      </c>
      <c r="B85" s="984" t="s">
        <v>195</v>
      </c>
      <c r="C85" s="975" t="str">
        <f t="shared" si="24"/>
        <v>26100</v>
      </c>
      <c r="D85" s="401"/>
      <c r="E85" s="980"/>
      <c r="F85" s="980"/>
      <c r="G85" s="401" t="str">
        <f t="shared" si="20"/>
        <v/>
      </c>
      <c r="H85" s="401" t="str">
        <f t="shared" si="21"/>
        <v/>
      </c>
      <c r="I85" s="401">
        <f t="shared" si="22"/>
        <v>2610</v>
      </c>
      <c r="J85" s="981" t="str">
        <f t="shared" si="23"/>
        <v>Combustibles, lubricantes y aditivos</v>
      </c>
      <c r="K85" s="338">
        <f t="shared" si="12"/>
        <v>809561.62000000011</v>
      </c>
      <c r="L85" s="338">
        <f t="shared" si="13"/>
        <v>-32779.580000000024</v>
      </c>
      <c r="M85" s="338">
        <f t="shared" si="14"/>
        <v>776782.04</v>
      </c>
      <c r="N85" s="338">
        <f t="shared" si="15"/>
        <v>776782.04</v>
      </c>
      <c r="O85" s="338">
        <f t="shared" si="16"/>
        <v>776782.04</v>
      </c>
      <c r="P85" s="338">
        <f t="shared" si="17"/>
        <v>776782.04</v>
      </c>
      <c r="Q85" s="338">
        <f t="shared" si="18"/>
        <v>776782.04</v>
      </c>
      <c r="R85" s="338">
        <f t="shared" si="19"/>
        <v>0</v>
      </c>
    </row>
    <row r="86" spans="1:18" ht="12">
      <c r="A86" s="985">
        <v>2620</v>
      </c>
      <c r="B86" s="984" t="s">
        <v>2707</v>
      </c>
      <c r="C86" s="975" t="str">
        <f t="shared" si="24"/>
        <v>26200</v>
      </c>
      <c r="D86" s="401"/>
      <c r="E86" s="980"/>
      <c r="F86" s="980"/>
      <c r="G86" s="401" t="str">
        <f t="shared" si="20"/>
        <v/>
      </c>
      <c r="H86" s="401" t="str">
        <f t="shared" si="21"/>
        <v/>
      </c>
      <c r="I86" s="401">
        <f t="shared" si="22"/>
        <v>2620</v>
      </c>
      <c r="J86" s="981" t="str">
        <f t="shared" si="23"/>
        <v>Carbón y sus derivados</v>
      </c>
      <c r="K86" s="338">
        <f t="shared" si="12"/>
        <v>0</v>
      </c>
      <c r="L86" s="338">
        <f t="shared" si="13"/>
        <v>0</v>
      </c>
      <c r="M86" s="338">
        <f t="shared" si="14"/>
        <v>0</v>
      </c>
      <c r="N86" s="338">
        <f t="shared" si="15"/>
        <v>0</v>
      </c>
      <c r="O86" s="338">
        <f t="shared" si="16"/>
        <v>0</v>
      </c>
      <c r="P86" s="338">
        <f t="shared" si="17"/>
        <v>0</v>
      </c>
      <c r="Q86" s="338">
        <f t="shared" si="18"/>
        <v>0</v>
      </c>
      <c r="R86" s="338">
        <f t="shared" si="19"/>
        <v>0</v>
      </c>
    </row>
    <row r="87" spans="1:18">
      <c r="A87" s="229">
        <v>2700</v>
      </c>
      <c r="B87" s="230" t="s">
        <v>196</v>
      </c>
      <c r="C87" s="975" t="str">
        <f t="shared" si="24"/>
        <v>27000</v>
      </c>
      <c r="D87" s="401"/>
      <c r="E87" s="980"/>
      <c r="F87" s="980"/>
      <c r="G87" s="401" t="str">
        <f t="shared" si="20"/>
        <v/>
      </c>
      <c r="H87" s="401">
        <f t="shared" si="21"/>
        <v>2700</v>
      </c>
      <c r="I87" s="401" t="str">
        <f t="shared" si="22"/>
        <v/>
      </c>
      <c r="J87" s="981" t="str">
        <f t="shared" si="23"/>
        <v>Vestuario, blancos, prendas de protección y artículos deportivos</v>
      </c>
      <c r="K87" s="338">
        <f t="shared" si="12"/>
        <v>82250.880000000005</v>
      </c>
      <c r="L87" s="338">
        <f t="shared" si="13"/>
        <v>-217.02999999997792</v>
      </c>
      <c r="M87" s="338">
        <f t="shared" si="14"/>
        <v>82033.85000000002</v>
      </c>
      <c r="N87" s="338">
        <f t="shared" si="15"/>
        <v>82033.850000000006</v>
      </c>
      <c r="O87" s="338">
        <f t="shared" si="16"/>
        <v>82033.850000000006</v>
      </c>
      <c r="P87" s="338">
        <f t="shared" si="17"/>
        <v>82033.850000000006</v>
      </c>
      <c r="Q87" s="338">
        <f t="shared" si="18"/>
        <v>82033.850000000006</v>
      </c>
      <c r="R87" s="338">
        <f t="shared" si="19"/>
        <v>0</v>
      </c>
    </row>
    <row r="88" spans="1:18" ht="12">
      <c r="A88" s="985">
        <v>2710</v>
      </c>
      <c r="B88" s="984" t="s">
        <v>2708</v>
      </c>
      <c r="C88" s="975" t="str">
        <f t="shared" si="24"/>
        <v>27100</v>
      </c>
      <c r="D88" s="401"/>
      <c r="E88" s="980"/>
      <c r="F88" s="980"/>
      <c r="G88" s="401" t="str">
        <f t="shared" si="20"/>
        <v/>
      </c>
      <c r="H88" s="401" t="str">
        <f t="shared" si="21"/>
        <v/>
      </c>
      <c r="I88" s="401">
        <f t="shared" si="22"/>
        <v>2710</v>
      </c>
      <c r="J88" s="981" t="str">
        <f t="shared" si="23"/>
        <v>Vestuario y uniformes</v>
      </c>
      <c r="K88" s="338">
        <f t="shared" si="12"/>
        <v>80518.42</v>
      </c>
      <c r="L88" s="338">
        <f t="shared" si="13"/>
        <v>1515.4300000000221</v>
      </c>
      <c r="M88" s="338">
        <f t="shared" si="14"/>
        <v>82033.85000000002</v>
      </c>
      <c r="N88" s="338">
        <f t="shared" si="15"/>
        <v>82033.850000000006</v>
      </c>
      <c r="O88" s="338">
        <f t="shared" si="16"/>
        <v>82033.850000000006</v>
      </c>
      <c r="P88" s="338">
        <f t="shared" si="17"/>
        <v>82033.850000000006</v>
      </c>
      <c r="Q88" s="338">
        <f t="shared" si="18"/>
        <v>82033.850000000006</v>
      </c>
      <c r="R88" s="338">
        <f t="shared" si="19"/>
        <v>0</v>
      </c>
    </row>
    <row r="89" spans="1:18" ht="12">
      <c r="A89" s="985">
        <v>2720</v>
      </c>
      <c r="B89" s="984" t="s">
        <v>2709</v>
      </c>
      <c r="C89" s="975" t="str">
        <f t="shared" si="24"/>
        <v>27200</v>
      </c>
      <c r="D89" s="401"/>
      <c r="E89" s="980"/>
      <c r="F89" s="980"/>
      <c r="G89" s="401" t="str">
        <f t="shared" si="20"/>
        <v/>
      </c>
      <c r="H89" s="401" t="str">
        <f t="shared" si="21"/>
        <v/>
      </c>
      <c r="I89" s="401">
        <f t="shared" si="22"/>
        <v>2720</v>
      </c>
      <c r="J89" s="981" t="str">
        <f t="shared" si="23"/>
        <v>Prendas de seguridad y protección personal</v>
      </c>
      <c r="K89" s="338">
        <f t="shared" si="12"/>
        <v>0</v>
      </c>
      <c r="L89" s="338">
        <f t="shared" si="13"/>
        <v>0</v>
      </c>
      <c r="M89" s="338">
        <f t="shared" si="14"/>
        <v>0</v>
      </c>
      <c r="N89" s="338">
        <f t="shared" si="15"/>
        <v>0</v>
      </c>
      <c r="O89" s="338">
        <f t="shared" si="16"/>
        <v>0</v>
      </c>
      <c r="P89" s="338">
        <f t="shared" si="17"/>
        <v>0</v>
      </c>
      <c r="Q89" s="338">
        <f t="shared" si="18"/>
        <v>0</v>
      </c>
      <c r="R89" s="338">
        <f t="shared" si="19"/>
        <v>0</v>
      </c>
    </row>
    <row r="90" spans="1:18" ht="12">
      <c r="A90" s="985">
        <v>2730</v>
      </c>
      <c r="B90" s="984" t="s">
        <v>2710</v>
      </c>
      <c r="C90" s="975" t="str">
        <f t="shared" si="24"/>
        <v>27300</v>
      </c>
      <c r="D90" s="401"/>
      <c r="E90" s="980"/>
      <c r="F90" s="980"/>
      <c r="G90" s="401" t="str">
        <f t="shared" si="20"/>
        <v/>
      </c>
      <c r="H90" s="401" t="str">
        <f t="shared" si="21"/>
        <v/>
      </c>
      <c r="I90" s="401">
        <f t="shared" si="22"/>
        <v>2730</v>
      </c>
      <c r="J90" s="981" t="str">
        <f t="shared" si="23"/>
        <v>Artículos deportivos</v>
      </c>
      <c r="K90" s="338">
        <f t="shared" si="12"/>
        <v>1732.46</v>
      </c>
      <c r="L90" s="338">
        <f t="shared" si="13"/>
        <v>-1732.46</v>
      </c>
      <c r="M90" s="338">
        <f t="shared" si="14"/>
        <v>0</v>
      </c>
      <c r="N90" s="338">
        <f t="shared" si="15"/>
        <v>0</v>
      </c>
      <c r="O90" s="338">
        <f t="shared" si="16"/>
        <v>0</v>
      </c>
      <c r="P90" s="338">
        <f t="shared" si="17"/>
        <v>0</v>
      </c>
      <c r="Q90" s="338">
        <f t="shared" si="18"/>
        <v>0</v>
      </c>
      <c r="R90" s="338">
        <f t="shared" si="19"/>
        <v>0</v>
      </c>
    </row>
    <row r="91" spans="1:18" ht="12">
      <c r="A91" s="985">
        <v>2740</v>
      </c>
      <c r="B91" s="986" t="s">
        <v>2711</v>
      </c>
      <c r="C91" s="975" t="str">
        <f t="shared" si="24"/>
        <v>27400</v>
      </c>
      <c r="D91" s="401"/>
      <c r="E91" s="980"/>
      <c r="F91" s="980"/>
      <c r="G91" s="401" t="str">
        <f t="shared" si="20"/>
        <v/>
      </c>
      <c r="H91" s="401" t="str">
        <f t="shared" si="21"/>
        <v/>
      </c>
      <c r="I91" s="401">
        <f t="shared" si="22"/>
        <v>2740</v>
      </c>
      <c r="J91" s="981" t="str">
        <f t="shared" si="23"/>
        <v>Productos textiles</v>
      </c>
      <c r="K91" s="338">
        <f t="shared" si="12"/>
        <v>0</v>
      </c>
      <c r="L91" s="338">
        <f t="shared" si="13"/>
        <v>0</v>
      </c>
      <c r="M91" s="338">
        <f t="shared" si="14"/>
        <v>0</v>
      </c>
      <c r="N91" s="338">
        <f t="shared" si="15"/>
        <v>0</v>
      </c>
      <c r="O91" s="338">
        <f t="shared" si="16"/>
        <v>0</v>
      </c>
      <c r="P91" s="338">
        <f t="shared" si="17"/>
        <v>0</v>
      </c>
      <c r="Q91" s="338">
        <f t="shared" si="18"/>
        <v>0</v>
      </c>
      <c r="R91" s="338">
        <f t="shared" si="19"/>
        <v>0</v>
      </c>
    </row>
    <row r="92" spans="1:18" ht="12">
      <c r="A92" s="985">
        <v>2750</v>
      </c>
      <c r="B92" s="984" t="s">
        <v>2712</v>
      </c>
      <c r="C92" s="975" t="str">
        <f t="shared" si="24"/>
        <v>27500</v>
      </c>
      <c r="D92" s="401"/>
      <c r="E92" s="980"/>
      <c r="F92" s="980"/>
      <c r="G92" s="401" t="str">
        <f t="shared" si="20"/>
        <v/>
      </c>
      <c r="H92" s="401" t="str">
        <f t="shared" si="21"/>
        <v/>
      </c>
      <c r="I92" s="401">
        <f t="shared" si="22"/>
        <v>2750</v>
      </c>
      <c r="J92" s="981" t="str">
        <f t="shared" si="23"/>
        <v>Blancos y otros productos textiles, excepto prendas de vestir</v>
      </c>
      <c r="K92" s="338">
        <f t="shared" si="12"/>
        <v>0</v>
      </c>
      <c r="L92" s="338">
        <f t="shared" si="13"/>
        <v>0</v>
      </c>
      <c r="M92" s="338">
        <f t="shared" si="14"/>
        <v>0</v>
      </c>
      <c r="N92" s="338">
        <f t="shared" si="15"/>
        <v>0</v>
      </c>
      <c r="O92" s="338">
        <f t="shared" si="16"/>
        <v>0</v>
      </c>
      <c r="P92" s="338">
        <f t="shared" si="17"/>
        <v>0</v>
      </c>
      <c r="Q92" s="338">
        <f t="shared" si="18"/>
        <v>0</v>
      </c>
      <c r="R92" s="338">
        <f t="shared" si="19"/>
        <v>0</v>
      </c>
    </row>
    <row r="93" spans="1:18">
      <c r="A93" s="229">
        <v>2800</v>
      </c>
      <c r="B93" s="230" t="s">
        <v>197</v>
      </c>
      <c r="C93" s="975" t="str">
        <f t="shared" si="24"/>
        <v>28000</v>
      </c>
      <c r="D93" s="401"/>
      <c r="E93" s="980"/>
      <c r="F93" s="980"/>
      <c r="G93" s="401" t="str">
        <f t="shared" si="20"/>
        <v/>
      </c>
      <c r="H93" s="401">
        <f t="shared" si="21"/>
        <v>2800</v>
      </c>
      <c r="I93" s="401" t="str">
        <f t="shared" si="22"/>
        <v/>
      </c>
      <c r="J93" s="981" t="str">
        <f t="shared" si="23"/>
        <v>Materiales y suministros para seguridad</v>
      </c>
      <c r="K93" s="338">
        <f t="shared" si="12"/>
        <v>0</v>
      </c>
      <c r="L93" s="338">
        <f t="shared" si="13"/>
        <v>0</v>
      </c>
      <c r="M93" s="338">
        <f t="shared" si="14"/>
        <v>0</v>
      </c>
      <c r="N93" s="338">
        <f t="shared" si="15"/>
        <v>0</v>
      </c>
      <c r="O93" s="338">
        <f t="shared" si="16"/>
        <v>0</v>
      </c>
      <c r="P93" s="338">
        <f t="shared" si="17"/>
        <v>0</v>
      </c>
      <c r="Q93" s="338">
        <f t="shared" si="18"/>
        <v>0</v>
      </c>
      <c r="R93" s="338">
        <f t="shared" si="19"/>
        <v>0</v>
      </c>
    </row>
    <row r="94" spans="1:18" ht="12">
      <c r="A94" s="985">
        <v>2810</v>
      </c>
      <c r="B94" s="984" t="s">
        <v>2713</v>
      </c>
      <c r="C94" s="975" t="str">
        <f t="shared" si="24"/>
        <v>28100</v>
      </c>
      <c r="D94" s="401"/>
      <c r="E94" s="980"/>
      <c r="F94" s="980"/>
      <c r="G94" s="401" t="str">
        <f t="shared" si="20"/>
        <v/>
      </c>
      <c r="H94" s="401" t="str">
        <f t="shared" si="21"/>
        <v/>
      </c>
      <c r="I94" s="401">
        <f t="shared" si="22"/>
        <v>2810</v>
      </c>
      <c r="J94" s="981" t="str">
        <f t="shared" si="23"/>
        <v>Sustancias y materiales explosivos</v>
      </c>
      <c r="K94" s="338">
        <f t="shared" si="12"/>
        <v>0</v>
      </c>
      <c r="L94" s="338">
        <f t="shared" si="13"/>
        <v>0</v>
      </c>
      <c r="M94" s="338">
        <f t="shared" si="14"/>
        <v>0</v>
      </c>
      <c r="N94" s="338">
        <f t="shared" si="15"/>
        <v>0</v>
      </c>
      <c r="O94" s="338">
        <f t="shared" si="16"/>
        <v>0</v>
      </c>
      <c r="P94" s="338">
        <f t="shared" si="17"/>
        <v>0</v>
      </c>
      <c r="Q94" s="338">
        <f t="shared" si="18"/>
        <v>0</v>
      </c>
      <c r="R94" s="338">
        <f t="shared" si="19"/>
        <v>0</v>
      </c>
    </row>
    <row r="95" spans="1:18" ht="12">
      <c r="A95" s="985">
        <v>2820</v>
      </c>
      <c r="B95" s="984" t="s">
        <v>2714</v>
      </c>
      <c r="C95" s="975" t="str">
        <f t="shared" si="24"/>
        <v>28200</v>
      </c>
      <c r="D95" s="401"/>
      <c r="E95" s="980"/>
      <c r="F95" s="980"/>
      <c r="G95" s="401" t="str">
        <f t="shared" si="20"/>
        <v/>
      </c>
      <c r="H95" s="401" t="str">
        <f t="shared" si="21"/>
        <v/>
      </c>
      <c r="I95" s="401">
        <f t="shared" si="22"/>
        <v>2820</v>
      </c>
      <c r="J95" s="981" t="str">
        <f t="shared" si="23"/>
        <v>Materiales de seguridad pública</v>
      </c>
      <c r="K95" s="338">
        <f t="shared" si="12"/>
        <v>0</v>
      </c>
      <c r="L95" s="338">
        <f t="shared" si="13"/>
        <v>0</v>
      </c>
      <c r="M95" s="338">
        <f t="shared" si="14"/>
        <v>0</v>
      </c>
      <c r="N95" s="338">
        <f t="shared" si="15"/>
        <v>0</v>
      </c>
      <c r="O95" s="338">
        <f t="shared" si="16"/>
        <v>0</v>
      </c>
      <c r="P95" s="338">
        <f t="shared" si="17"/>
        <v>0</v>
      </c>
      <c r="Q95" s="338">
        <f t="shared" si="18"/>
        <v>0</v>
      </c>
      <c r="R95" s="338">
        <f t="shared" si="19"/>
        <v>0</v>
      </c>
    </row>
    <row r="96" spans="1:18" ht="12">
      <c r="A96" s="985">
        <v>2830</v>
      </c>
      <c r="B96" s="984" t="s">
        <v>2715</v>
      </c>
      <c r="C96" s="975" t="str">
        <f t="shared" si="24"/>
        <v>28300</v>
      </c>
      <c r="D96" s="401"/>
      <c r="E96" s="980"/>
      <c r="F96" s="980"/>
      <c r="G96" s="401" t="str">
        <f t="shared" si="20"/>
        <v/>
      </c>
      <c r="H96" s="401" t="str">
        <f t="shared" si="21"/>
        <v/>
      </c>
      <c r="I96" s="401">
        <f t="shared" si="22"/>
        <v>2830</v>
      </c>
      <c r="J96" s="981" t="str">
        <f t="shared" si="23"/>
        <v>Prendas de protección para seguridad pública y nacional</v>
      </c>
      <c r="K96" s="338">
        <f t="shared" si="12"/>
        <v>0</v>
      </c>
      <c r="L96" s="338">
        <f t="shared" si="13"/>
        <v>0</v>
      </c>
      <c r="M96" s="338">
        <f t="shared" si="14"/>
        <v>0</v>
      </c>
      <c r="N96" s="338">
        <f t="shared" si="15"/>
        <v>0</v>
      </c>
      <c r="O96" s="338">
        <f t="shared" si="16"/>
        <v>0</v>
      </c>
      <c r="P96" s="338">
        <f t="shared" si="17"/>
        <v>0</v>
      </c>
      <c r="Q96" s="338">
        <f t="shared" si="18"/>
        <v>0</v>
      </c>
      <c r="R96" s="338">
        <f t="shared" si="19"/>
        <v>0</v>
      </c>
    </row>
    <row r="97" spans="1:18">
      <c r="A97" s="229">
        <v>2900</v>
      </c>
      <c r="B97" s="230" t="s">
        <v>198</v>
      </c>
      <c r="C97" s="975" t="str">
        <f t="shared" si="24"/>
        <v>29000</v>
      </c>
      <c r="D97" s="401"/>
      <c r="E97" s="980"/>
      <c r="F97" s="980"/>
      <c r="G97" s="401" t="str">
        <f t="shared" si="20"/>
        <v/>
      </c>
      <c r="H97" s="401">
        <f t="shared" si="21"/>
        <v>2900</v>
      </c>
      <c r="I97" s="401" t="str">
        <f t="shared" si="22"/>
        <v/>
      </c>
      <c r="J97" s="981" t="str">
        <f t="shared" si="23"/>
        <v>Herramientas, refacciones y accesorios menores</v>
      </c>
      <c r="K97" s="338">
        <f t="shared" si="12"/>
        <v>82026.040000000008</v>
      </c>
      <c r="L97" s="338">
        <f t="shared" si="13"/>
        <v>8813.1199999999953</v>
      </c>
      <c r="M97" s="338">
        <f t="shared" si="14"/>
        <v>90839.16</v>
      </c>
      <c r="N97" s="338">
        <f t="shared" si="15"/>
        <v>90839.16</v>
      </c>
      <c r="O97" s="338">
        <f t="shared" si="16"/>
        <v>90839.16</v>
      </c>
      <c r="P97" s="338">
        <f t="shared" si="17"/>
        <v>90839.16</v>
      </c>
      <c r="Q97" s="338">
        <f t="shared" si="18"/>
        <v>90839.16</v>
      </c>
      <c r="R97" s="338">
        <f t="shared" si="19"/>
        <v>0</v>
      </c>
    </row>
    <row r="98" spans="1:18" ht="12">
      <c r="A98" s="985">
        <v>2910</v>
      </c>
      <c r="B98" s="984" t="s">
        <v>2716</v>
      </c>
      <c r="C98" s="975" t="str">
        <f t="shared" si="24"/>
        <v>29100</v>
      </c>
      <c r="D98" s="401"/>
      <c r="E98" s="980"/>
      <c r="F98" s="980"/>
      <c r="G98" s="401" t="str">
        <f t="shared" si="20"/>
        <v/>
      </c>
      <c r="H98" s="401" t="str">
        <f t="shared" si="21"/>
        <v/>
      </c>
      <c r="I98" s="401">
        <f t="shared" si="22"/>
        <v>2910</v>
      </c>
      <c r="J98" s="981" t="str">
        <f t="shared" si="23"/>
        <v>Herramientas menores</v>
      </c>
      <c r="K98" s="338">
        <f t="shared" si="12"/>
        <v>1736.46</v>
      </c>
      <c r="L98" s="338">
        <f t="shared" si="13"/>
        <v>6012.8899999999994</v>
      </c>
      <c r="M98" s="338">
        <f t="shared" si="14"/>
        <v>7749.3499999999995</v>
      </c>
      <c r="N98" s="338">
        <f t="shared" si="15"/>
        <v>7749.35</v>
      </c>
      <c r="O98" s="338">
        <f t="shared" si="16"/>
        <v>7749.35</v>
      </c>
      <c r="P98" s="338">
        <f t="shared" si="17"/>
        <v>7749.35</v>
      </c>
      <c r="Q98" s="338">
        <f t="shared" si="18"/>
        <v>7749.35</v>
      </c>
      <c r="R98" s="338">
        <f t="shared" si="19"/>
        <v>0</v>
      </c>
    </row>
    <row r="99" spans="1:18" ht="12">
      <c r="A99" s="985">
        <v>2920</v>
      </c>
      <c r="B99" s="984" t="s">
        <v>2717</v>
      </c>
      <c r="C99" s="975" t="str">
        <f t="shared" si="24"/>
        <v>29200</v>
      </c>
      <c r="D99" s="401"/>
      <c r="E99" s="980"/>
      <c r="F99" s="980"/>
      <c r="G99" s="401" t="str">
        <f t="shared" si="20"/>
        <v/>
      </c>
      <c r="H99" s="401" t="str">
        <f t="shared" si="21"/>
        <v/>
      </c>
      <c r="I99" s="401">
        <f t="shared" si="22"/>
        <v>2920</v>
      </c>
      <c r="J99" s="981" t="str">
        <f t="shared" si="23"/>
        <v>Refacciones y accesorios menores de edificios</v>
      </c>
      <c r="K99" s="338">
        <f t="shared" si="12"/>
        <v>0</v>
      </c>
      <c r="L99" s="338">
        <f t="shared" si="13"/>
        <v>1801.0100000000002</v>
      </c>
      <c r="M99" s="338">
        <f t="shared" si="14"/>
        <v>1801.0100000000002</v>
      </c>
      <c r="N99" s="338">
        <f t="shared" si="15"/>
        <v>1801.01</v>
      </c>
      <c r="O99" s="338">
        <f t="shared" si="16"/>
        <v>1801.01</v>
      </c>
      <c r="P99" s="338">
        <f t="shared" si="17"/>
        <v>1801.01</v>
      </c>
      <c r="Q99" s="338">
        <f t="shared" si="18"/>
        <v>1801.01</v>
      </c>
      <c r="R99" s="338">
        <f t="shared" si="19"/>
        <v>0</v>
      </c>
    </row>
    <row r="100" spans="1:18" ht="12">
      <c r="A100" s="985">
        <v>2930</v>
      </c>
      <c r="B100" s="984" t="s">
        <v>2718</v>
      </c>
      <c r="C100" s="975" t="str">
        <f t="shared" si="24"/>
        <v>29300</v>
      </c>
      <c r="D100" s="401"/>
      <c r="E100" s="980"/>
      <c r="F100" s="980"/>
      <c r="G100" s="401" t="str">
        <f t="shared" si="20"/>
        <v/>
      </c>
      <c r="H100" s="401" t="str">
        <f t="shared" si="21"/>
        <v/>
      </c>
      <c r="I100" s="401">
        <f t="shared" si="22"/>
        <v>2930</v>
      </c>
      <c r="J100" s="981" t="str">
        <f t="shared" si="23"/>
        <v>Refacciones y accesorios menores de mobiliario y equipo de administración, educacional y recreativo</v>
      </c>
      <c r="K100" s="338">
        <f t="shared" si="12"/>
        <v>28460.959999999999</v>
      </c>
      <c r="L100" s="338">
        <f t="shared" si="13"/>
        <v>-28460.959999999999</v>
      </c>
      <c r="M100" s="338">
        <f t="shared" si="14"/>
        <v>0</v>
      </c>
      <c r="N100" s="338">
        <f t="shared" si="15"/>
        <v>0</v>
      </c>
      <c r="O100" s="338">
        <f t="shared" si="16"/>
        <v>0</v>
      </c>
      <c r="P100" s="338">
        <f t="shared" si="17"/>
        <v>0</v>
      </c>
      <c r="Q100" s="338">
        <f t="shared" si="18"/>
        <v>0</v>
      </c>
      <c r="R100" s="338">
        <f t="shared" si="19"/>
        <v>0</v>
      </c>
    </row>
    <row r="101" spans="1:18" ht="12">
      <c r="A101" s="985">
        <v>2940</v>
      </c>
      <c r="B101" s="984" t="s">
        <v>2719</v>
      </c>
      <c r="C101" s="975" t="str">
        <f t="shared" si="24"/>
        <v>29400</v>
      </c>
      <c r="D101" s="401"/>
      <c r="E101" s="980"/>
      <c r="F101" s="980"/>
      <c r="G101" s="401" t="str">
        <f t="shared" si="20"/>
        <v/>
      </c>
      <c r="H101" s="401" t="str">
        <f t="shared" si="21"/>
        <v/>
      </c>
      <c r="I101" s="401">
        <f t="shared" si="22"/>
        <v>2940</v>
      </c>
      <c r="J101" s="981" t="str">
        <f t="shared" si="23"/>
        <v>Refacciones y accesorios menores de equipo de cómputo y tecnologías de la información</v>
      </c>
      <c r="K101" s="338">
        <f t="shared" si="12"/>
        <v>51828.62</v>
      </c>
      <c r="L101" s="338">
        <f t="shared" si="13"/>
        <v>29460.179999999993</v>
      </c>
      <c r="M101" s="338">
        <f t="shared" si="14"/>
        <v>81288.799999999988</v>
      </c>
      <c r="N101" s="338">
        <f t="shared" si="15"/>
        <v>81288.800000000003</v>
      </c>
      <c r="O101" s="338">
        <f t="shared" si="16"/>
        <v>81288.800000000003</v>
      </c>
      <c r="P101" s="338">
        <f t="shared" si="17"/>
        <v>81288.800000000003</v>
      </c>
      <c r="Q101" s="338">
        <f t="shared" si="18"/>
        <v>81288.800000000003</v>
      </c>
      <c r="R101" s="338">
        <f t="shared" si="19"/>
        <v>0</v>
      </c>
    </row>
    <row r="102" spans="1:18" ht="12">
      <c r="A102" s="985">
        <v>2950</v>
      </c>
      <c r="B102" s="984" t="s">
        <v>2720</v>
      </c>
      <c r="C102" s="975" t="str">
        <f t="shared" si="24"/>
        <v>29500</v>
      </c>
      <c r="D102" s="401"/>
      <c r="E102" s="980"/>
      <c r="F102" s="980"/>
      <c r="G102" s="401" t="str">
        <f t="shared" si="20"/>
        <v/>
      </c>
      <c r="H102" s="401" t="str">
        <f t="shared" si="21"/>
        <v/>
      </c>
      <c r="I102" s="401">
        <f t="shared" si="22"/>
        <v>2950</v>
      </c>
      <c r="J102" s="981" t="str">
        <f t="shared" si="23"/>
        <v>Refacciones y accesorios menores de equipo e instrumental médico y de laboratorio</v>
      </c>
      <c r="K102" s="338">
        <f t="shared" si="12"/>
        <v>0</v>
      </c>
      <c r="L102" s="338">
        <f t="shared" si="13"/>
        <v>0</v>
      </c>
      <c r="M102" s="338">
        <f t="shared" si="14"/>
        <v>0</v>
      </c>
      <c r="N102" s="338">
        <f t="shared" si="15"/>
        <v>0</v>
      </c>
      <c r="O102" s="338">
        <f t="shared" si="16"/>
        <v>0</v>
      </c>
      <c r="P102" s="338">
        <f t="shared" si="17"/>
        <v>0</v>
      </c>
      <c r="Q102" s="338">
        <f t="shared" si="18"/>
        <v>0</v>
      </c>
      <c r="R102" s="338">
        <f t="shared" si="19"/>
        <v>0</v>
      </c>
    </row>
    <row r="103" spans="1:18" ht="12">
      <c r="A103" s="985">
        <v>2960</v>
      </c>
      <c r="B103" s="984" t="s">
        <v>2721</v>
      </c>
      <c r="C103" s="975" t="str">
        <f t="shared" si="24"/>
        <v>29600</v>
      </c>
      <c r="D103" s="401"/>
      <c r="E103" s="980"/>
      <c r="F103" s="980"/>
      <c r="G103" s="401" t="str">
        <f t="shared" si="20"/>
        <v/>
      </c>
      <c r="H103" s="401" t="str">
        <f t="shared" si="21"/>
        <v/>
      </c>
      <c r="I103" s="401">
        <f t="shared" si="22"/>
        <v>2960</v>
      </c>
      <c r="J103" s="981" t="str">
        <f t="shared" si="23"/>
        <v>Refacciones y accesorios menores de equipo de transporte</v>
      </c>
      <c r="K103" s="338">
        <f t="shared" si="12"/>
        <v>0</v>
      </c>
      <c r="L103" s="338">
        <f t="shared" si="13"/>
        <v>0</v>
      </c>
      <c r="M103" s="338">
        <f t="shared" si="14"/>
        <v>0</v>
      </c>
      <c r="N103" s="338">
        <f t="shared" si="15"/>
        <v>0</v>
      </c>
      <c r="O103" s="338">
        <f t="shared" si="16"/>
        <v>0</v>
      </c>
      <c r="P103" s="338">
        <f t="shared" si="17"/>
        <v>0</v>
      </c>
      <c r="Q103" s="338">
        <f t="shared" si="18"/>
        <v>0</v>
      </c>
      <c r="R103" s="338">
        <f t="shared" si="19"/>
        <v>0</v>
      </c>
    </row>
    <row r="104" spans="1:18" ht="12">
      <c r="A104" s="985">
        <v>2970</v>
      </c>
      <c r="B104" s="984" t="s">
        <v>2722</v>
      </c>
      <c r="C104" s="975" t="str">
        <f t="shared" si="24"/>
        <v>29700</v>
      </c>
      <c r="D104" s="401"/>
      <c r="E104" s="980"/>
      <c r="F104" s="980"/>
      <c r="G104" s="401" t="str">
        <f t="shared" si="20"/>
        <v/>
      </c>
      <c r="H104" s="401" t="str">
        <f t="shared" si="21"/>
        <v/>
      </c>
      <c r="I104" s="401">
        <f t="shared" si="22"/>
        <v>2970</v>
      </c>
      <c r="J104" s="981" t="str">
        <f t="shared" si="23"/>
        <v>Refacciones y accesorios menores de equipo de defensa y seguridad</v>
      </c>
      <c r="K104" s="338">
        <f t="shared" si="12"/>
        <v>0</v>
      </c>
      <c r="L104" s="338">
        <f t="shared" si="13"/>
        <v>0</v>
      </c>
      <c r="M104" s="338">
        <f t="shared" si="14"/>
        <v>0</v>
      </c>
      <c r="N104" s="338">
        <f t="shared" si="15"/>
        <v>0</v>
      </c>
      <c r="O104" s="338">
        <f t="shared" si="16"/>
        <v>0</v>
      </c>
      <c r="P104" s="338">
        <f t="shared" si="17"/>
        <v>0</v>
      </c>
      <c r="Q104" s="338">
        <f t="shared" si="18"/>
        <v>0</v>
      </c>
      <c r="R104" s="338">
        <f t="shared" si="19"/>
        <v>0</v>
      </c>
    </row>
    <row r="105" spans="1:18" ht="12">
      <c r="A105" s="985">
        <v>2980</v>
      </c>
      <c r="B105" s="984" t="s">
        <v>2723</v>
      </c>
      <c r="C105" s="975" t="str">
        <f t="shared" si="24"/>
        <v>29800</v>
      </c>
      <c r="D105" s="401"/>
      <c r="E105" s="980"/>
      <c r="F105" s="980"/>
      <c r="G105" s="401" t="str">
        <f t="shared" si="20"/>
        <v/>
      </c>
      <c r="H105" s="401" t="str">
        <f t="shared" si="21"/>
        <v/>
      </c>
      <c r="I105" s="401">
        <f t="shared" si="22"/>
        <v>2980</v>
      </c>
      <c r="J105" s="981" t="str">
        <f t="shared" si="23"/>
        <v>Refacciones y accesorios menores de maquinaria y otros equipos</v>
      </c>
      <c r="K105" s="338">
        <f t="shared" si="12"/>
        <v>0</v>
      </c>
      <c r="L105" s="338">
        <f t="shared" si="13"/>
        <v>0</v>
      </c>
      <c r="M105" s="338">
        <f t="shared" si="14"/>
        <v>0</v>
      </c>
      <c r="N105" s="338">
        <f t="shared" si="15"/>
        <v>0</v>
      </c>
      <c r="O105" s="338">
        <f t="shared" si="16"/>
        <v>0</v>
      </c>
      <c r="P105" s="338">
        <f t="shared" si="17"/>
        <v>0</v>
      </c>
      <c r="Q105" s="338">
        <f t="shared" si="18"/>
        <v>0</v>
      </c>
      <c r="R105" s="338">
        <f t="shared" si="19"/>
        <v>0</v>
      </c>
    </row>
    <row r="106" spans="1:18" ht="12">
      <c r="A106" s="985">
        <v>2990</v>
      </c>
      <c r="B106" s="984" t="s">
        <v>2724</v>
      </c>
      <c r="C106" s="975" t="str">
        <f t="shared" si="24"/>
        <v>29900</v>
      </c>
      <c r="D106" s="401"/>
      <c r="E106" s="980"/>
      <c r="F106" s="980"/>
      <c r="G106" s="401" t="str">
        <f t="shared" si="20"/>
        <v/>
      </c>
      <c r="H106" s="401" t="str">
        <f t="shared" si="21"/>
        <v/>
      </c>
      <c r="I106" s="401">
        <f t="shared" si="22"/>
        <v>2990</v>
      </c>
      <c r="J106" s="981" t="str">
        <f t="shared" si="23"/>
        <v>Refacciones y accesorios menores otros bienes muebles</v>
      </c>
      <c r="K106" s="338">
        <f t="shared" si="12"/>
        <v>0</v>
      </c>
      <c r="L106" s="338">
        <f t="shared" si="13"/>
        <v>0</v>
      </c>
      <c r="M106" s="338">
        <f t="shared" si="14"/>
        <v>0</v>
      </c>
      <c r="N106" s="338">
        <f t="shared" si="15"/>
        <v>0</v>
      </c>
      <c r="O106" s="338">
        <f t="shared" si="16"/>
        <v>0</v>
      </c>
      <c r="P106" s="338">
        <f t="shared" si="17"/>
        <v>0</v>
      </c>
      <c r="Q106" s="338">
        <f t="shared" si="18"/>
        <v>0</v>
      </c>
      <c r="R106" s="338">
        <f t="shared" si="19"/>
        <v>0</v>
      </c>
    </row>
    <row r="107" spans="1:18">
      <c r="A107" s="229">
        <v>3000</v>
      </c>
      <c r="B107" s="230" t="s">
        <v>262</v>
      </c>
      <c r="C107" s="975" t="str">
        <f t="shared" si="24"/>
        <v>30000</v>
      </c>
      <c r="D107" s="401"/>
      <c r="E107" s="980"/>
      <c r="F107" s="980"/>
      <c r="G107" s="401">
        <f t="shared" si="20"/>
        <v>3000</v>
      </c>
      <c r="H107" s="401" t="str">
        <f t="shared" si="21"/>
        <v/>
      </c>
      <c r="I107" s="401" t="str">
        <f t="shared" si="22"/>
        <v/>
      </c>
      <c r="J107" s="981" t="str">
        <f t="shared" si="23"/>
        <v>SERVICIOS GENERALES</v>
      </c>
      <c r="K107" s="338">
        <f t="shared" si="12"/>
        <v>15301570.999999998</v>
      </c>
      <c r="L107" s="338">
        <f t="shared" si="13"/>
        <v>350566.11000000057</v>
      </c>
      <c r="M107" s="338">
        <f t="shared" si="14"/>
        <v>15652137.109999999</v>
      </c>
      <c r="N107" s="338">
        <f t="shared" si="15"/>
        <v>15652137.109999999</v>
      </c>
      <c r="O107" s="338">
        <f t="shared" si="16"/>
        <v>15652137.109999999</v>
      </c>
      <c r="P107" s="338">
        <f t="shared" si="17"/>
        <v>15652137.109999999</v>
      </c>
      <c r="Q107" s="338">
        <f t="shared" si="18"/>
        <v>15517128.109999999</v>
      </c>
      <c r="R107" s="338">
        <f t="shared" si="19"/>
        <v>0</v>
      </c>
    </row>
    <row r="108" spans="1:18">
      <c r="A108" s="229">
        <v>3100</v>
      </c>
      <c r="B108" s="230" t="s">
        <v>199</v>
      </c>
      <c r="C108" s="975" t="str">
        <f t="shared" si="24"/>
        <v>31000</v>
      </c>
      <c r="D108" s="401"/>
      <c r="E108" s="980"/>
      <c r="F108" s="980"/>
      <c r="G108" s="401" t="str">
        <f t="shared" si="20"/>
        <v/>
      </c>
      <c r="H108" s="401">
        <f t="shared" si="21"/>
        <v>3100</v>
      </c>
      <c r="I108" s="401" t="str">
        <f t="shared" si="22"/>
        <v/>
      </c>
      <c r="J108" s="981" t="str">
        <f t="shared" si="23"/>
        <v>Servicios básicos</v>
      </c>
      <c r="K108" s="338">
        <f t="shared" si="12"/>
        <v>1090627.8</v>
      </c>
      <c r="L108" s="338">
        <f t="shared" si="13"/>
        <v>-93173.98000000001</v>
      </c>
      <c r="M108" s="338">
        <f t="shared" si="14"/>
        <v>997453.82000000007</v>
      </c>
      <c r="N108" s="338">
        <f t="shared" si="15"/>
        <v>997453.82000000007</v>
      </c>
      <c r="O108" s="338">
        <f t="shared" si="16"/>
        <v>997453.82000000007</v>
      </c>
      <c r="P108" s="338">
        <f t="shared" si="17"/>
        <v>997453.82000000007</v>
      </c>
      <c r="Q108" s="338">
        <f t="shared" si="18"/>
        <v>910822.82000000007</v>
      </c>
      <c r="R108" s="338">
        <f t="shared" si="19"/>
        <v>0</v>
      </c>
    </row>
    <row r="109" spans="1:18" ht="12">
      <c r="A109" s="985">
        <v>3110</v>
      </c>
      <c r="B109" s="984" t="s">
        <v>2725</v>
      </c>
      <c r="C109" s="975" t="str">
        <f t="shared" si="24"/>
        <v>31100</v>
      </c>
      <c r="D109" s="401"/>
      <c r="E109" s="980"/>
      <c r="F109" s="980"/>
      <c r="G109" s="401" t="str">
        <f t="shared" si="20"/>
        <v/>
      </c>
      <c r="H109" s="401" t="str">
        <f t="shared" si="21"/>
        <v/>
      </c>
      <c r="I109" s="401">
        <f t="shared" si="22"/>
        <v>3110</v>
      </c>
      <c r="J109" s="981" t="str">
        <f t="shared" si="23"/>
        <v>Energía eléctrica</v>
      </c>
      <c r="K109" s="338">
        <f t="shared" si="12"/>
        <v>219813.34000000003</v>
      </c>
      <c r="L109" s="338">
        <f t="shared" si="13"/>
        <v>94085.659999999989</v>
      </c>
      <c r="M109" s="338">
        <f t="shared" si="14"/>
        <v>313899</v>
      </c>
      <c r="N109" s="338">
        <f t="shared" si="15"/>
        <v>313899</v>
      </c>
      <c r="O109" s="338">
        <f t="shared" si="16"/>
        <v>313899</v>
      </c>
      <c r="P109" s="338">
        <f t="shared" si="17"/>
        <v>313899</v>
      </c>
      <c r="Q109" s="338">
        <f t="shared" si="18"/>
        <v>278899</v>
      </c>
      <c r="R109" s="338">
        <f t="shared" si="19"/>
        <v>0</v>
      </c>
    </row>
    <row r="110" spans="1:18" ht="12">
      <c r="A110" s="985">
        <v>3120</v>
      </c>
      <c r="B110" s="984" t="s">
        <v>2726</v>
      </c>
      <c r="C110" s="975" t="str">
        <f t="shared" si="24"/>
        <v>31200</v>
      </c>
      <c r="D110" s="401"/>
      <c r="E110" s="980"/>
      <c r="F110" s="980"/>
      <c r="G110" s="401" t="str">
        <f t="shared" si="20"/>
        <v/>
      </c>
      <c r="H110" s="401" t="str">
        <f t="shared" si="21"/>
        <v/>
      </c>
      <c r="I110" s="401">
        <f t="shared" si="22"/>
        <v>3120</v>
      </c>
      <c r="J110" s="981" t="str">
        <f t="shared" si="23"/>
        <v>Gas</v>
      </c>
      <c r="K110" s="338">
        <f t="shared" si="12"/>
        <v>0</v>
      </c>
      <c r="L110" s="338">
        <f t="shared" si="13"/>
        <v>0</v>
      </c>
      <c r="M110" s="338">
        <f t="shared" si="14"/>
        <v>0</v>
      </c>
      <c r="N110" s="338">
        <f t="shared" si="15"/>
        <v>0</v>
      </c>
      <c r="O110" s="338">
        <f t="shared" si="16"/>
        <v>0</v>
      </c>
      <c r="P110" s="338">
        <f t="shared" si="17"/>
        <v>0</v>
      </c>
      <c r="Q110" s="338">
        <f t="shared" si="18"/>
        <v>0</v>
      </c>
      <c r="R110" s="338">
        <f t="shared" si="19"/>
        <v>0</v>
      </c>
    </row>
    <row r="111" spans="1:18" ht="12">
      <c r="A111" s="985">
        <v>3130</v>
      </c>
      <c r="B111" s="984" t="s">
        <v>2727</v>
      </c>
      <c r="C111" s="975" t="str">
        <f t="shared" si="24"/>
        <v>31300</v>
      </c>
      <c r="D111" s="401"/>
      <c r="E111" s="980"/>
      <c r="F111" s="980"/>
      <c r="G111" s="401" t="str">
        <f t="shared" si="20"/>
        <v/>
      </c>
      <c r="H111" s="401" t="str">
        <f t="shared" si="21"/>
        <v/>
      </c>
      <c r="I111" s="401">
        <f t="shared" si="22"/>
        <v>3130</v>
      </c>
      <c r="J111" s="981" t="str">
        <f t="shared" si="23"/>
        <v>Agua</v>
      </c>
      <c r="K111" s="338">
        <f t="shared" si="12"/>
        <v>30693.93</v>
      </c>
      <c r="L111" s="338">
        <f t="shared" si="13"/>
        <v>-21261.93</v>
      </c>
      <c r="M111" s="338">
        <f t="shared" si="14"/>
        <v>9432</v>
      </c>
      <c r="N111" s="338">
        <f t="shared" si="15"/>
        <v>9432</v>
      </c>
      <c r="O111" s="338">
        <f t="shared" si="16"/>
        <v>9432</v>
      </c>
      <c r="P111" s="338">
        <f t="shared" si="17"/>
        <v>9432</v>
      </c>
      <c r="Q111" s="338">
        <f t="shared" si="18"/>
        <v>8740</v>
      </c>
      <c r="R111" s="338">
        <f t="shared" si="19"/>
        <v>0</v>
      </c>
    </row>
    <row r="112" spans="1:18" ht="12">
      <c r="A112" s="985">
        <v>3140</v>
      </c>
      <c r="B112" s="984" t="s">
        <v>2728</v>
      </c>
      <c r="C112" s="975" t="str">
        <f t="shared" si="24"/>
        <v>31400</v>
      </c>
      <c r="D112" s="401"/>
      <c r="E112" s="980"/>
      <c r="F112" s="980"/>
      <c r="G112" s="401" t="str">
        <f t="shared" si="20"/>
        <v/>
      </c>
      <c r="H112" s="401" t="str">
        <f t="shared" si="21"/>
        <v/>
      </c>
      <c r="I112" s="401">
        <f t="shared" si="22"/>
        <v>3140</v>
      </c>
      <c r="J112" s="981" t="str">
        <f t="shared" si="23"/>
        <v>Telefonía tradicional</v>
      </c>
      <c r="K112" s="338">
        <f t="shared" si="12"/>
        <v>169353.17</v>
      </c>
      <c r="L112" s="338">
        <f t="shared" si="13"/>
        <v>-77920.180000000008</v>
      </c>
      <c r="M112" s="338">
        <f t="shared" si="14"/>
        <v>91432.99</v>
      </c>
      <c r="N112" s="338">
        <f t="shared" si="15"/>
        <v>91432.99</v>
      </c>
      <c r="O112" s="338">
        <f t="shared" si="16"/>
        <v>91432.99</v>
      </c>
      <c r="P112" s="338">
        <f t="shared" si="17"/>
        <v>91432.99</v>
      </c>
      <c r="Q112" s="338">
        <f t="shared" si="18"/>
        <v>77993.990000000005</v>
      </c>
      <c r="R112" s="338">
        <f t="shared" si="19"/>
        <v>0</v>
      </c>
    </row>
    <row r="113" spans="1:18" ht="12">
      <c r="A113" s="985">
        <v>3150</v>
      </c>
      <c r="B113" s="984" t="s">
        <v>2729</v>
      </c>
      <c r="C113" s="975" t="str">
        <f t="shared" si="24"/>
        <v>31500</v>
      </c>
      <c r="D113" s="401"/>
      <c r="E113" s="980"/>
      <c r="F113" s="980"/>
      <c r="G113" s="401" t="str">
        <f t="shared" si="20"/>
        <v/>
      </c>
      <c r="H113" s="401" t="str">
        <f t="shared" si="21"/>
        <v/>
      </c>
      <c r="I113" s="401">
        <f t="shared" si="22"/>
        <v>3150</v>
      </c>
      <c r="J113" s="981" t="str">
        <f t="shared" si="23"/>
        <v>Telefonía celular</v>
      </c>
      <c r="K113" s="338">
        <f t="shared" si="12"/>
        <v>105743.77</v>
      </c>
      <c r="L113" s="338">
        <f t="shared" si="13"/>
        <v>-33145.770000000004</v>
      </c>
      <c r="M113" s="338">
        <f t="shared" si="14"/>
        <v>72598</v>
      </c>
      <c r="N113" s="338">
        <f t="shared" si="15"/>
        <v>72598</v>
      </c>
      <c r="O113" s="338">
        <f t="shared" si="16"/>
        <v>72598</v>
      </c>
      <c r="P113" s="338">
        <f t="shared" si="17"/>
        <v>72598</v>
      </c>
      <c r="Q113" s="338">
        <f t="shared" si="18"/>
        <v>64598</v>
      </c>
      <c r="R113" s="338">
        <f t="shared" si="19"/>
        <v>0</v>
      </c>
    </row>
    <row r="114" spans="1:18" ht="12">
      <c r="A114" s="985">
        <v>3160</v>
      </c>
      <c r="B114" s="984" t="s">
        <v>2730</v>
      </c>
      <c r="C114" s="975" t="str">
        <f t="shared" si="24"/>
        <v>31600</v>
      </c>
      <c r="D114" s="401"/>
      <c r="E114" s="980"/>
      <c r="F114" s="980"/>
      <c r="G114" s="401" t="str">
        <f t="shared" si="20"/>
        <v/>
      </c>
      <c r="H114" s="401" t="str">
        <f t="shared" si="21"/>
        <v/>
      </c>
      <c r="I114" s="401">
        <f t="shared" si="22"/>
        <v>3160</v>
      </c>
      <c r="J114" s="981" t="str">
        <f t="shared" si="23"/>
        <v>Servicios de telecomunicaciones y satélites</v>
      </c>
      <c r="K114" s="338">
        <f t="shared" si="12"/>
        <v>0</v>
      </c>
      <c r="L114" s="338">
        <f t="shared" si="13"/>
        <v>0</v>
      </c>
      <c r="M114" s="338">
        <f t="shared" si="14"/>
        <v>0</v>
      </c>
      <c r="N114" s="338">
        <f t="shared" si="15"/>
        <v>0</v>
      </c>
      <c r="O114" s="338">
        <f t="shared" si="16"/>
        <v>0</v>
      </c>
      <c r="P114" s="338">
        <f t="shared" si="17"/>
        <v>0</v>
      </c>
      <c r="Q114" s="338">
        <f t="shared" si="18"/>
        <v>0</v>
      </c>
      <c r="R114" s="338">
        <f t="shared" si="19"/>
        <v>0</v>
      </c>
    </row>
    <row r="115" spans="1:18" ht="12">
      <c r="A115" s="985">
        <v>3170</v>
      </c>
      <c r="B115" s="984" t="s">
        <v>2731</v>
      </c>
      <c r="C115" s="975" t="str">
        <f t="shared" si="24"/>
        <v>31700</v>
      </c>
      <c r="D115" s="401"/>
      <c r="E115" s="980"/>
      <c r="F115" s="980"/>
      <c r="G115" s="401" t="str">
        <f t="shared" si="20"/>
        <v/>
      </c>
      <c r="H115" s="401" t="str">
        <f t="shared" si="21"/>
        <v/>
      </c>
      <c r="I115" s="401">
        <f t="shared" si="22"/>
        <v>3170</v>
      </c>
      <c r="J115" s="981" t="str">
        <f t="shared" si="23"/>
        <v>Servicios de acceso de Internet, redes y procesamiento de información</v>
      </c>
      <c r="K115" s="338">
        <f t="shared" si="12"/>
        <v>289130.88</v>
      </c>
      <c r="L115" s="338">
        <f t="shared" si="13"/>
        <v>44435.45</v>
      </c>
      <c r="M115" s="338">
        <f t="shared" si="14"/>
        <v>333566.33</v>
      </c>
      <c r="N115" s="338">
        <f t="shared" si="15"/>
        <v>333566.33</v>
      </c>
      <c r="O115" s="338">
        <f t="shared" si="16"/>
        <v>333566.33</v>
      </c>
      <c r="P115" s="338">
        <f t="shared" si="17"/>
        <v>333566.33</v>
      </c>
      <c r="Q115" s="338">
        <f t="shared" si="18"/>
        <v>304066.33</v>
      </c>
      <c r="R115" s="338">
        <f t="shared" si="19"/>
        <v>0</v>
      </c>
    </row>
    <row r="116" spans="1:18" ht="12">
      <c r="A116" s="985">
        <v>3180</v>
      </c>
      <c r="B116" s="984" t="s">
        <v>2732</v>
      </c>
      <c r="C116" s="975" t="str">
        <f t="shared" si="24"/>
        <v>31800</v>
      </c>
      <c r="D116" s="401"/>
      <c r="E116" s="980"/>
      <c r="F116" s="980"/>
      <c r="G116" s="401" t="str">
        <f t="shared" si="20"/>
        <v/>
      </c>
      <c r="H116" s="401" t="str">
        <f t="shared" si="21"/>
        <v/>
      </c>
      <c r="I116" s="401">
        <f t="shared" si="22"/>
        <v>3180</v>
      </c>
      <c r="J116" s="981" t="str">
        <f t="shared" si="23"/>
        <v>Servicios postales y telegráficos</v>
      </c>
      <c r="K116" s="338">
        <f t="shared" si="12"/>
        <v>275892.71000000002</v>
      </c>
      <c r="L116" s="338">
        <f t="shared" si="13"/>
        <v>-99367.209999999992</v>
      </c>
      <c r="M116" s="338">
        <f t="shared" si="14"/>
        <v>176525.50000000003</v>
      </c>
      <c r="N116" s="338">
        <f t="shared" si="15"/>
        <v>176525.5</v>
      </c>
      <c r="O116" s="338">
        <f t="shared" si="16"/>
        <v>176525.5</v>
      </c>
      <c r="P116" s="338">
        <f t="shared" si="17"/>
        <v>176525.5</v>
      </c>
      <c r="Q116" s="338">
        <f t="shared" si="18"/>
        <v>176525.5</v>
      </c>
      <c r="R116" s="338">
        <f t="shared" si="19"/>
        <v>0</v>
      </c>
    </row>
    <row r="117" spans="1:18" ht="12">
      <c r="A117" s="985">
        <v>3190</v>
      </c>
      <c r="B117" s="984" t="s">
        <v>2733</v>
      </c>
      <c r="C117" s="975" t="str">
        <f t="shared" si="24"/>
        <v>31900</v>
      </c>
      <c r="D117" s="401"/>
      <c r="E117" s="980"/>
      <c r="F117" s="980"/>
      <c r="G117" s="401" t="str">
        <f t="shared" si="20"/>
        <v/>
      </c>
      <c r="H117" s="401" t="str">
        <f t="shared" si="21"/>
        <v/>
      </c>
      <c r="I117" s="401">
        <f t="shared" si="22"/>
        <v>3190</v>
      </c>
      <c r="J117" s="981" t="str">
        <f t="shared" si="23"/>
        <v>Servicios integrales y otros servicios</v>
      </c>
      <c r="K117" s="338">
        <f t="shared" si="12"/>
        <v>0</v>
      </c>
      <c r="L117" s="338">
        <f t="shared" si="13"/>
        <v>0</v>
      </c>
      <c r="M117" s="338">
        <f t="shared" si="14"/>
        <v>0</v>
      </c>
      <c r="N117" s="338">
        <f t="shared" si="15"/>
        <v>0</v>
      </c>
      <c r="O117" s="338">
        <f t="shared" si="16"/>
        <v>0</v>
      </c>
      <c r="P117" s="338">
        <f t="shared" si="17"/>
        <v>0</v>
      </c>
      <c r="Q117" s="338">
        <f t="shared" si="18"/>
        <v>0</v>
      </c>
      <c r="R117" s="338">
        <f t="shared" si="19"/>
        <v>0</v>
      </c>
    </row>
    <row r="118" spans="1:18">
      <c r="A118" s="229">
        <v>3200</v>
      </c>
      <c r="B118" s="230" t="s">
        <v>200</v>
      </c>
      <c r="C118" s="975" t="str">
        <f t="shared" si="24"/>
        <v>32000</v>
      </c>
      <c r="D118" s="401"/>
      <c r="E118" s="980"/>
      <c r="F118" s="980"/>
      <c r="G118" s="401" t="str">
        <f t="shared" si="20"/>
        <v/>
      </c>
      <c r="H118" s="401">
        <f t="shared" si="21"/>
        <v>3200</v>
      </c>
      <c r="I118" s="401" t="str">
        <f t="shared" si="22"/>
        <v/>
      </c>
      <c r="J118" s="981" t="str">
        <f t="shared" si="23"/>
        <v>Servicios de arrendamiento</v>
      </c>
      <c r="K118" s="338">
        <f t="shared" si="12"/>
        <v>1601484.6199999999</v>
      </c>
      <c r="L118" s="338">
        <f t="shared" si="13"/>
        <v>77391.70000000007</v>
      </c>
      <c r="M118" s="338">
        <f t="shared" si="14"/>
        <v>1678876.3199999998</v>
      </c>
      <c r="N118" s="338">
        <f t="shared" si="15"/>
        <v>1678876.3199999998</v>
      </c>
      <c r="O118" s="338">
        <f t="shared" si="16"/>
        <v>1678876.3199999998</v>
      </c>
      <c r="P118" s="338">
        <f t="shared" si="17"/>
        <v>1678876.3199999998</v>
      </c>
      <c r="Q118" s="338">
        <f t="shared" si="18"/>
        <v>1672148.3199999998</v>
      </c>
      <c r="R118" s="338">
        <f t="shared" si="19"/>
        <v>0</v>
      </c>
    </row>
    <row r="119" spans="1:18" ht="12">
      <c r="A119" s="985">
        <v>3210</v>
      </c>
      <c r="B119" s="984" t="s">
        <v>2734</v>
      </c>
      <c r="C119" s="975" t="str">
        <f t="shared" si="24"/>
        <v>32100</v>
      </c>
      <c r="D119" s="401"/>
      <c r="E119" s="980"/>
      <c r="F119" s="980"/>
      <c r="G119" s="401" t="str">
        <f t="shared" si="20"/>
        <v/>
      </c>
      <c r="H119" s="401" t="str">
        <f t="shared" si="21"/>
        <v/>
      </c>
      <c r="I119" s="401">
        <f t="shared" si="22"/>
        <v>3210</v>
      </c>
      <c r="J119" s="981" t="str">
        <f t="shared" si="23"/>
        <v>Arrendamiento de terrenos</v>
      </c>
      <c r="K119" s="338">
        <f t="shared" si="12"/>
        <v>0</v>
      </c>
      <c r="L119" s="338">
        <f t="shared" si="13"/>
        <v>0</v>
      </c>
      <c r="M119" s="338">
        <f t="shared" si="14"/>
        <v>0</v>
      </c>
      <c r="N119" s="338">
        <f t="shared" si="15"/>
        <v>0</v>
      </c>
      <c r="O119" s="338">
        <f t="shared" si="16"/>
        <v>0</v>
      </c>
      <c r="P119" s="338">
        <f t="shared" si="17"/>
        <v>0</v>
      </c>
      <c r="Q119" s="338">
        <f t="shared" si="18"/>
        <v>0</v>
      </c>
      <c r="R119" s="338">
        <f t="shared" si="19"/>
        <v>0</v>
      </c>
    </row>
    <row r="120" spans="1:18" ht="12">
      <c r="A120" s="985">
        <v>3220</v>
      </c>
      <c r="B120" s="984" t="s">
        <v>2735</v>
      </c>
      <c r="C120" s="975" t="str">
        <f t="shared" si="24"/>
        <v>32200</v>
      </c>
      <c r="D120" s="401"/>
      <c r="E120" s="980"/>
      <c r="F120" s="980"/>
      <c r="G120" s="401" t="str">
        <f t="shared" si="20"/>
        <v/>
      </c>
      <c r="H120" s="401" t="str">
        <f t="shared" si="21"/>
        <v/>
      </c>
      <c r="I120" s="401">
        <f t="shared" si="22"/>
        <v>3220</v>
      </c>
      <c r="J120" s="981" t="str">
        <f t="shared" si="23"/>
        <v>Arrendamiento de edificios</v>
      </c>
      <c r="K120" s="338">
        <f t="shared" si="12"/>
        <v>1400786.63</v>
      </c>
      <c r="L120" s="338">
        <f t="shared" si="13"/>
        <v>62110.73000000004</v>
      </c>
      <c r="M120" s="338">
        <f t="shared" si="14"/>
        <v>1462897.3599999999</v>
      </c>
      <c r="N120" s="338">
        <f t="shared" si="15"/>
        <v>1462897.3599999999</v>
      </c>
      <c r="O120" s="338">
        <f t="shared" si="16"/>
        <v>1462897.3599999999</v>
      </c>
      <c r="P120" s="338">
        <f t="shared" si="17"/>
        <v>1462897.3599999999</v>
      </c>
      <c r="Q120" s="338">
        <f t="shared" si="18"/>
        <v>1462897.3599999999</v>
      </c>
      <c r="R120" s="338">
        <f t="shared" si="19"/>
        <v>0</v>
      </c>
    </row>
    <row r="121" spans="1:18" ht="12">
      <c r="A121" s="985">
        <v>3230</v>
      </c>
      <c r="B121" s="984" t="s">
        <v>2736</v>
      </c>
      <c r="C121" s="975" t="str">
        <f t="shared" si="24"/>
        <v>32300</v>
      </c>
      <c r="D121" s="401"/>
      <c r="E121" s="980"/>
      <c r="F121" s="980"/>
      <c r="G121" s="401" t="str">
        <f t="shared" si="20"/>
        <v/>
      </c>
      <c r="H121" s="401" t="str">
        <f t="shared" si="21"/>
        <v/>
      </c>
      <c r="I121" s="401">
        <f t="shared" si="22"/>
        <v>3230</v>
      </c>
      <c r="J121" s="981" t="str">
        <f t="shared" si="23"/>
        <v>Arrendamiento de mobiliario y equipo de administración, educacional y recreativo</v>
      </c>
      <c r="K121" s="338">
        <f t="shared" si="12"/>
        <v>51615.360000000001</v>
      </c>
      <c r="L121" s="338">
        <f t="shared" si="13"/>
        <v>22392.639999999999</v>
      </c>
      <c r="M121" s="338">
        <f t="shared" si="14"/>
        <v>74008</v>
      </c>
      <c r="N121" s="338">
        <f t="shared" si="15"/>
        <v>74008</v>
      </c>
      <c r="O121" s="338">
        <f t="shared" si="16"/>
        <v>74008</v>
      </c>
      <c r="P121" s="338">
        <f t="shared" si="17"/>
        <v>74008</v>
      </c>
      <c r="Q121" s="338">
        <f t="shared" si="18"/>
        <v>74008</v>
      </c>
      <c r="R121" s="338">
        <f t="shared" si="19"/>
        <v>0</v>
      </c>
    </row>
    <row r="122" spans="1:18" ht="12">
      <c r="A122" s="985">
        <v>3240</v>
      </c>
      <c r="B122" s="984" t="s">
        <v>2737</v>
      </c>
      <c r="C122" s="975" t="str">
        <f t="shared" si="24"/>
        <v>32400</v>
      </c>
      <c r="D122" s="401"/>
      <c r="E122" s="980"/>
      <c r="F122" s="980"/>
      <c r="G122" s="401" t="str">
        <f t="shared" si="20"/>
        <v/>
      </c>
      <c r="H122" s="401" t="str">
        <f t="shared" si="21"/>
        <v/>
      </c>
      <c r="I122" s="401">
        <f t="shared" si="22"/>
        <v>3240</v>
      </c>
      <c r="J122" s="981" t="str">
        <f t="shared" si="23"/>
        <v>Arrendamiento de equipo e instrumental médico y de laboratorio</v>
      </c>
      <c r="K122" s="338">
        <f t="shared" si="12"/>
        <v>0</v>
      </c>
      <c r="L122" s="338">
        <f t="shared" si="13"/>
        <v>0</v>
      </c>
      <c r="M122" s="338">
        <f t="shared" si="14"/>
        <v>0</v>
      </c>
      <c r="N122" s="338">
        <f t="shared" si="15"/>
        <v>0</v>
      </c>
      <c r="O122" s="338">
        <f t="shared" si="16"/>
        <v>0</v>
      </c>
      <c r="P122" s="338">
        <f t="shared" si="17"/>
        <v>0</v>
      </c>
      <c r="Q122" s="338">
        <f t="shared" si="18"/>
        <v>0</v>
      </c>
      <c r="R122" s="338">
        <f t="shared" si="19"/>
        <v>0</v>
      </c>
    </row>
    <row r="123" spans="1:18" ht="12">
      <c r="A123" s="985">
        <v>3250</v>
      </c>
      <c r="B123" s="984" t="s">
        <v>2738</v>
      </c>
      <c r="C123" s="975" t="str">
        <f t="shared" si="24"/>
        <v>32500</v>
      </c>
      <c r="D123" s="401"/>
      <c r="E123" s="980"/>
      <c r="F123" s="980"/>
      <c r="G123" s="401" t="str">
        <f t="shared" si="20"/>
        <v/>
      </c>
      <c r="H123" s="401" t="str">
        <f t="shared" si="21"/>
        <v/>
      </c>
      <c r="I123" s="401">
        <f t="shared" si="22"/>
        <v>3250</v>
      </c>
      <c r="J123" s="981" t="str">
        <f t="shared" si="23"/>
        <v>Arrendamiento de equipo de transporte</v>
      </c>
      <c r="K123" s="338">
        <f t="shared" si="12"/>
        <v>0</v>
      </c>
      <c r="L123" s="338">
        <f t="shared" si="13"/>
        <v>0</v>
      </c>
      <c r="M123" s="338">
        <f t="shared" si="14"/>
        <v>0</v>
      </c>
      <c r="N123" s="338">
        <f t="shared" si="15"/>
        <v>0</v>
      </c>
      <c r="O123" s="338">
        <f t="shared" si="16"/>
        <v>0</v>
      </c>
      <c r="P123" s="338">
        <f t="shared" si="17"/>
        <v>0</v>
      </c>
      <c r="Q123" s="338">
        <f t="shared" si="18"/>
        <v>0</v>
      </c>
      <c r="R123" s="338">
        <f t="shared" si="19"/>
        <v>0</v>
      </c>
    </row>
    <row r="124" spans="1:18" ht="12">
      <c r="A124" s="985">
        <v>3260</v>
      </c>
      <c r="B124" s="984" t="s">
        <v>2739</v>
      </c>
      <c r="C124" s="975" t="str">
        <f t="shared" si="24"/>
        <v>32600</v>
      </c>
      <c r="D124" s="401"/>
      <c r="E124" s="980"/>
      <c r="F124" s="980"/>
      <c r="G124" s="401" t="str">
        <f t="shared" si="20"/>
        <v/>
      </c>
      <c r="H124" s="401" t="str">
        <f t="shared" si="21"/>
        <v/>
      </c>
      <c r="I124" s="401">
        <f t="shared" si="22"/>
        <v>3260</v>
      </c>
      <c r="J124" s="981" t="str">
        <f t="shared" si="23"/>
        <v>Arrendamiento de maquinaria, otros equipos y herramientas</v>
      </c>
      <c r="K124" s="338">
        <f t="shared" si="12"/>
        <v>0</v>
      </c>
      <c r="L124" s="338">
        <f t="shared" si="13"/>
        <v>6728</v>
      </c>
      <c r="M124" s="338">
        <f t="shared" si="14"/>
        <v>6728</v>
      </c>
      <c r="N124" s="338">
        <f t="shared" si="15"/>
        <v>6728</v>
      </c>
      <c r="O124" s="338">
        <f t="shared" si="16"/>
        <v>6728</v>
      </c>
      <c r="P124" s="338">
        <f t="shared" si="17"/>
        <v>6728</v>
      </c>
      <c r="Q124" s="338">
        <f t="shared" si="18"/>
        <v>0</v>
      </c>
      <c r="R124" s="338">
        <f t="shared" si="19"/>
        <v>0</v>
      </c>
    </row>
    <row r="125" spans="1:18" ht="12">
      <c r="A125" s="985">
        <v>3270</v>
      </c>
      <c r="B125" s="984" t="s">
        <v>2740</v>
      </c>
      <c r="C125" s="975" t="str">
        <f t="shared" si="24"/>
        <v>32700</v>
      </c>
      <c r="D125" s="401"/>
      <c r="E125" s="980"/>
      <c r="F125" s="980"/>
      <c r="G125" s="401" t="str">
        <f t="shared" si="20"/>
        <v/>
      </c>
      <c r="H125" s="401" t="str">
        <f t="shared" si="21"/>
        <v/>
      </c>
      <c r="I125" s="401">
        <f t="shared" si="22"/>
        <v>3270</v>
      </c>
      <c r="J125" s="981" t="str">
        <f t="shared" si="23"/>
        <v>Arrendamiento de activos intangibles</v>
      </c>
      <c r="K125" s="338">
        <f t="shared" si="12"/>
        <v>149082.63</v>
      </c>
      <c r="L125" s="338">
        <f t="shared" si="13"/>
        <v>-13839.669999999984</v>
      </c>
      <c r="M125" s="338">
        <f t="shared" si="14"/>
        <v>135242.96000000002</v>
      </c>
      <c r="N125" s="338">
        <f t="shared" si="15"/>
        <v>135242.96</v>
      </c>
      <c r="O125" s="338">
        <f t="shared" si="16"/>
        <v>135242.96</v>
      </c>
      <c r="P125" s="338">
        <f t="shared" si="17"/>
        <v>135242.96</v>
      </c>
      <c r="Q125" s="338">
        <f t="shared" si="18"/>
        <v>135242.96</v>
      </c>
      <c r="R125" s="338">
        <f t="shared" si="19"/>
        <v>0</v>
      </c>
    </row>
    <row r="126" spans="1:18" ht="12">
      <c r="A126" s="985">
        <v>3280</v>
      </c>
      <c r="B126" s="984" t="s">
        <v>2741</v>
      </c>
      <c r="C126" s="975" t="str">
        <f t="shared" si="24"/>
        <v>32800</v>
      </c>
      <c r="D126" s="401"/>
      <c r="E126" s="980"/>
      <c r="F126" s="980"/>
      <c r="G126" s="401" t="str">
        <f t="shared" si="20"/>
        <v/>
      </c>
      <c r="H126" s="401" t="str">
        <f t="shared" si="21"/>
        <v/>
      </c>
      <c r="I126" s="401">
        <f t="shared" si="22"/>
        <v>3280</v>
      </c>
      <c r="J126" s="981" t="str">
        <f t="shared" si="23"/>
        <v>Arrendamiento financiero</v>
      </c>
      <c r="K126" s="338">
        <f t="shared" si="12"/>
        <v>0</v>
      </c>
      <c r="L126" s="338">
        <f t="shared" si="13"/>
        <v>0</v>
      </c>
      <c r="M126" s="338">
        <f t="shared" si="14"/>
        <v>0</v>
      </c>
      <c r="N126" s="338">
        <f t="shared" si="15"/>
        <v>0</v>
      </c>
      <c r="O126" s="338">
        <f t="shared" si="16"/>
        <v>0</v>
      </c>
      <c r="P126" s="338">
        <f t="shared" si="17"/>
        <v>0</v>
      </c>
      <c r="Q126" s="338">
        <f t="shared" si="18"/>
        <v>0</v>
      </c>
      <c r="R126" s="338">
        <f t="shared" si="19"/>
        <v>0</v>
      </c>
    </row>
    <row r="127" spans="1:18" ht="12">
      <c r="A127" s="985">
        <v>3290</v>
      </c>
      <c r="B127" s="984" t="s">
        <v>2742</v>
      </c>
      <c r="C127" s="975" t="str">
        <f t="shared" si="24"/>
        <v>32900</v>
      </c>
      <c r="D127" s="401"/>
      <c r="E127" s="980"/>
      <c r="F127" s="980"/>
      <c r="G127" s="401" t="str">
        <f t="shared" si="20"/>
        <v/>
      </c>
      <c r="H127" s="401" t="str">
        <f t="shared" si="21"/>
        <v/>
      </c>
      <c r="I127" s="401">
        <f t="shared" si="22"/>
        <v>3290</v>
      </c>
      <c r="J127" s="981" t="str">
        <f t="shared" si="23"/>
        <v>Otros arrendamientos</v>
      </c>
      <c r="K127" s="338">
        <f t="shared" si="12"/>
        <v>0</v>
      </c>
      <c r="L127" s="338">
        <f t="shared" si="13"/>
        <v>0</v>
      </c>
      <c r="M127" s="338">
        <f t="shared" si="14"/>
        <v>0</v>
      </c>
      <c r="N127" s="338">
        <f t="shared" si="15"/>
        <v>0</v>
      </c>
      <c r="O127" s="338">
        <f t="shared" si="16"/>
        <v>0</v>
      </c>
      <c r="P127" s="338">
        <f t="shared" si="17"/>
        <v>0</v>
      </c>
      <c r="Q127" s="338">
        <f t="shared" si="18"/>
        <v>0</v>
      </c>
      <c r="R127" s="338">
        <f t="shared" si="19"/>
        <v>0</v>
      </c>
    </row>
    <row r="128" spans="1:18">
      <c r="A128" s="229">
        <v>3300</v>
      </c>
      <c r="B128" s="230" t="s">
        <v>263</v>
      </c>
      <c r="C128" s="975" t="str">
        <f t="shared" si="24"/>
        <v>33000</v>
      </c>
      <c r="D128" s="401"/>
      <c r="E128" s="980"/>
      <c r="F128" s="980"/>
      <c r="G128" s="401" t="str">
        <f t="shared" si="20"/>
        <v/>
      </c>
      <c r="H128" s="401">
        <f t="shared" si="21"/>
        <v>3300</v>
      </c>
      <c r="I128" s="401" t="str">
        <f t="shared" si="22"/>
        <v/>
      </c>
      <c r="J128" s="981" t="str">
        <f t="shared" si="23"/>
        <v>Servicios profesionales, científicos, técnicos y otros servicios</v>
      </c>
      <c r="K128" s="338">
        <f t="shared" si="12"/>
        <v>3691811.1199999996</v>
      </c>
      <c r="L128" s="338">
        <f t="shared" si="13"/>
        <v>775668.73000000033</v>
      </c>
      <c r="M128" s="338">
        <f t="shared" si="14"/>
        <v>4467479.8499999996</v>
      </c>
      <c r="N128" s="338">
        <f t="shared" si="15"/>
        <v>4467479.8499999996</v>
      </c>
      <c r="O128" s="338">
        <f t="shared" si="16"/>
        <v>4467479.8499999996</v>
      </c>
      <c r="P128" s="338">
        <f t="shared" si="17"/>
        <v>4467479.8499999996</v>
      </c>
      <c r="Q128" s="338">
        <f t="shared" si="18"/>
        <v>4426879.8499999996</v>
      </c>
      <c r="R128" s="338">
        <f t="shared" si="19"/>
        <v>0</v>
      </c>
    </row>
    <row r="129" spans="1:18" ht="12">
      <c r="A129" s="985">
        <v>3310</v>
      </c>
      <c r="B129" s="984" t="s">
        <v>2743</v>
      </c>
      <c r="C129" s="975" t="str">
        <f t="shared" si="24"/>
        <v>33100</v>
      </c>
      <c r="D129" s="401"/>
      <c r="E129" s="980"/>
      <c r="F129" s="980"/>
      <c r="G129" s="401" t="str">
        <f t="shared" si="20"/>
        <v/>
      </c>
      <c r="H129" s="401" t="str">
        <f t="shared" si="21"/>
        <v/>
      </c>
      <c r="I129" s="401">
        <f t="shared" si="22"/>
        <v>3310</v>
      </c>
      <c r="J129" s="981" t="str">
        <f t="shared" si="23"/>
        <v>Servicios legales, de contabilidad, auditoría y relacionados</v>
      </c>
      <c r="K129" s="338">
        <f t="shared" si="12"/>
        <v>116000</v>
      </c>
      <c r="L129" s="338">
        <f t="shared" si="13"/>
        <v>162400</v>
      </c>
      <c r="M129" s="338">
        <f t="shared" si="14"/>
        <v>278400</v>
      </c>
      <c r="N129" s="338">
        <f t="shared" si="15"/>
        <v>278400</v>
      </c>
      <c r="O129" s="338">
        <f t="shared" si="16"/>
        <v>278400</v>
      </c>
      <c r="P129" s="338">
        <f t="shared" si="17"/>
        <v>278400</v>
      </c>
      <c r="Q129" s="338">
        <f t="shared" si="18"/>
        <v>237800</v>
      </c>
      <c r="R129" s="338">
        <f t="shared" si="19"/>
        <v>0</v>
      </c>
    </row>
    <row r="130" spans="1:18" ht="12">
      <c r="A130" s="985">
        <v>3320</v>
      </c>
      <c r="B130" s="984" t="s">
        <v>2744</v>
      </c>
      <c r="C130" s="975" t="str">
        <f t="shared" si="24"/>
        <v>33200</v>
      </c>
      <c r="D130" s="401"/>
      <c r="E130" s="980"/>
      <c r="F130" s="980"/>
      <c r="G130" s="401" t="str">
        <f t="shared" si="20"/>
        <v/>
      </c>
      <c r="H130" s="401" t="str">
        <f t="shared" si="21"/>
        <v/>
      </c>
      <c r="I130" s="401">
        <f t="shared" si="22"/>
        <v>3320</v>
      </c>
      <c r="J130" s="981" t="str">
        <f t="shared" si="23"/>
        <v>Servicios de diseño, arquitectura, ingeniería y actividades relacionadas</v>
      </c>
      <c r="K130" s="338">
        <f t="shared" si="12"/>
        <v>0</v>
      </c>
      <c r="L130" s="338">
        <f t="shared" si="13"/>
        <v>0</v>
      </c>
      <c r="M130" s="338">
        <f t="shared" si="14"/>
        <v>0</v>
      </c>
      <c r="N130" s="338">
        <f t="shared" si="15"/>
        <v>0</v>
      </c>
      <c r="O130" s="338">
        <f t="shared" si="16"/>
        <v>0</v>
      </c>
      <c r="P130" s="338">
        <f t="shared" si="17"/>
        <v>0</v>
      </c>
      <c r="Q130" s="338">
        <f t="shared" si="18"/>
        <v>0</v>
      </c>
      <c r="R130" s="338">
        <f t="shared" si="19"/>
        <v>0</v>
      </c>
    </row>
    <row r="131" spans="1:18" ht="12">
      <c r="A131" s="985">
        <v>3330</v>
      </c>
      <c r="B131" s="984" t="s">
        <v>2745</v>
      </c>
      <c r="C131" s="975" t="str">
        <f t="shared" si="24"/>
        <v>33300</v>
      </c>
      <c r="D131" s="401"/>
      <c r="E131" s="980"/>
      <c r="F131" s="980"/>
      <c r="G131" s="401" t="str">
        <f t="shared" si="20"/>
        <v/>
      </c>
      <c r="H131" s="401" t="str">
        <f t="shared" si="21"/>
        <v/>
      </c>
      <c r="I131" s="401">
        <f t="shared" si="22"/>
        <v>3330</v>
      </c>
      <c r="J131" s="981" t="str">
        <f t="shared" si="23"/>
        <v>Servicios de consultoría administrativa, procesos, técnica y en tecnologías de la información</v>
      </c>
      <c r="K131" s="338">
        <f t="shared" si="12"/>
        <v>1348900.95</v>
      </c>
      <c r="L131" s="338">
        <f t="shared" si="13"/>
        <v>-33520.94999999991</v>
      </c>
      <c r="M131" s="338">
        <f t="shared" si="14"/>
        <v>1315380</v>
      </c>
      <c r="N131" s="338">
        <f t="shared" si="15"/>
        <v>1315380</v>
      </c>
      <c r="O131" s="338">
        <f t="shared" si="16"/>
        <v>1315380</v>
      </c>
      <c r="P131" s="338">
        <f t="shared" si="17"/>
        <v>1315380</v>
      </c>
      <c r="Q131" s="338">
        <f t="shared" si="18"/>
        <v>1315380</v>
      </c>
      <c r="R131" s="338">
        <f t="shared" si="19"/>
        <v>0</v>
      </c>
    </row>
    <row r="132" spans="1:18" ht="12">
      <c r="A132" s="985">
        <v>3340</v>
      </c>
      <c r="B132" s="984" t="s">
        <v>2746</v>
      </c>
      <c r="C132" s="975" t="str">
        <f t="shared" si="24"/>
        <v>33400</v>
      </c>
      <c r="D132" s="401"/>
      <c r="E132" s="980"/>
      <c r="F132" s="980"/>
      <c r="G132" s="401" t="str">
        <f t="shared" si="20"/>
        <v/>
      </c>
      <c r="H132" s="401" t="str">
        <f t="shared" si="21"/>
        <v/>
      </c>
      <c r="I132" s="401">
        <f t="shared" si="22"/>
        <v>3340</v>
      </c>
      <c r="J132" s="981" t="str">
        <f t="shared" si="23"/>
        <v xml:space="preserve">Servicios de capacitación </v>
      </c>
      <c r="K132" s="338">
        <f t="shared" si="12"/>
        <v>1545354.7999999998</v>
      </c>
      <c r="L132" s="338">
        <f t="shared" si="13"/>
        <v>332527.94000000018</v>
      </c>
      <c r="M132" s="338">
        <f t="shared" si="14"/>
        <v>1877882.74</v>
      </c>
      <c r="N132" s="338">
        <f t="shared" si="15"/>
        <v>1877882.7400000002</v>
      </c>
      <c r="O132" s="338">
        <f t="shared" si="16"/>
        <v>1877882.7400000002</v>
      </c>
      <c r="P132" s="338">
        <f t="shared" si="17"/>
        <v>1877882.7400000002</v>
      </c>
      <c r="Q132" s="338">
        <f t="shared" si="18"/>
        <v>1877882.7400000002</v>
      </c>
      <c r="R132" s="338">
        <f t="shared" si="19"/>
        <v>0</v>
      </c>
    </row>
    <row r="133" spans="1:18" ht="12">
      <c r="A133" s="985">
        <v>3350</v>
      </c>
      <c r="B133" s="984" t="s">
        <v>2747</v>
      </c>
      <c r="C133" s="975" t="str">
        <f t="shared" si="24"/>
        <v>33500</v>
      </c>
      <c r="D133" s="401"/>
      <c r="E133" s="980"/>
      <c r="F133" s="980"/>
      <c r="G133" s="401" t="str">
        <f t="shared" si="20"/>
        <v/>
      </c>
      <c r="H133" s="401" t="str">
        <f t="shared" si="21"/>
        <v/>
      </c>
      <c r="I133" s="401">
        <f t="shared" si="22"/>
        <v>3350</v>
      </c>
      <c r="J133" s="981" t="str">
        <f t="shared" si="23"/>
        <v>Servicios de investigación científica y desarrollo</v>
      </c>
      <c r="K133" s="338">
        <f t="shared" ref="K133:K196" si="25">IF(MID(A133,2,1)="0",SUMIF(PE_COG,MID(A133,1,1)&amp;"*",PE_A),
IF(AND(MID(A133,2,1)&gt;"0",MID(A133,3,1)="0"),SUMIF(PE_COG,MID(A133,1,2)&amp;"*",PE_A),
IF(MID(A133,3,1)&gt;"0",SUMIF(PE_COG,MID(A133,1,3)&amp;"*",PE_A),"")))</f>
        <v>0</v>
      </c>
      <c r="L133" s="338">
        <f t="shared" ref="L133:L196" si="26">IF(MID(A133,2,1)="0",SUMIF(PE_COG,MID(A133,1,1)&amp;"*",PE_M),
IF(AND(MID(A133,2,1)&gt;"0",MID(A133,3,1)="0"),SUMIF(PE_COG,MID(A133,1,2)&amp;"*",PE_M),
IF(MID(A133,3,1)&gt;"0",SUMIF(PE_COG,MID(A133,1,3)&amp;"*",PE_M),"")))</f>
        <v>0</v>
      </c>
      <c r="M133" s="338">
        <f t="shared" ref="M133:M196" si="27">IF(MID(A133,2,1)="0",SUMIF(PE_COG,MID(A133,1,1)&amp;"*",PE_A),
IF(AND(MID(A133,2,1)&gt;"0",MID(A133,3,1)="0"),SUMIF(PE_COG,MID(A133,1,2)&amp;"*",PE_A),
IF(MID(A133,3,1)&gt;"0",SUMIF(PE_COG,MID(A133,1,3)&amp;"*",PE_A),"")))
+IF(MID(A133,2,1)="0",SUMIF(PE_COG,MID(A133,1,1)&amp;"*",PE_M),
IF(AND(MID(A133,2,1)&gt;"0",MID(A133,3,1)="0"),SUMIF(PE_COG,MID(A133,1,2)&amp;"*",PE_M),
IF(MID(A133,3,1)&gt;"0",SUMIF(PE_COG,MID(A133,1,3)&amp;"*",PE_M),"")))</f>
        <v>0</v>
      </c>
      <c r="N133" s="338">
        <f t="shared" ref="N133:N196" si="28">IF(MID(A133,2,1)="0",SUMIF(PE_COG,MID(A133,1,1)&amp;"*",PE_C),
IF(AND(MID(A133,2,1)&gt;"0",MID(A133,3,1)="0"),SUMIF(PE_COG,MID(A133,1,2)&amp;"*",PE_C),
IF(MID(A133,3,1)&gt;"0",SUMIF(PE_COG,MID(A133,1,3)&amp;"*",PE_C),"")))</f>
        <v>0</v>
      </c>
      <c r="O133" s="338">
        <f t="shared" ref="O133:O196" si="29">IF(MID(A133,2,1)="0",SUMIF(PE_COG,MID(A133,1,1)&amp;"*",PE_D),
IF(AND(MID(A133,2,1)&gt;"0",MID(A133,3,1)="0"),SUMIF(PE_COG,MID(A133,1,2)&amp;"*",PE_D),
IF(MID(A133,3,1)&gt;"0",SUMIF(PE_COG,MID(A133,1,3)&amp;"*",PE_D),"")))</f>
        <v>0</v>
      </c>
      <c r="P133" s="338">
        <f t="shared" ref="P133:P196" si="30">IF(MID(A133,2,1)="0",SUMIF(PE_COG,MID(A133,1,1)&amp;"*",PE_E),
IF(AND(MID(A133,2,1)&gt;"0",MID(A133,3,1)="0"),SUMIF(PE_COG,MID(A133,1,2)&amp;"*",PE_E),
IF(MID(A133,3,1)&gt;"0",SUMIF(PE_COG,MID(A133,1,3)&amp;"*",PE_E),"")))</f>
        <v>0</v>
      </c>
      <c r="Q133" s="338">
        <f t="shared" ref="Q133:Q196" si="31">IF(MID(A133,2,1)="0",SUMIF(PE_COG,MID(A133,1,1)&amp;"*",PE_P),
IF(AND(MID(A133,2,1)&gt;"0",MID(A133,3,1)="0"),SUMIF(PE_COG,MID(A133,1,2)&amp;"*",PE_P),
IF(MID(A133,3,1)&gt;"0",SUMIF(PE_COG,MID(A133,1,3)&amp;"*",PE_P),"")))</f>
        <v>0</v>
      </c>
      <c r="R133" s="338">
        <f t="shared" ref="R133:R196" si="32">IF(MID(A133,2,1)="0",SUMIF(PE_COG,MID(A133,1,1)&amp;"*",PE_A),
IF(AND(MID(A133,2,1)&gt;"0",MID(A133,3,1)="0"),SUMIF(PE_COG,MID(A133,1,2)&amp;"*",PE_A),
IF(MID(A133,3,1)&gt;"0",SUMIF(PE_COG,MID(A133,1,3)&amp;"*",PE_A),"")))
+IF(MID(A133,2,1)="0",SUMIF(PE_COG,MID(A133,1,1)&amp;"*",PE_M),
IF(AND(MID(A133,2,1)&gt;"0",MID(A133,3,1)="0"),SUMIF(PE_COG,MID(A133,1,2)&amp;"*",PE_M),
IF(MID(A133,3,1)&gt;"0",SUMIF(PE_COG,MID(A133,1,3)&amp;"*",PE_M),"")))
-IF(MID(A133,2,1)="0",SUMIF(PE_COG,MID(A133,1,1)&amp;"*",PE_D),
IF(AND(MID(A133,2,1)&gt;"0",MID(A133,3,1)="0"),SUMIF(PE_COG,MID(A133,1,2)&amp;"*",PE_D),
IF(MID(A133,3,1)&gt;"0",SUMIF(PE_COG,MID(A133,1,3)&amp;"*",PE_D),"")))</f>
        <v>0</v>
      </c>
    </row>
    <row r="134" spans="1:18" ht="12">
      <c r="A134" s="985">
        <v>3360</v>
      </c>
      <c r="B134" s="984" t="s">
        <v>2748</v>
      </c>
      <c r="C134" s="975" t="str">
        <f t="shared" si="24"/>
        <v>33600</v>
      </c>
      <c r="D134" s="401"/>
      <c r="E134" s="980"/>
      <c r="F134" s="980"/>
      <c r="G134" s="401" t="str">
        <f t="shared" ref="G134:G197" si="33">IF(MID(A134,2,1)="0",A134,"")</f>
        <v/>
      </c>
      <c r="H134" s="401" t="str">
        <f t="shared" ref="H134:H197" si="34">IF(AND(MID(A134,2,1)&gt;"0",MID(A134,3,1)="0"),A134,"")</f>
        <v/>
      </c>
      <c r="I134" s="401">
        <f t="shared" ref="I134:I197" si="35">IF(MID(A134,3,1)&gt;"0",A134,"")</f>
        <v>3360</v>
      </c>
      <c r="J134" s="981" t="str">
        <f t="shared" ref="J134:J197" si="36">+B134</f>
        <v>Servicios de apoyo administrativo, traducción, fotocopiado e impresión</v>
      </c>
      <c r="K134" s="338">
        <f t="shared" si="25"/>
        <v>360077.13</v>
      </c>
      <c r="L134" s="338">
        <f t="shared" si="26"/>
        <v>323172.50999999995</v>
      </c>
      <c r="M134" s="338">
        <f t="shared" si="27"/>
        <v>683249.6399999999</v>
      </c>
      <c r="N134" s="338">
        <f t="shared" si="28"/>
        <v>683249.64</v>
      </c>
      <c r="O134" s="338">
        <f t="shared" si="29"/>
        <v>683249.64</v>
      </c>
      <c r="P134" s="338">
        <f t="shared" si="30"/>
        <v>683249.64</v>
      </c>
      <c r="Q134" s="338">
        <f t="shared" si="31"/>
        <v>683249.64</v>
      </c>
      <c r="R134" s="338">
        <f t="shared" si="32"/>
        <v>0</v>
      </c>
    </row>
    <row r="135" spans="1:18" ht="12">
      <c r="A135" s="985">
        <v>3370</v>
      </c>
      <c r="B135" s="984" t="s">
        <v>2749</v>
      </c>
      <c r="C135" s="975" t="str">
        <f t="shared" si="24"/>
        <v>33700</v>
      </c>
      <c r="D135" s="401"/>
      <c r="E135" s="980"/>
      <c r="F135" s="980"/>
      <c r="G135" s="401" t="str">
        <f t="shared" si="33"/>
        <v/>
      </c>
      <c r="H135" s="401" t="str">
        <f t="shared" si="34"/>
        <v/>
      </c>
      <c r="I135" s="401">
        <f t="shared" si="35"/>
        <v>3370</v>
      </c>
      <c r="J135" s="981" t="str">
        <f t="shared" si="36"/>
        <v>Servicios de protección y seguridad</v>
      </c>
      <c r="K135" s="338">
        <f t="shared" si="25"/>
        <v>0</v>
      </c>
      <c r="L135" s="338">
        <f t="shared" si="26"/>
        <v>0</v>
      </c>
      <c r="M135" s="338">
        <f t="shared" si="27"/>
        <v>0</v>
      </c>
      <c r="N135" s="338">
        <f t="shared" si="28"/>
        <v>0</v>
      </c>
      <c r="O135" s="338">
        <f t="shared" si="29"/>
        <v>0</v>
      </c>
      <c r="P135" s="338">
        <f t="shared" si="30"/>
        <v>0</v>
      </c>
      <c r="Q135" s="338">
        <f t="shared" si="31"/>
        <v>0</v>
      </c>
      <c r="R135" s="338">
        <f t="shared" si="32"/>
        <v>0</v>
      </c>
    </row>
    <row r="136" spans="1:18" ht="12">
      <c r="A136" s="985">
        <v>3380</v>
      </c>
      <c r="B136" s="984" t="s">
        <v>2750</v>
      </c>
      <c r="C136" s="975" t="str">
        <f t="shared" si="24"/>
        <v>33800</v>
      </c>
      <c r="D136" s="401"/>
      <c r="E136" s="980"/>
      <c r="F136" s="980"/>
      <c r="G136" s="401" t="str">
        <f t="shared" si="33"/>
        <v/>
      </c>
      <c r="H136" s="401" t="str">
        <f t="shared" si="34"/>
        <v/>
      </c>
      <c r="I136" s="401">
        <f t="shared" si="35"/>
        <v>3380</v>
      </c>
      <c r="J136" s="981" t="str">
        <f t="shared" si="36"/>
        <v>Servicios de vigilancia</v>
      </c>
      <c r="K136" s="338">
        <f t="shared" si="25"/>
        <v>321478.24</v>
      </c>
      <c r="L136" s="338">
        <f t="shared" si="26"/>
        <v>-8910.7700000000186</v>
      </c>
      <c r="M136" s="338">
        <f t="shared" si="27"/>
        <v>312567.46999999997</v>
      </c>
      <c r="N136" s="338">
        <f t="shared" si="28"/>
        <v>312567.46999999997</v>
      </c>
      <c r="O136" s="338">
        <f t="shared" si="29"/>
        <v>312567.46999999997</v>
      </c>
      <c r="P136" s="338">
        <f t="shared" si="30"/>
        <v>312567.46999999997</v>
      </c>
      <c r="Q136" s="338">
        <f t="shared" si="31"/>
        <v>312567.46999999997</v>
      </c>
      <c r="R136" s="338">
        <f t="shared" si="32"/>
        <v>0</v>
      </c>
    </row>
    <row r="137" spans="1:18" ht="12">
      <c r="A137" s="985">
        <v>3390</v>
      </c>
      <c r="B137" s="984" t="s">
        <v>2751</v>
      </c>
      <c r="C137" s="975" t="str">
        <f t="shared" si="24"/>
        <v>33900</v>
      </c>
      <c r="D137" s="401"/>
      <c r="E137" s="980"/>
      <c r="F137" s="980"/>
      <c r="G137" s="401" t="str">
        <f t="shared" si="33"/>
        <v/>
      </c>
      <c r="H137" s="401" t="str">
        <f t="shared" si="34"/>
        <v/>
      </c>
      <c r="I137" s="401">
        <f t="shared" si="35"/>
        <v>3390</v>
      </c>
      <c r="J137" s="981" t="str">
        <f t="shared" si="36"/>
        <v>Servicios profesionales, científicos y técnicos integrales</v>
      </c>
      <c r="K137" s="338">
        <f t="shared" si="25"/>
        <v>0</v>
      </c>
      <c r="L137" s="338">
        <f t="shared" si="26"/>
        <v>0</v>
      </c>
      <c r="M137" s="338">
        <f t="shared" si="27"/>
        <v>0</v>
      </c>
      <c r="N137" s="338">
        <f t="shared" si="28"/>
        <v>0</v>
      </c>
      <c r="O137" s="338">
        <f t="shared" si="29"/>
        <v>0</v>
      </c>
      <c r="P137" s="338">
        <f t="shared" si="30"/>
        <v>0</v>
      </c>
      <c r="Q137" s="338">
        <f t="shared" si="31"/>
        <v>0</v>
      </c>
      <c r="R137" s="338">
        <f t="shared" si="32"/>
        <v>0</v>
      </c>
    </row>
    <row r="138" spans="1:18">
      <c r="A138" s="229">
        <v>3400</v>
      </c>
      <c r="B138" s="230" t="s">
        <v>201</v>
      </c>
      <c r="C138" s="975" t="str">
        <f t="shared" si="24"/>
        <v>34000</v>
      </c>
      <c r="D138" s="401"/>
      <c r="E138" s="980"/>
      <c r="F138" s="980"/>
      <c r="G138" s="401" t="str">
        <f t="shared" si="33"/>
        <v/>
      </c>
      <c r="H138" s="401">
        <f t="shared" si="34"/>
        <v>3400</v>
      </c>
      <c r="I138" s="401" t="str">
        <f t="shared" si="35"/>
        <v/>
      </c>
      <c r="J138" s="981" t="str">
        <f t="shared" si="36"/>
        <v>Servicios financieros, bancarios y comerciales</v>
      </c>
      <c r="K138" s="338">
        <f t="shared" si="25"/>
        <v>168973.96</v>
      </c>
      <c r="L138" s="338">
        <f t="shared" si="26"/>
        <v>21766.150000000005</v>
      </c>
      <c r="M138" s="338">
        <f t="shared" si="27"/>
        <v>190740.11</v>
      </c>
      <c r="N138" s="338">
        <f t="shared" si="28"/>
        <v>190740.11</v>
      </c>
      <c r="O138" s="338">
        <f t="shared" si="29"/>
        <v>190740.11</v>
      </c>
      <c r="P138" s="338">
        <f t="shared" si="30"/>
        <v>190740.11</v>
      </c>
      <c r="Q138" s="338">
        <f t="shared" si="31"/>
        <v>190740.11</v>
      </c>
      <c r="R138" s="338">
        <f t="shared" si="32"/>
        <v>0</v>
      </c>
    </row>
    <row r="139" spans="1:18" ht="12">
      <c r="A139" s="985">
        <v>3410</v>
      </c>
      <c r="B139" s="984" t="s">
        <v>2752</v>
      </c>
      <c r="C139" s="975" t="str">
        <f t="shared" si="24"/>
        <v>34100</v>
      </c>
      <c r="D139" s="401"/>
      <c r="E139" s="980"/>
      <c r="F139" s="980"/>
      <c r="G139" s="401" t="str">
        <f t="shared" si="33"/>
        <v/>
      </c>
      <c r="H139" s="401" t="str">
        <f t="shared" si="34"/>
        <v/>
      </c>
      <c r="I139" s="401">
        <f t="shared" si="35"/>
        <v>3410</v>
      </c>
      <c r="J139" s="981" t="str">
        <f t="shared" si="36"/>
        <v>Servicios financieros y bancarios</v>
      </c>
      <c r="K139" s="338">
        <f t="shared" si="25"/>
        <v>19216.57</v>
      </c>
      <c r="L139" s="338">
        <f t="shared" si="26"/>
        <v>-15925.439999999999</v>
      </c>
      <c r="M139" s="338">
        <f t="shared" si="27"/>
        <v>3291.130000000001</v>
      </c>
      <c r="N139" s="338">
        <f t="shared" si="28"/>
        <v>3291.13</v>
      </c>
      <c r="O139" s="338">
        <f t="shared" si="29"/>
        <v>3291.13</v>
      </c>
      <c r="P139" s="338">
        <f t="shared" si="30"/>
        <v>3291.13</v>
      </c>
      <c r="Q139" s="338">
        <f t="shared" si="31"/>
        <v>3291.13</v>
      </c>
      <c r="R139" s="338">
        <f t="shared" si="32"/>
        <v>0</v>
      </c>
    </row>
    <row r="140" spans="1:18" ht="12">
      <c r="A140" s="985">
        <v>3420</v>
      </c>
      <c r="B140" s="984" t="s">
        <v>2753</v>
      </c>
      <c r="C140" s="975" t="str">
        <f t="shared" si="24"/>
        <v>34200</v>
      </c>
      <c r="D140" s="401"/>
      <c r="E140" s="980"/>
      <c r="F140" s="980"/>
      <c r="G140" s="401" t="str">
        <f t="shared" si="33"/>
        <v/>
      </c>
      <c r="H140" s="401" t="str">
        <f t="shared" si="34"/>
        <v/>
      </c>
      <c r="I140" s="401">
        <f t="shared" si="35"/>
        <v>3420</v>
      </c>
      <c r="J140" s="981" t="str">
        <f t="shared" si="36"/>
        <v>Servicios de cobranza, investigación crediticia y similar</v>
      </c>
      <c r="K140" s="338">
        <f t="shared" si="25"/>
        <v>0</v>
      </c>
      <c r="L140" s="338">
        <f t="shared" si="26"/>
        <v>0</v>
      </c>
      <c r="M140" s="338">
        <f t="shared" si="27"/>
        <v>0</v>
      </c>
      <c r="N140" s="338">
        <f t="shared" si="28"/>
        <v>0</v>
      </c>
      <c r="O140" s="338">
        <f t="shared" si="29"/>
        <v>0</v>
      </c>
      <c r="P140" s="338">
        <f t="shared" si="30"/>
        <v>0</v>
      </c>
      <c r="Q140" s="338">
        <f t="shared" si="31"/>
        <v>0</v>
      </c>
      <c r="R140" s="338">
        <f t="shared" si="32"/>
        <v>0</v>
      </c>
    </row>
    <row r="141" spans="1:18" ht="12">
      <c r="A141" s="985">
        <v>3430</v>
      </c>
      <c r="B141" s="984" t="s">
        <v>2754</v>
      </c>
      <c r="C141" s="975" t="str">
        <f t="shared" si="24"/>
        <v>34300</v>
      </c>
      <c r="D141" s="401"/>
      <c r="E141" s="980"/>
      <c r="F141" s="980"/>
      <c r="G141" s="401" t="str">
        <f t="shared" si="33"/>
        <v/>
      </c>
      <c r="H141" s="401" t="str">
        <f t="shared" si="34"/>
        <v/>
      </c>
      <c r="I141" s="401">
        <f t="shared" si="35"/>
        <v>3430</v>
      </c>
      <c r="J141" s="981" t="str">
        <f t="shared" si="36"/>
        <v>Servicios de recaudación, traslado y custodia de valores</v>
      </c>
      <c r="K141" s="338">
        <f t="shared" si="25"/>
        <v>0</v>
      </c>
      <c r="L141" s="338">
        <f t="shared" si="26"/>
        <v>0</v>
      </c>
      <c r="M141" s="338">
        <f t="shared" si="27"/>
        <v>0</v>
      </c>
      <c r="N141" s="338">
        <f t="shared" si="28"/>
        <v>0</v>
      </c>
      <c r="O141" s="338">
        <f t="shared" si="29"/>
        <v>0</v>
      </c>
      <c r="P141" s="338">
        <f t="shared" si="30"/>
        <v>0</v>
      </c>
      <c r="Q141" s="338">
        <f t="shared" si="31"/>
        <v>0</v>
      </c>
      <c r="R141" s="338">
        <f t="shared" si="32"/>
        <v>0</v>
      </c>
    </row>
    <row r="142" spans="1:18" ht="12">
      <c r="A142" s="985">
        <v>3440</v>
      </c>
      <c r="B142" s="984" t="s">
        <v>2755</v>
      </c>
      <c r="C142" s="975" t="str">
        <f t="shared" ref="C142:C205" si="37">+A142&amp;0</f>
        <v>34400</v>
      </c>
      <c r="D142" s="401"/>
      <c r="E142" s="980"/>
      <c r="F142" s="980"/>
      <c r="G142" s="401" t="str">
        <f t="shared" si="33"/>
        <v/>
      </c>
      <c r="H142" s="401" t="str">
        <f t="shared" si="34"/>
        <v/>
      </c>
      <c r="I142" s="401">
        <f t="shared" si="35"/>
        <v>3440</v>
      </c>
      <c r="J142" s="981" t="str">
        <f t="shared" si="36"/>
        <v>Seguros de responsabilidad patrimonial y fianzas</v>
      </c>
      <c r="K142" s="338">
        <f t="shared" si="25"/>
        <v>8632.7900000000009</v>
      </c>
      <c r="L142" s="338">
        <f t="shared" si="26"/>
        <v>-8632.7899999999972</v>
      </c>
      <c r="M142" s="338">
        <f t="shared" si="27"/>
        <v>0</v>
      </c>
      <c r="N142" s="338">
        <f t="shared" si="28"/>
        <v>0</v>
      </c>
      <c r="O142" s="338">
        <f t="shared" si="29"/>
        <v>0</v>
      </c>
      <c r="P142" s="338">
        <f t="shared" si="30"/>
        <v>0</v>
      </c>
      <c r="Q142" s="338">
        <f t="shared" si="31"/>
        <v>0</v>
      </c>
      <c r="R142" s="338">
        <f t="shared" si="32"/>
        <v>3.637978807091713E-12</v>
      </c>
    </row>
    <row r="143" spans="1:18" ht="12">
      <c r="A143" s="985">
        <v>3450</v>
      </c>
      <c r="B143" s="984" t="s">
        <v>2756</v>
      </c>
      <c r="C143" s="975" t="str">
        <f t="shared" si="37"/>
        <v>34500</v>
      </c>
      <c r="D143" s="401"/>
      <c r="E143" s="980"/>
      <c r="F143" s="980"/>
      <c r="G143" s="401" t="str">
        <f t="shared" si="33"/>
        <v/>
      </c>
      <c r="H143" s="401" t="str">
        <f t="shared" si="34"/>
        <v/>
      </c>
      <c r="I143" s="401">
        <f t="shared" si="35"/>
        <v>3450</v>
      </c>
      <c r="J143" s="981" t="str">
        <f t="shared" si="36"/>
        <v>Seguro de bienes patrimoniales</v>
      </c>
      <c r="K143" s="338">
        <f t="shared" si="25"/>
        <v>114826.14</v>
      </c>
      <c r="L143" s="338">
        <f t="shared" si="26"/>
        <v>29364.73</v>
      </c>
      <c r="M143" s="338">
        <f t="shared" si="27"/>
        <v>144190.87</v>
      </c>
      <c r="N143" s="338">
        <f t="shared" si="28"/>
        <v>144190.87</v>
      </c>
      <c r="O143" s="338">
        <f t="shared" si="29"/>
        <v>144190.87</v>
      </c>
      <c r="P143" s="338">
        <f t="shared" si="30"/>
        <v>144190.87</v>
      </c>
      <c r="Q143" s="338">
        <f t="shared" si="31"/>
        <v>144190.87</v>
      </c>
      <c r="R143" s="338">
        <f t="shared" si="32"/>
        <v>0</v>
      </c>
    </row>
    <row r="144" spans="1:18" ht="12">
      <c r="A144" s="985">
        <v>3460</v>
      </c>
      <c r="B144" s="984" t="s">
        <v>2757</v>
      </c>
      <c r="C144" s="975" t="str">
        <f t="shared" si="37"/>
        <v>34600</v>
      </c>
      <c r="D144" s="401"/>
      <c r="E144" s="980"/>
      <c r="F144" s="980"/>
      <c r="G144" s="401" t="str">
        <f t="shared" si="33"/>
        <v/>
      </c>
      <c r="H144" s="401" t="str">
        <f t="shared" si="34"/>
        <v/>
      </c>
      <c r="I144" s="401">
        <f t="shared" si="35"/>
        <v>3460</v>
      </c>
      <c r="J144" s="981" t="str">
        <f t="shared" si="36"/>
        <v>Almacenaje, envase y embalaje</v>
      </c>
      <c r="K144" s="338">
        <f t="shared" si="25"/>
        <v>0</v>
      </c>
      <c r="L144" s="338">
        <f t="shared" si="26"/>
        <v>0</v>
      </c>
      <c r="M144" s="338">
        <f t="shared" si="27"/>
        <v>0</v>
      </c>
      <c r="N144" s="338">
        <f t="shared" si="28"/>
        <v>0</v>
      </c>
      <c r="O144" s="338">
        <f t="shared" si="29"/>
        <v>0</v>
      </c>
      <c r="P144" s="338">
        <f t="shared" si="30"/>
        <v>0</v>
      </c>
      <c r="Q144" s="338">
        <f t="shared" si="31"/>
        <v>0</v>
      </c>
      <c r="R144" s="338">
        <f t="shared" si="32"/>
        <v>0</v>
      </c>
    </row>
    <row r="145" spans="1:18" ht="12">
      <c r="A145" s="985">
        <v>3470</v>
      </c>
      <c r="B145" s="984" t="s">
        <v>2758</v>
      </c>
      <c r="C145" s="975" t="str">
        <f t="shared" si="37"/>
        <v>34700</v>
      </c>
      <c r="D145" s="401"/>
      <c r="E145" s="980"/>
      <c r="F145" s="980"/>
      <c r="G145" s="401" t="str">
        <f t="shared" si="33"/>
        <v/>
      </c>
      <c r="H145" s="401" t="str">
        <f t="shared" si="34"/>
        <v/>
      </c>
      <c r="I145" s="401">
        <f t="shared" si="35"/>
        <v>3470</v>
      </c>
      <c r="J145" s="981" t="str">
        <f t="shared" si="36"/>
        <v>Fletes y maniobras</v>
      </c>
      <c r="K145" s="338">
        <f t="shared" si="25"/>
        <v>26298.46</v>
      </c>
      <c r="L145" s="338">
        <f t="shared" si="26"/>
        <v>16959.650000000001</v>
      </c>
      <c r="M145" s="338">
        <f t="shared" si="27"/>
        <v>43258.11</v>
      </c>
      <c r="N145" s="338">
        <f t="shared" si="28"/>
        <v>43258.11</v>
      </c>
      <c r="O145" s="338">
        <f t="shared" si="29"/>
        <v>43258.11</v>
      </c>
      <c r="P145" s="338">
        <f t="shared" si="30"/>
        <v>43258.11</v>
      </c>
      <c r="Q145" s="338">
        <f t="shared" si="31"/>
        <v>43258.11</v>
      </c>
      <c r="R145" s="338">
        <f t="shared" si="32"/>
        <v>0</v>
      </c>
    </row>
    <row r="146" spans="1:18" ht="12">
      <c r="A146" s="985">
        <v>3480</v>
      </c>
      <c r="B146" s="984" t="s">
        <v>2759</v>
      </c>
      <c r="C146" s="975" t="str">
        <f t="shared" si="37"/>
        <v>34800</v>
      </c>
      <c r="D146" s="401"/>
      <c r="E146" s="980"/>
      <c r="F146" s="980"/>
      <c r="G146" s="401" t="str">
        <f t="shared" si="33"/>
        <v/>
      </c>
      <c r="H146" s="401" t="str">
        <f t="shared" si="34"/>
        <v/>
      </c>
      <c r="I146" s="401">
        <f t="shared" si="35"/>
        <v>3480</v>
      </c>
      <c r="J146" s="981" t="str">
        <f t="shared" si="36"/>
        <v>Comisiones por ventas</v>
      </c>
      <c r="K146" s="338">
        <f t="shared" si="25"/>
        <v>0</v>
      </c>
      <c r="L146" s="338">
        <f t="shared" si="26"/>
        <v>0</v>
      </c>
      <c r="M146" s="338">
        <f t="shared" si="27"/>
        <v>0</v>
      </c>
      <c r="N146" s="338">
        <f t="shared" si="28"/>
        <v>0</v>
      </c>
      <c r="O146" s="338">
        <f t="shared" si="29"/>
        <v>0</v>
      </c>
      <c r="P146" s="338">
        <f t="shared" si="30"/>
        <v>0</v>
      </c>
      <c r="Q146" s="338">
        <f t="shared" si="31"/>
        <v>0</v>
      </c>
      <c r="R146" s="338">
        <f t="shared" si="32"/>
        <v>0</v>
      </c>
    </row>
    <row r="147" spans="1:18" ht="12">
      <c r="A147" s="985">
        <v>3490</v>
      </c>
      <c r="B147" s="984" t="s">
        <v>2760</v>
      </c>
      <c r="C147" s="975" t="str">
        <f t="shared" si="37"/>
        <v>34900</v>
      </c>
      <c r="D147" s="401"/>
      <c r="E147" s="980"/>
      <c r="F147" s="980"/>
      <c r="G147" s="401" t="str">
        <f t="shared" si="33"/>
        <v/>
      </c>
      <c r="H147" s="401" t="str">
        <f t="shared" si="34"/>
        <v/>
      </c>
      <c r="I147" s="401">
        <f t="shared" si="35"/>
        <v>3490</v>
      </c>
      <c r="J147" s="981" t="str">
        <f t="shared" si="36"/>
        <v>Servicios financieros, bancarios y comerciales integrales</v>
      </c>
      <c r="K147" s="338">
        <f t="shared" si="25"/>
        <v>0</v>
      </c>
      <c r="L147" s="338">
        <f t="shared" si="26"/>
        <v>0</v>
      </c>
      <c r="M147" s="338">
        <f t="shared" si="27"/>
        <v>0</v>
      </c>
      <c r="N147" s="338">
        <f t="shared" si="28"/>
        <v>0</v>
      </c>
      <c r="O147" s="338">
        <f t="shared" si="29"/>
        <v>0</v>
      </c>
      <c r="P147" s="338">
        <f t="shared" si="30"/>
        <v>0</v>
      </c>
      <c r="Q147" s="338">
        <f t="shared" si="31"/>
        <v>0</v>
      </c>
      <c r="R147" s="338">
        <f t="shared" si="32"/>
        <v>0</v>
      </c>
    </row>
    <row r="148" spans="1:18">
      <c r="A148" s="229">
        <v>3500</v>
      </c>
      <c r="B148" s="230" t="s">
        <v>202</v>
      </c>
      <c r="C148" s="975" t="str">
        <f t="shared" si="37"/>
        <v>35000</v>
      </c>
      <c r="D148" s="401"/>
      <c r="E148" s="980"/>
      <c r="F148" s="980"/>
      <c r="G148" s="401" t="str">
        <f t="shared" si="33"/>
        <v/>
      </c>
      <c r="H148" s="401">
        <f t="shared" si="34"/>
        <v>3500</v>
      </c>
      <c r="I148" s="401" t="str">
        <f t="shared" si="35"/>
        <v/>
      </c>
      <c r="J148" s="981" t="str">
        <f t="shared" si="36"/>
        <v>Servicios de instalación, reparación, mantenimiento y conservación</v>
      </c>
      <c r="K148" s="338">
        <f t="shared" si="25"/>
        <v>725418.49</v>
      </c>
      <c r="L148" s="338">
        <f t="shared" si="26"/>
        <v>-258208.96000000011</v>
      </c>
      <c r="M148" s="338">
        <f t="shared" si="27"/>
        <v>467209.52999999991</v>
      </c>
      <c r="N148" s="338">
        <f t="shared" si="28"/>
        <v>467209.53</v>
      </c>
      <c r="O148" s="338">
        <f t="shared" si="29"/>
        <v>467209.53</v>
      </c>
      <c r="P148" s="338">
        <f t="shared" si="30"/>
        <v>467209.53</v>
      </c>
      <c r="Q148" s="338">
        <f t="shared" si="31"/>
        <v>467209.53</v>
      </c>
      <c r="R148" s="338">
        <f t="shared" si="32"/>
        <v>0</v>
      </c>
    </row>
    <row r="149" spans="1:18" ht="12">
      <c r="A149" s="985">
        <v>3510</v>
      </c>
      <c r="B149" s="984" t="s">
        <v>2761</v>
      </c>
      <c r="C149" s="975" t="str">
        <f t="shared" si="37"/>
        <v>35100</v>
      </c>
      <c r="D149" s="401"/>
      <c r="E149" s="980"/>
      <c r="F149" s="980"/>
      <c r="G149" s="401" t="str">
        <f t="shared" si="33"/>
        <v/>
      </c>
      <c r="H149" s="401" t="str">
        <f t="shared" si="34"/>
        <v/>
      </c>
      <c r="I149" s="401">
        <f t="shared" si="35"/>
        <v>3510</v>
      </c>
      <c r="J149" s="981" t="str">
        <f t="shared" si="36"/>
        <v>Conservación y mantenimiento menor de inmuebles</v>
      </c>
      <c r="K149" s="338">
        <f t="shared" si="25"/>
        <v>203037.06</v>
      </c>
      <c r="L149" s="338">
        <f t="shared" si="26"/>
        <v>-122928.18000000002</v>
      </c>
      <c r="M149" s="338">
        <f t="shared" si="27"/>
        <v>80108.879999999976</v>
      </c>
      <c r="N149" s="338">
        <f t="shared" si="28"/>
        <v>80108.88</v>
      </c>
      <c r="O149" s="338">
        <f t="shared" si="29"/>
        <v>80108.88</v>
      </c>
      <c r="P149" s="338">
        <f t="shared" si="30"/>
        <v>80108.88</v>
      </c>
      <c r="Q149" s="338">
        <f t="shared" si="31"/>
        <v>80108.88</v>
      </c>
      <c r="R149" s="338">
        <f t="shared" si="32"/>
        <v>0</v>
      </c>
    </row>
    <row r="150" spans="1:18" ht="12">
      <c r="A150" s="985">
        <v>3520</v>
      </c>
      <c r="B150" s="984" t="s">
        <v>2762</v>
      </c>
      <c r="C150" s="975" t="str">
        <f t="shared" si="37"/>
        <v>35200</v>
      </c>
      <c r="D150" s="401"/>
      <c r="E150" s="980"/>
      <c r="F150" s="980"/>
      <c r="G150" s="401" t="str">
        <f t="shared" si="33"/>
        <v/>
      </c>
      <c r="H150" s="401" t="str">
        <f t="shared" si="34"/>
        <v/>
      </c>
      <c r="I150" s="401">
        <f t="shared" si="35"/>
        <v>3520</v>
      </c>
      <c r="J150" s="981" t="str">
        <f t="shared" si="36"/>
        <v>Instalación, reparación y mantenimiento de mobiliario y equipo de administración, educacional y recreativo</v>
      </c>
      <c r="K150" s="338">
        <f t="shared" si="25"/>
        <v>58350.73</v>
      </c>
      <c r="L150" s="338">
        <f t="shared" si="26"/>
        <v>-26196.61</v>
      </c>
      <c r="M150" s="338">
        <f t="shared" si="27"/>
        <v>32154.120000000003</v>
      </c>
      <c r="N150" s="338">
        <f t="shared" si="28"/>
        <v>32154.12</v>
      </c>
      <c r="O150" s="338">
        <f t="shared" si="29"/>
        <v>32154.12</v>
      </c>
      <c r="P150" s="338">
        <f t="shared" si="30"/>
        <v>32154.12</v>
      </c>
      <c r="Q150" s="338">
        <f t="shared" si="31"/>
        <v>32154.12</v>
      </c>
      <c r="R150" s="338">
        <f t="shared" si="32"/>
        <v>0</v>
      </c>
    </row>
    <row r="151" spans="1:18" ht="12">
      <c r="A151" s="985">
        <v>3530</v>
      </c>
      <c r="B151" s="984" t="s">
        <v>2763</v>
      </c>
      <c r="C151" s="975" t="str">
        <f t="shared" si="37"/>
        <v>35300</v>
      </c>
      <c r="D151" s="401"/>
      <c r="E151" s="980"/>
      <c r="F151" s="980"/>
      <c r="G151" s="401" t="str">
        <f t="shared" si="33"/>
        <v/>
      </c>
      <c r="H151" s="401" t="str">
        <f t="shared" si="34"/>
        <v/>
      </c>
      <c r="I151" s="401">
        <f t="shared" si="35"/>
        <v>3530</v>
      </c>
      <c r="J151" s="981" t="str">
        <f t="shared" si="36"/>
        <v>Instalación, reparación y mantenimiento de equipo de cómputo y tecnología de la información</v>
      </c>
      <c r="K151" s="338">
        <f t="shared" si="25"/>
        <v>95933.22</v>
      </c>
      <c r="L151" s="338">
        <f t="shared" si="26"/>
        <v>-85891.41</v>
      </c>
      <c r="M151" s="338">
        <f t="shared" si="27"/>
        <v>10041.809999999998</v>
      </c>
      <c r="N151" s="338">
        <f t="shared" si="28"/>
        <v>10041.81</v>
      </c>
      <c r="O151" s="338">
        <f t="shared" si="29"/>
        <v>10041.81</v>
      </c>
      <c r="P151" s="338">
        <f t="shared" si="30"/>
        <v>10041.81</v>
      </c>
      <c r="Q151" s="338">
        <f t="shared" si="31"/>
        <v>10041.81</v>
      </c>
      <c r="R151" s="338">
        <f t="shared" si="32"/>
        <v>0</v>
      </c>
    </row>
    <row r="152" spans="1:18" ht="12">
      <c r="A152" s="985">
        <v>3540</v>
      </c>
      <c r="B152" s="984" t="s">
        <v>2764</v>
      </c>
      <c r="C152" s="975" t="str">
        <f t="shared" si="37"/>
        <v>35400</v>
      </c>
      <c r="D152" s="401"/>
      <c r="E152" s="980"/>
      <c r="F152" s="980"/>
      <c r="G152" s="401" t="str">
        <f t="shared" si="33"/>
        <v/>
      </c>
      <c r="H152" s="401" t="str">
        <f t="shared" si="34"/>
        <v/>
      </c>
      <c r="I152" s="401">
        <f t="shared" si="35"/>
        <v>3540</v>
      </c>
      <c r="J152" s="981" t="str">
        <f t="shared" si="36"/>
        <v>Instalación, reparación y mantenimiento de equipo e instrumental médico y de laboratorio</v>
      </c>
      <c r="K152" s="338">
        <f t="shared" si="25"/>
        <v>0</v>
      </c>
      <c r="L152" s="338">
        <f t="shared" si="26"/>
        <v>0</v>
      </c>
      <c r="M152" s="338">
        <f t="shared" si="27"/>
        <v>0</v>
      </c>
      <c r="N152" s="338">
        <f t="shared" si="28"/>
        <v>0</v>
      </c>
      <c r="O152" s="338">
        <f t="shared" si="29"/>
        <v>0</v>
      </c>
      <c r="P152" s="338">
        <f t="shared" si="30"/>
        <v>0</v>
      </c>
      <c r="Q152" s="338">
        <f t="shared" si="31"/>
        <v>0</v>
      </c>
      <c r="R152" s="338">
        <f t="shared" si="32"/>
        <v>0</v>
      </c>
    </row>
    <row r="153" spans="1:18" ht="12">
      <c r="A153" s="985">
        <v>3550</v>
      </c>
      <c r="B153" s="984" t="s">
        <v>2765</v>
      </c>
      <c r="C153" s="975" t="str">
        <f t="shared" si="37"/>
        <v>35500</v>
      </c>
      <c r="D153" s="401"/>
      <c r="E153" s="980"/>
      <c r="F153" s="980"/>
      <c r="G153" s="401" t="str">
        <f t="shared" si="33"/>
        <v/>
      </c>
      <c r="H153" s="401" t="str">
        <f t="shared" si="34"/>
        <v/>
      </c>
      <c r="I153" s="401">
        <f t="shared" si="35"/>
        <v>3550</v>
      </c>
      <c r="J153" s="981" t="str">
        <f t="shared" si="36"/>
        <v>Reparación y mantenimiento de equipo de transporte</v>
      </c>
      <c r="K153" s="338">
        <f t="shared" si="25"/>
        <v>283195.88</v>
      </c>
      <c r="L153" s="338">
        <f t="shared" si="26"/>
        <v>22265.350000000006</v>
      </c>
      <c r="M153" s="338">
        <f t="shared" si="27"/>
        <v>305461.23</v>
      </c>
      <c r="N153" s="338">
        <f t="shared" si="28"/>
        <v>305461.23</v>
      </c>
      <c r="O153" s="338">
        <f t="shared" si="29"/>
        <v>305461.23</v>
      </c>
      <c r="P153" s="338">
        <f t="shared" si="30"/>
        <v>305461.23</v>
      </c>
      <c r="Q153" s="338">
        <f t="shared" si="31"/>
        <v>305461.23</v>
      </c>
      <c r="R153" s="338">
        <f t="shared" si="32"/>
        <v>0</v>
      </c>
    </row>
    <row r="154" spans="1:18" ht="12">
      <c r="A154" s="985">
        <v>3560</v>
      </c>
      <c r="B154" s="984" t="s">
        <v>2766</v>
      </c>
      <c r="C154" s="975" t="str">
        <f t="shared" si="37"/>
        <v>35600</v>
      </c>
      <c r="D154" s="401"/>
      <c r="E154" s="980"/>
      <c r="F154" s="980"/>
      <c r="G154" s="401" t="str">
        <f t="shared" si="33"/>
        <v/>
      </c>
      <c r="H154" s="401" t="str">
        <f t="shared" si="34"/>
        <v/>
      </c>
      <c r="I154" s="401">
        <f t="shared" si="35"/>
        <v>3560</v>
      </c>
      <c r="J154" s="981" t="str">
        <f t="shared" si="36"/>
        <v>Reparación y mantenimiento de equipo de defensa y seguridad</v>
      </c>
      <c r="K154" s="338">
        <f t="shared" si="25"/>
        <v>0</v>
      </c>
      <c r="L154" s="338">
        <f t="shared" si="26"/>
        <v>0</v>
      </c>
      <c r="M154" s="338">
        <f t="shared" si="27"/>
        <v>0</v>
      </c>
      <c r="N154" s="338">
        <f t="shared" si="28"/>
        <v>0</v>
      </c>
      <c r="O154" s="338">
        <f t="shared" si="29"/>
        <v>0</v>
      </c>
      <c r="P154" s="338">
        <f t="shared" si="30"/>
        <v>0</v>
      </c>
      <c r="Q154" s="338">
        <f t="shared" si="31"/>
        <v>0</v>
      </c>
      <c r="R154" s="338">
        <f t="shared" si="32"/>
        <v>0</v>
      </c>
    </row>
    <row r="155" spans="1:18" ht="12">
      <c r="A155" s="985">
        <v>3570</v>
      </c>
      <c r="B155" s="984" t="s">
        <v>2767</v>
      </c>
      <c r="C155" s="975" t="str">
        <f t="shared" si="37"/>
        <v>35700</v>
      </c>
      <c r="D155" s="401"/>
      <c r="E155" s="980"/>
      <c r="F155" s="980"/>
      <c r="G155" s="401" t="str">
        <f t="shared" si="33"/>
        <v/>
      </c>
      <c r="H155" s="401" t="str">
        <f t="shared" si="34"/>
        <v/>
      </c>
      <c r="I155" s="401">
        <f t="shared" si="35"/>
        <v>3570</v>
      </c>
      <c r="J155" s="981" t="str">
        <f t="shared" si="36"/>
        <v>Instalación, reparación y mantenimiento de maquinaria, otros equipos y herramienta</v>
      </c>
      <c r="K155" s="338">
        <f t="shared" si="25"/>
        <v>28897.63</v>
      </c>
      <c r="L155" s="338">
        <f t="shared" si="26"/>
        <v>-16137.630000000005</v>
      </c>
      <c r="M155" s="338">
        <f t="shared" si="27"/>
        <v>12759.999999999996</v>
      </c>
      <c r="N155" s="338">
        <f t="shared" si="28"/>
        <v>12760</v>
      </c>
      <c r="O155" s="338">
        <f t="shared" si="29"/>
        <v>12760</v>
      </c>
      <c r="P155" s="338">
        <f t="shared" si="30"/>
        <v>12760</v>
      </c>
      <c r="Q155" s="338">
        <f t="shared" si="31"/>
        <v>12760</v>
      </c>
      <c r="R155" s="338">
        <f t="shared" si="32"/>
        <v>0</v>
      </c>
    </row>
    <row r="156" spans="1:18" ht="12">
      <c r="A156" s="985">
        <v>3580</v>
      </c>
      <c r="B156" s="984" t="s">
        <v>2768</v>
      </c>
      <c r="C156" s="975" t="str">
        <f t="shared" si="37"/>
        <v>35800</v>
      </c>
      <c r="D156" s="401"/>
      <c r="E156" s="980"/>
      <c r="F156" s="980"/>
      <c r="G156" s="401" t="str">
        <f t="shared" si="33"/>
        <v/>
      </c>
      <c r="H156" s="401" t="str">
        <f t="shared" si="34"/>
        <v/>
      </c>
      <c r="I156" s="401">
        <f t="shared" si="35"/>
        <v>3580</v>
      </c>
      <c r="J156" s="981" t="str">
        <f t="shared" si="36"/>
        <v>Servicios de limpieza y manejo de desechos</v>
      </c>
      <c r="K156" s="338">
        <f t="shared" si="25"/>
        <v>56003.97</v>
      </c>
      <c r="L156" s="338">
        <f t="shared" si="26"/>
        <v>-52912.959999999999</v>
      </c>
      <c r="M156" s="338">
        <f t="shared" si="27"/>
        <v>3091.010000000002</v>
      </c>
      <c r="N156" s="338">
        <f t="shared" si="28"/>
        <v>3091.01</v>
      </c>
      <c r="O156" s="338">
        <f t="shared" si="29"/>
        <v>3091.01</v>
      </c>
      <c r="P156" s="338">
        <f t="shared" si="30"/>
        <v>3091.01</v>
      </c>
      <c r="Q156" s="338">
        <f t="shared" si="31"/>
        <v>3091.01</v>
      </c>
      <c r="R156" s="338">
        <f t="shared" si="32"/>
        <v>0</v>
      </c>
    </row>
    <row r="157" spans="1:18" ht="12">
      <c r="A157" s="985">
        <v>3590</v>
      </c>
      <c r="B157" s="984" t="s">
        <v>2769</v>
      </c>
      <c r="C157" s="975" t="str">
        <f t="shared" si="37"/>
        <v>35900</v>
      </c>
      <c r="D157" s="401"/>
      <c r="E157" s="980"/>
      <c r="F157" s="980"/>
      <c r="G157" s="401" t="str">
        <f t="shared" si="33"/>
        <v/>
      </c>
      <c r="H157" s="401" t="str">
        <f t="shared" si="34"/>
        <v/>
      </c>
      <c r="I157" s="401">
        <f t="shared" si="35"/>
        <v>3590</v>
      </c>
      <c r="J157" s="981" t="str">
        <f t="shared" si="36"/>
        <v>Servicios de jardinería y fumigación</v>
      </c>
      <c r="K157" s="338">
        <f t="shared" si="25"/>
        <v>0</v>
      </c>
      <c r="L157" s="338">
        <f t="shared" si="26"/>
        <v>23592.480000000003</v>
      </c>
      <c r="M157" s="338">
        <f t="shared" si="27"/>
        <v>23592.480000000003</v>
      </c>
      <c r="N157" s="338">
        <f t="shared" si="28"/>
        <v>23592.48</v>
      </c>
      <c r="O157" s="338">
        <f t="shared" si="29"/>
        <v>23592.48</v>
      </c>
      <c r="P157" s="338">
        <f t="shared" si="30"/>
        <v>23592.48</v>
      </c>
      <c r="Q157" s="338">
        <f t="shared" si="31"/>
        <v>23592.48</v>
      </c>
      <c r="R157" s="338">
        <f t="shared" si="32"/>
        <v>0</v>
      </c>
    </row>
    <row r="158" spans="1:18">
      <c r="A158" s="229">
        <v>3600</v>
      </c>
      <c r="B158" s="230" t="s">
        <v>203</v>
      </c>
      <c r="C158" s="975" t="str">
        <f t="shared" si="37"/>
        <v>36000</v>
      </c>
      <c r="D158" s="401"/>
      <c r="E158" s="980"/>
      <c r="F158" s="980"/>
      <c r="G158" s="401" t="str">
        <f t="shared" si="33"/>
        <v/>
      </c>
      <c r="H158" s="401">
        <f t="shared" si="34"/>
        <v>3600</v>
      </c>
      <c r="I158" s="401" t="str">
        <f t="shared" si="35"/>
        <v/>
      </c>
      <c r="J158" s="981" t="str">
        <f t="shared" si="36"/>
        <v>Servicios de comunicación social y publicidad</v>
      </c>
      <c r="K158" s="338">
        <f t="shared" si="25"/>
        <v>5081858.47</v>
      </c>
      <c r="L158" s="338">
        <f t="shared" si="26"/>
        <v>65755.799999999988</v>
      </c>
      <c r="M158" s="338">
        <f t="shared" si="27"/>
        <v>5147614.2699999996</v>
      </c>
      <c r="N158" s="338">
        <f t="shared" si="28"/>
        <v>5147614.2700000005</v>
      </c>
      <c r="O158" s="338">
        <f t="shared" si="29"/>
        <v>5147614.2700000005</v>
      </c>
      <c r="P158" s="338">
        <f t="shared" si="30"/>
        <v>5147614.2700000005</v>
      </c>
      <c r="Q158" s="338">
        <f t="shared" si="31"/>
        <v>5147614.2700000005</v>
      </c>
      <c r="R158" s="338">
        <f t="shared" si="32"/>
        <v>0</v>
      </c>
    </row>
    <row r="159" spans="1:18" ht="12">
      <c r="A159" s="985">
        <v>3610</v>
      </c>
      <c r="B159" s="984" t="s">
        <v>2770</v>
      </c>
      <c r="C159" s="975" t="str">
        <f t="shared" si="37"/>
        <v>36100</v>
      </c>
      <c r="D159" s="401"/>
      <c r="E159" s="980"/>
      <c r="F159" s="980"/>
      <c r="G159" s="401" t="str">
        <f t="shared" si="33"/>
        <v/>
      </c>
      <c r="H159" s="401" t="str">
        <f t="shared" si="34"/>
        <v/>
      </c>
      <c r="I159" s="401">
        <f t="shared" si="35"/>
        <v>3610</v>
      </c>
      <c r="J159" s="981" t="str">
        <f t="shared" si="36"/>
        <v>Difusión por radio, televisión y otros medios de mensajes sobre programas y actividades gubernamentales</v>
      </c>
      <c r="K159" s="338">
        <f t="shared" si="25"/>
        <v>4693588.1399999997</v>
      </c>
      <c r="L159" s="338">
        <f t="shared" si="26"/>
        <v>454026.13</v>
      </c>
      <c r="M159" s="338">
        <f t="shared" si="27"/>
        <v>5147614.2699999996</v>
      </c>
      <c r="N159" s="338">
        <f t="shared" si="28"/>
        <v>5147614.2700000005</v>
      </c>
      <c r="O159" s="338">
        <f t="shared" si="29"/>
        <v>5147614.2700000005</v>
      </c>
      <c r="P159" s="338">
        <f t="shared" si="30"/>
        <v>5147614.2700000005</v>
      </c>
      <c r="Q159" s="338">
        <f t="shared" si="31"/>
        <v>5147614.2700000005</v>
      </c>
      <c r="R159" s="338">
        <f t="shared" si="32"/>
        <v>0</v>
      </c>
    </row>
    <row r="160" spans="1:18" ht="12">
      <c r="A160" s="985">
        <v>3620</v>
      </c>
      <c r="B160" s="984" t="s">
        <v>2771</v>
      </c>
      <c r="C160" s="975" t="str">
        <f t="shared" si="37"/>
        <v>36200</v>
      </c>
      <c r="D160" s="401"/>
      <c r="E160" s="980"/>
      <c r="F160" s="980"/>
      <c r="G160" s="401" t="str">
        <f t="shared" si="33"/>
        <v/>
      </c>
      <c r="H160" s="401" t="str">
        <f t="shared" si="34"/>
        <v/>
      </c>
      <c r="I160" s="401">
        <f t="shared" si="35"/>
        <v>3620</v>
      </c>
      <c r="J160" s="981" t="str">
        <f t="shared" si="36"/>
        <v>Difusión por radio, televisión y otros medios de mensajes comerciales para promover la venta de bienes o servicios</v>
      </c>
      <c r="K160" s="338">
        <f t="shared" si="25"/>
        <v>0</v>
      </c>
      <c r="L160" s="338">
        <f t="shared" si="26"/>
        <v>0</v>
      </c>
      <c r="M160" s="338">
        <f t="shared" si="27"/>
        <v>0</v>
      </c>
      <c r="N160" s="338">
        <f t="shared" si="28"/>
        <v>0</v>
      </c>
      <c r="O160" s="338">
        <f t="shared" si="29"/>
        <v>0</v>
      </c>
      <c r="P160" s="338">
        <f t="shared" si="30"/>
        <v>0</v>
      </c>
      <c r="Q160" s="338">
        <f t="shared" si="31"/>
        <v>0</v>
      </c>
      <c r="R160" s="338">
        <f t="shared" si="32"/>
        <v>0</v>
      </c>
    </row>
    <row r="161" spans="1:18" ht="12">
      <c r="A161" s="985">
        <v>3630</v>
      </c>
      <c r="B161" s="984" t="s">
        <v>2772</v>
      </c>
      <c r="C161" s="975" t="str">
        <f t="shared" si="37"/>
        <v>36300</v>
      </c>
      <c r="D161" s="401"/>
      <c r="E161" s="980"/>
      <c r="F161" s="980"/>
      <c r="G161" s="401" t="str">
        <f t="shared" si="33"/>
        <v/>
      </c>
      <c r="H161" s="401" t="str">
        <f t="shared" si="34"/>
        <v/>
      </c>
      <c r="I161" s="401">
        <f t="shared" si="35"/>
        <v>3630</v>
      </c>
      <c r="J161" s="981" t="str">
        <f t="shared" si="36"/>
        <v>Servicios de creatividad, preproducción y producción de publicidad, excepto Internet</v>
      </c>
      <c r="K161" s="338">
        <f t="shared" si="25"/>
        <v>10815</v>
      </c>
      <c r="L161" s="338">
        <f t="shared" si="26"/>
        <v>-10815</v>
      </c>
      <c r="M161" s="338">
        <f t="shared" si="27"/>
        <v>0</v>
      </c>
      <c r="N161" s="338">
        <f t="shared" si="28"/>
        <v>0</v>
      </c>
      <c r="O161" s="338">
        <f t="shared" si="29"/>
        <v>0</v>
      </c>
      <c r="P161" s="338">
        <f t="shared" si="30"/>
        <v>0</v>
      </c>
      <c r="Q161" s="338">
        <f t="shared" si="31"/>
        <v>0</v>
      </c>
      <c r="R161" s="338">
        <f t="shared" si="32"/>
        <v>0</v>
      </c>
    </row>
    <row r="162" spans="1:18" ht="12">
      <c r="A162" s="985">
        <v>3640</v>
      </c>
      <c r="B162" s="984" t="s">
        <v>2773</v>
      </c>
      <c r="C162" s="975" t="str">
        <f t="shared" si="37"/>
        <v>36400</v>
      </c>
      <c r="D162" s="401"/>
      <c r="E162" s="980"/>
      <c r="F162" s="980"/>
      <c r="G162" s="401" t="str">
        <f t="shared" si="33"/>
        <v/>
      </c>
      <c r="H162" s="401" t="str">
        <f t="shared" si="34"/>
        <v/>
      </c>
      <c r="I162" s="401">
        <f t="shared" si="35"/>
        <v>3640</v>
      </c>
      <c r="J162" s="981" t="str">
        <f t="shared" si="36"/>
        <v>Servicios de revelado de fotografías</v>
      </c>
      <c r="K162" s="338">
        <f t="shared" si="25"/>
        <v>295.25</v>
      </c>
      <c r="L162" s="338">
        <f t="shared" si="26"/>
        <v>-295.25</v>
      </c>
      <c r="M162" s="338">
        <f t="shared" si="27"/>
        <v>0</v>
      </c>
      <c r="N162" s="338">
        <f t="shared" si="28"/>
        <v>0</v>
      </c>
      <c r="O162" s="338">
        <f t="shared" si="29"/>
        <v>0</v>
      </c>
      <c r="P162" s="338">
        <f t="shared" si="30"/>
        <v>0</v>
      </c>
      <c r="Q162" s="338">
        <f t="shared" si="31"/>
        <v>0</v>
      </c>
      <c r="R162" s="338">
        <f t="shared" si="32"/>
        <v>0</v>
      </c>
    </row>
    <row r="163" spans="1:18" ht="12">
      <c r="A163" s="985">
        <v>3650</v>
      </c>
      <c r="B163" s="984" t="s">
        <v>2774</v>
      </c>
      <c r="C163" s="975" t="str">
        <f t="shared" si="37"/>
        <v>36500</v>
      </c>
      <c r="D163" s="401"/>
      <c r="E163" s="980"/>
      <c r="F163" s="980"/>
      <c r="G163" s="401" t="str">
        <f t="shared" si="33"/>
        <v/>
      </c>
      <c r="H163" s="401" t="str">
        <f t="shared" si="34"/>
        <v/>
      </c>
      <c r="I163" s="401">
        <f t="shared" si="35"/>
        <v>3650</v>
      </c>
      <c r="J163" s="981" t="str">
        <f t="shared" si="36"/>
        <v>Servicios de la industria fílmica, del sonido y del video</v>
      </c>
      <c r="K163" s="338">
        <f t="shared" si="25"/>
        <v>0</v>
      </c>
      <c r="L163" s="338">
        <f t="shared" si="26"/>
        <v>0</v>
      </c>
      <c r="M163" s="338">
        <f t="shared" si="27"/>
        <v>0</v>
      </c>
      <c r="N163" s="338">
        <f t="shared" si="28"/>
        <v>0</v>
      </c>
      <c r="O163" s="338">
        <f t="shared" si="29"/>
        <v>0</v>
      </c>
      <c r="P163" s="338">
        <f t="shared" si="30"/>
        <v>0</v>
      </c>
      <c r="Q163" s="338">
        <f t="shared" si="31"/>
        <v>0</v>
      </c>
      <c r="R163" s="338">
        <f t="shared" si="32"/>
        <v>0</v>
      </c>
    </row>
    <row r="164" spans="1:18" ht="12">
      <c r="A164" s="985">
        <v>3660</v>
      </c>
      <c r="B164" s="984" t="s">
        <v>2775</v>
      </c>
      <c r="C164" s="975" t="str">
        <f t="shared" si="37"/>
        <v>36600</v>
      </c>
      <c r="D164" s="401"/>
      <c r="E164" s="980"/>
      <c r="F164" s="980"/>
      <c r="G164" s="401" t="str">
        <f t="shared" si="33"/>
        <v/>
      </c>
      <c r="H164" s="401" t="str">
        <f t="shared" si="34"/>
        <v/>
      </c>
      <c r="I164" s="401">
        <f t="shared" si="35"/>
        <v>3660</v>
      </c>
      <c r="J164" s="981" t="str">
        <f t="shared" si="36"/>
        <v>Servicio de creación y difusión de contenido exclusivamente a través de Internet</v>
      </c>
      <c r="K164" s="338">
        <f t="shared" si="25"/>
        <v>377160.08</v>
      </c>
      <c r="L164" s="338">
        <f t="shared" si="26"/>
        <v>-377160.08</v>
      </c>
      <c r="M164" s="338">
        <f t="shared" si="27"/>
        <v>0</v>
      </c>
      <c r="N164" s="338">
        <f t="shared" si="28"/>
        <v>0</v>
      </c>
      <c r="O164" s="338">
        <f t="shared" si="29"/>
        <v>0</v>
      </c>
      <c r="P164" s="338">
        <f t="shared" si="30"/>
        <v>0</v>
      </c>
      <c r="Q164" s="338">
        <f t="shared" si="31"/>
        <v>0</v>
      </c>
      <c r="R164" s="338">
        <f t="shared" si="32"/>
        <v>0</v>
      </c>
    </row>
    <row r="165" spans="1:18" ht="12">
      <c r="A165" s="985">
        <v>3690</v>
      </c>
      <c r="B165" s="984" t="s">
        <v>2776</v>
      </c>
      <c r="C165" s="975" t="str">
        <f t="shared" si="37"/>
        <v>36900</v>
      </c>
      <c r="D165" s="401"/>
      <c r="E165" s="980"/>
      <c r="F165" s="980"/>
      <c r="G165" s="401" t="str">
        <f t="shared" si="33"/>
        <v/>
      </c>
      <c r="H165" s="401" t="str">
        <f t="shared" si="34"/>
        <v/>
      </c>
      <c r="I165" s="401">
        <f t="shared" si="35"/>
        <v>3690</v>
      </c>
      <c r="J165" s="981" t="str">
        <f t="shared" si="36"/>
        <v>Otros servicios de información</v>
      </c>
      <c r="K165" s="338">
        <f t="shared" si="25"/>
        <v>0</v>
      </c>
      <c r="L165" s="338">
        <f t="shared" si="26"/>
        <v>0</v>
      </c>
      <c r="M165" s="338">
        <f t="shared" si="27"/>
        <v>0</v>
      </c>
      <c r="N165" s="338">
        <f t="shared" si="28"/>
        <v>0</v>
      </c>
      <c r="O165" s="338">
        <f t="shared" si="29"/>
        <v>0</v>
      </c>
      <c r="P165" s="338">
        <f t="shared" si="30"/>
        <v>0</v>
      </c>
      <c r="Q165" s="338">
        <f t="shared" si="31"/>
        <v>0</v>
      </c>
      <c r="R165" s="338">
        <f t="shared" si="32"/>
        <v>0</v>
      </c>
    </row>
    <row r="166" spans="1:18">
      <c r="A166" s="229">
        <v>3700</v>
      </c>
      <c r="B166" s="230" t="s">
        <v>204</v>
      </c>
      <c r="C166" s="975" t="str">
        <f t="shared" si="37"/>
        <v>37000</v>
      </c>
      <c r="D166" s="401"/>
      <c r="E166" s="980"/>
      <c r="F166" s="980"/>
      <c r="G166" s="401" t="str">
        <f t="shared" si="33"/>
        <v/>
      </c>
      <c r="H166" s="401">
        <f t="shared" si="34"/>
        <v>3700</v>
      </c>
      <c r="I166" s="401" t="str">
        <f t="shared" si="35"/>
        <v/>
      </c>
      <c r="J166" s="981" t="str">
        <f t="shared" si="36"/>
        <v>Servicios de traslado y viáticos</v>
      </c>
      <c r="K166" s="338">
        <f t="shared" si="25"/>
        <v>510777.37999999995</v>
      </c>
      <c r="L166" s="338">
        <f t="shared" si="26"/>
        <v>-337315.05999999994</v>
      </c>
      <c r="M166" s="338">
        <f t="shared" si="27"/>
        <v>173462.32</v>
      </c>
      <c r="N166" s="338">
        <f t="shared" si="28"/>
        <v>173462.32</v>
      </c>
      <c r="O166" s="338">
        <f t="shared" si="29"/>
        <v>173462.32</v>
      </c>
      <c r="P166" s="338">
        <f t="shared" si="30"/>
        <v>173462.32</v>
      </c>
      <c r="Q166" s="338">
        <f t="shared" si="31"/>
        <v>172412.32</v>
      </c>
      <c r="R166" s="338">
        <f t="shared" si="32"/>
        <v>0</v>
      </c>
    </row>
    <row r="167" spans="1:18" ht="12">
      <c r="A167" s="985">
        <v>3710</v>
      </c>
      <c r="B167" s="984" t="s">
        <v>2777</v>
      </c>
      <c r="C167" s="975" t="str">
        <f t="shared" si="37"/>
        <v>37100</v>
      </c>
      <c r="D167" s="401"/>
      <c r="E167" s="980"/>
      <c r="F167" s="980"/>
      <c r="G167" s="401" t="str">
        <f t="shared" si="33"/>
        <v/>
      </c>
      <c r="H167" s="401" t="str">
        <f t="shared" si="34"/>
        <v/>
      </c>
      <c r="I167" s="401">
        <f t="shared" si="35"/>
        <v>3710</v>
      </c>
      <c r="J167" s="981" t="str">
        <f t="shared" si="36"/>
        <v>Pasajes aéreos</v>
      </c>
      <c r="K167" s="338">
        <f t="shared" si="25"/>
        <v>162484.62</v>
      </c>
      <c r="L167" s="338">
        <f t="shared" si="26"/>
        <v>-136558.62</v>
      </c>
      <c r="M167" s="338">
        <f t="shared" si="27"/>
        <v>25926</v>
      </c>
      <c r="N167" s="338">
        <f t="shared" si="28"/>
        <v>25926</v>
      </c>
      <c r="O167" s="338">
        <f t="shared" si="29"/>
        <v>25926</v>
      </c>
      <c r="P167" s="338">
        <f t="shared" si="30"/>
        <v>25926</v>
      </c>
      <c r="Q167" s="338">
        <f t="shared" si="31"/>
        <v>25926</v>
      </c>
      <c r="R167" s="338">
        <f t="shared" si="32"/>
        <v>0</v>
      </c>
    </row>
    <row r="168" spans="1:18" ht="12">
      <c r="A168" s="985">
        <v>3720</v>
      </c>
      <c r="B168" s="984" t="s">
        <v>2778</v>
      </c>
      <c r="C168" s="975" t="str">
        <f t="shared" si="37"/>
        <v>37200</v>
      </c>
      <c r="D168" s="401"/>
      <c r="E168" s="980"/>
      <c r="F168" s="980"/>
      <c r="G168" s="401" t="str">
        <f t="shared" si="33"/>
        <v/>
      </c>
      <c r="H168" s="401" t="str">
        <f t="shared" si="34"/>
        <v/>
      </c>
      <c r="I168" s="401">
        <f t="shared" si="35"/>
        <v>3720</v>
      </c>
      <c r="J168" s="981" t="str">
        <f t="shared" si="36"/>
        <v>Pasajes terrestres</v>
      </c>
      <c r="K168" s="338">
        <f t="shared" si="25"/>
        <v>152903.29999999999</v>
      </c>
      <c r="L168" s="338">
        <f t="shared" si="26"/>
        <v>-59904.800000000017</v>
      </c>
      <c r="M168" s="338">
        <f t="shared" si="27"/>
        <v>92998.499999999971</v>
      </c>
      <c r="N168" s="338">
        <f t="shared" si="28"/>
        <v>92998.5</v>
      </c>
      <c r="O168" s="338">
        <f t="shared" si="29"/>
        <v>92998.5</v>
      </c>
      <c r="P168" s="338">
        <f t="shared" si="30"/>
        <v>92998.5</v>
      </c>
      <c r="Q168" s="338">
        <f t="shared" si="31"/>
        <v>91948.5</v>
      </c>
      <c r="R168" s="338">
        <f t="shared" si="32"/>
        <v>0</v>
      </c>
    </row>
    <row r="169" spans="1:18" ht="12">
      <c r="A169" s="985">
        <v>3730</v>
      </c>
      <c r="B169" s="984" t="s">
        <v>2779</v>
      </c>
      <c r="C169" s="975" t="str">
        <f t="shared" si="37"/>
        <v>37300</v>
      </c>
      <c r="D169" s="401"/>
      <c r="E169" s="980"/>
      <c r="F169" s="980"/>
      <c r="G169" s="401" t="str">
        <f t="shared" si="33"/>
        <v/>
      </c>
      <c r="H169" s="401" t="str">
        <f t="shared" si="34"/>
        <v/>
      </c>
      <c r="I169" s="401">
        <f t="shared" si="35"/>
        <v>3730</v>
      </c>
      <c r="J169" s="981" t="str">
        <f t="shared" si="36"/>
        <v>Pasajes marítimos, lacustres y fluviales</v>
      </c>
      <c r="K169" s="338">
        <f t="shared" si="25"/>
        <v>0</v>
      </c>
      <c r="L169" s="338">
        <f t="shared" si="26"/>
        <v>0</v>
      </c>
      <c r="M169" s="338">
        <f t="shared" si="27"/>
        <v>0</v>
      </c>
      <c r="N169" s="338">
        <f t="shared" si="28"/>
        <v>0</v>
      </c>
      <c r="O169" s="338">
        <f t="shared" si="29"/>
        <v>0</v>
      </c>
      <c r="P169" s="338">
        <f t="shared" si="30"/>
        <v>0</v>
      </c>
      <c r="Q169" s="338">
        <f t="shared" si="31"/>
        <v>0</v>
      </c>
      <c r="R169" s="338">
        <f t="shared" si="32"/>
        <v>0</v>
      </c>
    </row>
    <row r="170" spans="1:18" ht="12">
      <c r="A170" s="985">
        <v>3740</v>
      </c>
      <c r="B170" s="984" t="s">
        <v>2780</v>
      </c>
      <c r="C170" s="975" t="str">
        <f t="shared" si="37"/>
        <v>37400</v>
      </c>
      <c r="D170" s="401"/>
      <c r="E170" s="980"/>
      <c r="F170" s="980"/>
      <c r="G170" s="401" t="str">
        <f t="shared" si="33"/>
        <v/>
      </c>
      <c r="H170" s="401" t="str">
        <f t="shared" si="34"/>
        <v/>
      </c>
      <c r="I170" s="401">
        <f t="shared" si="35"/>
        <v>3740</v>
      </c>
      <c r="J170" s="981" t="str">
        <f t="shared" si="36"/>
        <v>Autotransporte</v>
      </c>
      <c r="K170" s="338">
        <f t="shared" si="25"/>
        <v>0</v>
      </c>
      <c r="L170" s="338">
        <f t="shared" si="26"/>
        <v>0</v>
      </c>
      <c r="M170" s="338">
        <f t="shared" si="27"/>
        <v>0</v>
      </c>
      <c r="N170" s="338">
        <f t="shared" si="28"/>
        <v>0</v>
      </c>
      <c r="O170" s="338">
        <f t="shared" si="29"/>
        <v>0</v>
      </c>
      <c r="P170" s="338">
        <f t="shared" si="30"/>
        <v>0</v>
      </c>
      <c r="Q170" s="338">
        <f t="shared" si="31"/>
        <v>0</v>
      </c>
      <c r="R170" s="338">
        <f t="shared" si="32"/>
        <v>0</v>
      </c>
    </row>
    <row r="171" spans="1:18" ht="12">
      <c r="A171" s="985">
        <v>3750</v>
      </c>
      <c r="B171" s="984" t="s">
        <v>2781</v>
      </c>
      <c r="C171" s="975" t="str">
        <f t="shared" si="37"/>
        <v>37500</v>
      </c>
      <c r="D171" s="401"/>
      <c r="E171" s="980"/>
      <c r="F171" s="980"/>
      <c r="G171" s="401" t="str">
        <f t="shared" si="33"/>
        <v/>
      </c>
      <c r="H171" s="401" t="str">
        <f t="shared" si="34"/>
        <v/>
      </c>
      <c r="I171" s="401">
        <f t="shared" si="35"/>
        <v>3750</v>
      </c>
      <c r="J171" s="981" t="str">
        <f t="shared" si="36"/>
        <v>Viáticos en el país</v>
      </c>
      <c r="K171" s="338">
        <f t="shared" si="25"/>
        <v>148094.21000000002</v>
      </c>
      <c r="L171" s="338">
        <f t="shared" si="26"/>
        <v>-93556.389999999985</v>
      </c>
      <c r="M171" s="338">
        <f t="shared" si="27"/>
        <v>54537.820000000036</v>
      </c>
      <c r="N171" s="338">
        <f t="shared" si="28"/>
        <v>54537.82</v>
      </c>
      <c r="O171" s="338">
        <f t="shared" si="29"/>
        <v>54537.82</v>
      </c>
      <c r="P171" s="338">
        <f t="shared" si="30"/>
        <v>54537.82</v>
      </c>
      <c r="Q171" s="338">
        <f t="shared" si="31"/>
        <v>54537.82</v>
      </c>
      <c r="R171" s="338">
        <f t="shared" si="32"/>
        <v>0</v>
      </c>
    </row>
    <row r="172" spans="1:18" ht="12">
      <c r="A172" s="985">
        <v>3760</v>
      </c>
      <c r="B172" s="984" t="s">
        <v>2782</v>
      </c>
      <c r="C172" s="975" t="str">
        <f t="shared" si="37"/>
        <v>37600</v>
      </c>
      <c r="D172" s="401"/>
      <c r="E172" s="980"/>
      <c r="F172" s="980"/>
      <c r="G172" s="401" t="str">
        <f t="shared" si="33"/>
        <v/>
      </c>
      <c r="H172" s="401" t="str">
        <f t="shared" si="34"/>
        <v/>
      </c>
      <c r="I172" s="401">
        <f t="shared" si="35"/>
        <v>3760</v>
      </c>
      <c r="J172" s="981" t="str">
        <f t="shared" si="36"/>
        <v>Viáticos en el extranjero</v>
      </c>
      <c r="K172" s="338">
        <f t="shared" si="25"/>
        <v>47295.25</v>
      </c>
      <c r="L172" s="338">
        <f t="shared" si="26"/>
        <v>-47295.25</v>
      </c>
      <c r="M172" s="338">
        <f t="shared" si="27"/>
        <v>0</v>
      </c>
      <c r="N172" s="338">
        <f t="shared" si="28"/>
        <v>0</v>
      </c>
      <c r="O172" s="338">
        <f t="shared" si="29"/>
        <v>0</v>
      </c>
      <c r="P172" s="338">
        <f t="shared" si="30"/>
        <v>0</v>
      </c>
      <c r="Q172" s="338">
        <f t="shared" si="31"/>
        <v>0</v>
      </c>
      <c r="R172" s="338">
        <f t="shared" si="32"/>
        <v>0</v>
      </c>
    </row>
    <row r="173" spans="1:18" ht="12">
      <c r="A173" s="985">
        <v>3770</v>
      </c>
      <c r="B173" s="984" t="s">
        <v>2783</v>
      </c>
      <c r="C173" s="975" t="str">
        <f t="shared" si="37"/>
        <v>37700</v>
      </c>
      <c r="D173" s="401"/>
      <c r="E173" s="980"/>
      <c r="F173" s="980"/>
      <c r="G173" s="401" t="str">
        <f t="shared" si="33"/>
        <v/>
      </c>
      <c r="H173" s="401" t="str">
        <f t="shared" si="34"/>
        <v/>
      </c>
      <c r="I173" s="401">
        <f t="shared" si="35"/>
        <v>3770</v>
      </c>
      <c r="J173" s="981" t="str">
        <f t="shared" si="36"/>
        <v>Gastos de instalación y traslado de menaje</v>
      </c>
      <c r="K173" s="338">
        <f t="shared" si="25"/>
        <v>0</v>
      </c>
      <c r="L173" s="338">
        <f t="shared" si="26"/>
        <v>0</v>
      </c>
      <c r="M173" s="338">
        <f t="shared" si="27"/>
        <v>0</v>
      </c>
      <c r="N173" s="338">
        <f t="shared" si="28"/>
        <v>0</v>
      </c>
      <c r="O173" s="338">
        <f t="shared" si="29"/>
        <v>0</v>
      </c>
      <c r="P173" s="338">
        <f t="shared" si="30"/>
        <v>0</v>
      </c>
      <c r="Q173" s="338">
        <f t="shared" si="31"/>
        <v>0</v>
      </c>
      <c r="R173" s="338">
        <f t="shared" si="32"/>
        <v>0</v>
      </c>
    </row>
    <row r="174" spans="1:18" ht="12">
      <c r="A174" s="985">
        <v>3780</v>
      </c>
      <c r="B174" s="984" t="s">
        <v>2784</v>
      </c>
      <c r="C174" s="975" t="str">
        <f t="shared" si="37"/>
        <v>37800</v>
      </c>
      <c r="D174" s="401"/>
      <c r="E174" s="980"/>
      <c r="F174" s="980"/>
      <c r="G174" s="401" t="str">
        <f t="shared" si="33"/>
        <v/>
      </c>
      <c r="H174" s="401" t="str">
        <f t="shared" si="34"/>
        <v/>
      </c>
      <c r="I174" s="401">
        <f t="shared" si="35"/>
        <v>3780</v>
      </c>
      <c r="J174" s="981" t="str">
        <f t="shared" si="36"/>
        <v>Servicios integrales de traslado y viáticos</v>
      </c>
      <c r="K174" s="338">
        <f t="shared" si="25"/>
        <v>0</v>
      </c>
      <c r="L174" s="338">
        <f t="shared" si="26"/>
        <v>0</v>
      </c>
      <c r="M174" s="338">
        <f t="shared" si="27"/>
        <v>0</v>
      </c>
      <c r="N174" s="338">
        <f t="shared" si="28"/>
        <v>0</v>
      </c>
      <c r="O174" s="338">
        <f t="shared" si="29"/>
        <v>0</v>
      </c>
      <c r="P174" s="338">
        <f t="shared" si="30"/>
        <v>0</v>
      </c>
      <c r="Q174" s="338">
        <f t="shared" si="31"/>
        <v>0</v>
      </c>
      <c r="R174" s="338">
        <f t="shared" si="32"/>
        <v>0</v>
      </c>
    </row>
    <row r="175" spans="1:18" ht="12">
      <c r="A175" s="985">
        <v>3790</v>
      </c>
      <c r="B175" s="984" t="s">
        <v>2785</v>
      </c>
      <c r="C175" s="975" t="str">
        <f t="shared" si="37"/>
        <v>37900</v>
      </c>
      <c r="D175" s="401"/>
      <c r="E175" s="980"/>
      <c r="F175" s="980"/>
      <c r="G175" s="401" t="str">
        <f t="shared" si="33"/>
        <v/>
      </c>
      <c r="H175" s="401" t="str">
        <f t="shared" si="34"/>
        <v/>
      </c>
      <c r="I175" s="401">
        <f t="shared" si="35"/>
        <v>3790</v>
      </c>
      <c r="J175" s="981" t="str">
        <f t="shared" si="36"/>
        <v>Otros servicios de traslado y hospedaje</v>
      </c>
      <c r="K175" s="338">
        <f t="shared" si="25"/>
        <v>0</v>
      </c>
      <c r="L175" s="338">
        <f t="shared" si="26"/>
        <v>0</v>
      </c>
      <c r="M175" s="338">
        <f t="shared" si="27"/>
        <v>0</v>
      </c>
      <c r="N175" s="338">
        <f t="shared" si="28"/>
        <v>0</v>
      </c>
      <c r="O175" s="338">
        <f t="shared" si="29"/>
        <v>0</v>
      </c>
      <c r="P175" s="338">
        <f t="shared" si="30"/>
        <v>0</v>
      </c>
      <c r="Q175" s="338">
        <f t="shared" si="31"/>
        <v>0</v>
      </c>
      <c r="R175" s="338">
        <f t="shared" si="32"/>
        <v>0</v>
      </c>
    </row>
    <row r="176" spans="1:18">
      <c r="A176" s="229">
        <v>3800</v>
      </c>
      <c r="B176" s="230" t="s">
        <v>205</v>
      </c>
      <c r="C176" s="975" t="str">
        <f t="shared" si="37"/>
        <v>38000</v>
      </c>
      <c r="D176" s="401"/>
      <c r="E176" s="980"/>
      <c r="F176" s="980"/>
      <c r="G176" s="401" t="str">
        <f t="shared" si="33"/>
        <v/>
      </c>
      <c r="H176" s="401">
        <f t="shared" si="34"/>
        <v>3800</v>
      </c>
      <c r="I176" s="401" t="str">
        <f t="shared" si="35"/>
        <v/>
      </c>
      <c r="J176" s="981" t="str">
        <f t="shared" si="36"/>
        <v>Servicios oficiales</v>
      </c>
      <c r="K176" s="338">
        <f t="shared" si="25"/>
        <v>1398937.78</v>
      </c>
      <c r="L176" s="338">
        <f t="shared" si="26"/>
        <v>-42651.470000000016</v>
      </c>
      <c r="M176" s="338">
        <f t="shared" si="27"/>
        <v>1356286.31</v>
      </c>
      <c r="N176" s="338">
        <f t="shared" si="28"/>
        <v>1356286.31</v>
      </c>
      <c r="O176" s="338">
        <f t="shared" si="29"/>
        <v>1356286.31</v>
      </c>
      <c r="P176" s="338">
        <f t="shared" si="30"/>
        <v>1356286.31</v>
      </c>
      <c r="Q176" s="338">
        <f t="shared" si="31"/>
        <v>1356286.31</v>
      </c>
      <c r="R176" s="338">
        <f t="shared" si="32"/>
        <v>0</v>
      </c>
    </row>
    <row r="177" spans="1:18" ht="12">
      <c r="A177" s="985">
        <v>3810</v>
      </c>
      <c r="B177" s="984" t="s">
        <v>2786</v>
      </c>
      <c r="C177" s="975" t="str">
        <f t="shared" si="37"/>
        <v>38100</v>
      </c>
      <c r="D177" s="401"/>
      <c r="E177" s="980"/>
      <c r="F177" s="980"/>
      <c r="G177" s="401" t="str">
        <f t="shared" si="33"/>
        <v/>
      </c>
      <c r="H177" s="401" t="str">
        <f t="shared" si="34"/>
        <v/>
      </c>
      <c r="I177" s="401">
        <f t="shared" si="35"/>
        <v>3810</v>
      </c>
      <c r="J177" s="981" t="str">
        <f t="shared" si="36"/>
        <v>Gastos de ceremonial</v>
      </c>
      <c r="K177" s="338">
        <f t="shared" si="25"/>
        <v>291026.57</v>
      </c>
      <c r="L177" s="338">
        <f t="shared" si="26"/>
        <v>532031.54</v>
      </c>
      <c r="M177" s="338">
        <f t="shared" si="27"/>
        <v>823058.1100000001</v>
      </c>
      <c r="N177" s="338">
        <f t="shared" si="28"/>
        <v>823058.1100000001</v>
      </c>
      <c r="O177" s="338">
        <f t="shared" si="29"/>
        <v>823058.1100000001</v>
      </c>
      <c r="P177" s="338">
        <f t="shared" si="30"/>
        <v>823058.1100000001</v>
      </c>
      <c r="Q177" s="338">
        <f t="shared" si="31"/>
        <v>823058.1100000001</v>
      </c>
      <c r="R177" s="338">
        <f t="shared" si="32"/>
        <v>0</v>
      </c>
    </row>
    <row r="178" spans="1:18" ht="12">
      <c r="A178" s="985">
        <v>3820</v>
      </c>
      <c r="B178" s="984" t="s">
        <v>2787</v>
      </c>
      <c r="C178" s="975" t="str">
        <f t="shared" si="37"/>
        <v>38200</v>
      </c>
      <c r="D178" s="401"/>
      <c r="E178" s="980"/>
      <c r="F178" s="980"/>
      <c r="G178" s="401" t="str">
        <f t="shared" si="33"/>
        <v/>
      </c>
      <c r="H178" s="401" t="str">
        <f t="shared" si="34"/>
        <v/>
      </c>
      <c r="I178" s="401">
        <f t="shared" si="35"/>
        <v>3820</v>
      </c>
      <c r="J178" s="981" t="str">
        <f t="shared" si="36"/>
        <v>Gastos de orden social y cultural</v>
      </c>
      <c r="K178" s="338">
        <f t="shared" si="25"/>
        <v>0</v>
      </c>
      <c r="L178" s="338">
        <f t="shared" si="26"/>
        <v>0</v>
      </c>
      <c r="M178" s="338">
        <f t="shared" si="27"/>
        <v>0</v>
      </c>
      <c r="N178" s="338">
        <f t="shared" si="28"/>
        <v>0</v>
      </c>
      <c r="O178" s="338">
        <f t="shared" si="29"/>
        <v>0</v>
      </c>
      <c r="P178" s="338">
        <f t="shared" si="30"/>
        <v>0</v>
      </c>
      <c r="Q178" s="338">
        <f t="shared" si="31"/>
        <v>0</v>
      </c>
      <c r="R178" s="338">
        <f t="shared" si="32"/>
        <v>0</v>
      </c>
    </row>
    <row r="179" spans="1:18" ht="12">
      <c r="A179" s="985">
        <v>3830</v>
      </c>
      <c r="B179" s="984" t="s">
        <v>2788</v>
      </c>
      <c r="C179" s="975" t="str">
        <f t="shared" si="37"/>
        <v>38300</v>
      </c>
      <c r="D179" s="401"/>
      <c r="E179" s="980"/>
      <c r="F179" s="980"/>
      <c r="G179" s="401" t="str">
        <f t="shared" si="33"/>
        <v/>
      </c>
      <c r="H179" s="401" t="str">
        <f t="shared" si="34"/>
        <v/>
      </c>
      <c r="I179" s="401">
        <f t="shared" si="35"/>
        <v>3830</v>
      </c>
      <c r="J179" s="981" t="str">
        <f t="shared" si="36"/>
        <v>Congresos y convenciones</v>
      </c>
      <c r="K179" s="338">
        <f t="shared" si="25"/>
        <v>800000</v>
      </c>
      <c r="L179" s="338">
        <f t="shared" si="26"/>
        <v>-444616.24000000011</v>
      </c>
      <c r="M179" s="338">
        <f t="shared" si="27"/>
        <v>355383.75999999989</v>
      </c>
      <c r="N179" s="338">
        <f t="shared" si="28"/>
        <v>355383.76</v>
      </c>
      <c r="O179" s="338">
        <f t="shared" si="29"/>
        <v>355383.76</v>
      </c>
      <c r="P179" s="338">
        <f t="shared" si="30"/>
        <v>355383.76</v>
      </c>
      <c r="Q179" s="338">
        <f t="shared" si="31"/>
        <v>355383.76</v>
      </c>
      <c r="R179" s="338">
        <f t="shared" si="32"/>
        <v>0</v>
      </c>
    </row>
    <row r="180" spans="1:18" ht="12">
      <c r="A180" s="985">
        <v>3840</v>
      </c>
      <c r="B180" s="984" t="s">
        <v>2789</v>
      </c>
      <c r="C180" s="975" t="str">
        <f t="shared" si="37"/>
        <v>38400</v>
      </c>
      <c r="D180" s="401"/>
      <c r="E180" s="980"/>
      <c r="F180" s="980"/>
      <c r="G180" s="401" t="str">
        <f t="shared" si="33"/>
        <v/>
      </c>
      <c r="H180" s="401" t="str">
        <f t="shared" si="34"/>
        <v/>
      </c>
      <c r="I180" s="401">
        <f t="shared" si="35"/>
        <v>3840</v>
      </c>
      <c r="J180" s="981" t="str">
        <f t="shared" si="36"/>
        <v>Exposiciones</v>
      </c>
      <c r="K180" s="338">
        <f t="shared" si="25"/>
        <v>0</v>
      </c>
      <c r="L180" s="338">
        <f t="shared" si="26"/>
        <v>0</v>
      </c>
      <c r="M180" s="338">
        <f t="shared" si="27"/>
        <v>0</v>
      </c>
      <c r="N180" s="338">
        <f t="shared" si="28"/>
        <v>0</v>
      </c>
      <c r="O180" s="338">
        <f t="shared" si="29"/>
        <v>0</v>
      </c>
      <c r="P180" s="338">
        <f t="shared" si="30"/>
        <v>0</v>
      </c>
      <c r="Q180" s="338">
        <f t="shared" si="31"/>
        <v>0</v>
      </c>
      <c r="R180" s="338">
        <f t="shared" si="32"/>
        <v>0</v>
      </c>
    </row>
    <row r="181" spans="1:18" ht="12">
      <c r="A181" s="985">
        <v>3850</v>
      </c>
      <c r="B181" s="984" t="s">
        <v>2790</v>
      </c>
      <c r="C181" s="975" t="str">
        <f t="shared" si="37"/>
        <v>38500</v>
      </c>
      <c r="D181" s="401"/>
      <c r="E181" s="980"/>
      <c r="F181" s="980"/>
      <c r="G181" s="401" t="str">
        <f t="shared" si="33"/>
        <v/>
      </c>
      <c r="H181" s="401" t="str">
        <f t="shared" si="34"/>
        <v/>
      </c>
      <c r="I181" s="401">
        <f t="shared" si="35"/>
        <v>3850</v>
      </c>
      <c r="J181" s="981" t="str">
        <f t="shared" si="36"/>
        <v>Gastos de representación</v>
      </c>
      <c r="K181" s="338">
        <f t="shared" si="25"/>
        <v>307911.20999999996</v>
      </c>
      <c r="L181" s="338">
        <f t="shared" si="26"/>
        <v>-130066.76999999999</v>
      </c>
      <c r="M181" s="338">
        <f t="shared" si="27"/>
        <v>177844.43999999997</v>
      </c>
      <c r="N181" s="338">
        <f t="shared" si="28"/>
        <v>177844.44</v>
      </c>
      <c r="O181" s="338">
        <f t="shared" si="29"/>
        <v>177844.44</v>
      </c>
      <c r="P181" s="338">
        <f t="shared" si="30"/>
        <v>177844.44</v>
      </c>
      <c r="Q181" s="338">
        <f t="shared" si="31"/>
        <v>177844.44</v>
      </c>
      <c r="R181" s="338">
        <f t="shared" si="32"/>
        <v>0</v>
      </c>
    </row>
    <row r="182" spans="1:18">
      <c r="A182" s="229">
        <v>3900</v>
      </c>
      <c r="B182" s="230" t="s">
        <v>206</v>
      </c>
      <c r="C182" s="975" t="str">
        <f t="shared" si="37"/>
        <v>39000</v>
      </c>
      <c r="D182" s="401"/>
      <c r="E182" s="980"/>
      <c r="F182" s="980"/>
      <c r="G182" s="401" t="str">
        <f t="shared" si="33"/>
        <v/>
      </c>
      <c r="H182" s="401">
        <f t="shared" si="34"/>
        <v>3900</v>
      </c>
      <c r="I182" s="401" t="str">
        <f t="shared" si="35"/>
        <v/>
      </c>
      <c r="J182" s="981" t="str">
        <f t="shared" si="36"/>
        <v>Otros servicios generales</v>
      </c>
      <c r="K182" s="338">
        <f t="shared" si="25"/>
        <v>1031681.38</v>
      </c>
      <c r="L182" s="338">
        <f t="shared" si="26"/>
        <v>141333.20000000001</v>
      </c>
      <c r="M182" s="338">
        <f t="shared" si="27"/>
        <v>1173014.58</v>
      </c>
      <c r="N182" s="338">
        <f t="shared" si="28"/>
        <v>1173014.58</v>
      </c>
      <c r="O182" s="338">
        <f t="shared" si="29"/>
        <v>1173014.58</v>
      </c>
      <c r="P182" s="338">
        <f t="shared" si="30"/>
        <v>1173014.58</v>
      </c>
      <c r="Q182" s="338">
        <f t="shared" si="31"/>
        <v>1173014.58</v>
      </c>
      <c r="R182" s="338">
        <f t="shared" si="32"/>
        <v>0</v>
      </c>
    </row>
    <row r="183" spans="1:18" ht="12">
      <c r="A183" s="985">
        <v>3910</v>
      </c>
      <c r="B183" s="984" t="s">
        <v>2791</v>
      </c>
      <c r="C183" s="975" t="str">
        <f t="shared" si="37"/>
        <v>39100</v>
      </c>
      <c r="D183" s="401"/>
      <c r="E183" s="980"/>
      <c r="F183" s="980"/>
      <c r="G183" s="401" t="str">
        <f t="shared" si="33"/>
        <v/>
      </c>
      <c r="H183" s="401" t="str">
        <f t="shared" si="34"/>
        <v/>
      </c>
      <c r="I183" s="401">
        <f t="shared" si="35"/>
        <v>3910</v>
      </c>
      <c r="J183" s="981" t="str">
        <f t="shared" si="36"/>
        <v>Servicios funerarios y de cementerios</v>
      </c>
      <c r="K183" s="338">
        <f t="shared" si="25"/>
        <v>0</v>
      </c>
      <c r="L183" s="338">
        <f t="shared" si="26"/>
        <v>0</v>
      </c>
      <c r="M183" s="338">
        <f t="shared" si="27"/>
        <v>0</v>
      </c>
      <c r="N183" s="338">
        <f t="shared" si="28"/>
        <v>0</v>
      </c>
      <c r="O183" s="338">
        <f t="shared" si="29"/>
        <v>0</v>
      </c>
      <c r="P183" s="338">
        <f t="shared" si="30"/>
        <v>0</v>
      </c>
      <c r="Q183" s="338">
        <f t="shared" si="31"/>
        <v>0</v>
      </c>
      <c r="R183" s="338">
        <f t="shared" si="32"/>
        <v>0</v>
      </c>
    </row>
    <row r="184" spans="1:18" ht="12">
      <c r="A184" s="985">
        <v>3920</v>
      </c>
      <c r="B184" s="984" t="s">
        <v>2792</v>
      </c>
      <c r="C184" s="975" t="str">
        <f t="shared" si="37"/>
        <v>39200</v>
      </c>
      <c r="D184" s="401"/>
      <c r="E184" s="980"/>
      <c r="F184" s="980"/>
      <c r="G184" s="401" t="str">
        <f t="shared" si="33"/>
        <v/>
      </c>
      <c r="H184" s="401" t="str">
        <f t="shared" si="34"/>
        <v/>
      </c>
      <c r="I184" s="401">
        <f t="shared" si="35"/>
        <v>3920</v>
      </c>
      <c r="J184" s="981" t="str">
        <f t="shared" si="36"/>
        <v>Impuestos y derechos</v>
      </c>
      <c r="K184" s="338">
        <f t="shared" si="25"/>
        <v>17169.02</v>
      </c>
      <c r="L184" s="338">
        <f t="shared" si="26"/>
        <v>13786.510000000002</v>
      </c>
      <c r="M184" s="338">
        <f t="shared" si="27"/>
        <v>30955.530000000002</v>
      </c>
      <c r="N184" s="338">
        <f t="shared" si="28"/>
        <v>30955.53</v>
      </c>
      <c r="O184" s="338">
        <f t="shared" si="29"/>
        <v>30955.53</v>
      </c>
      <c r="P184" s="338">
        <f t="shared" si="30"/>
        <v>30955.53</v>
      </c>
      <c r="Q184" s="338">
        <f t="shared" si="31"/>
        <v>30955.53</v>
      </c>
      <c r="R184" s="338">
        <f t="shared" si="32"/>
        <v>0</v>
      </c>
    </row>
    <row r="185" spans="1:18" ht="12">
      <c r="A185" s="985">
        <v>3930</v>
      </c>
      <c r="B185" s="984" t="s">
        <v>2793</v>
      </c>
      <c r="C185" s="975" t="str">
        <f t="shared" si="37"/>
        <v>39300</v>
      </c>
      <c r="D185" s="401"/>
      <c r="E185" s="980"/>
      <c r="F185" s="980"/>
      <c r="G185" s="401" t="str">
        <f t="shared" si="33"/>
        <v/>
      </c>
      <c r="H185" s="401" t="str">
        <f t="shared" si="34"/>
        <v/>
      </c>
      <c r="I185" s="401">
        <f t="shared" si="35"/>
        <v>3930</v>
      </c>
      <c r="J185" s="981" t="str">
        <f t="shared" si="36"/>
        <v>Impuestos y derechos de importación</v>
      </c>
      <c r="K185" s="338">
        <f t="shared" si="25"/>
        <v>0</v>
      </c>
      <c r="L185" s="338">
        <f t="shared" si="26"/>
        <v>0</v>
      </c>
      <c r="M185" s="338">
        <f t="shared" si="27"/>
        <v>0</v>
      </c>
      <c r="N185" s="338">
        <f t="shared" si="28"/>
        <v>0</v>
      </c>
      <c r="O185" s="338">
        <f t="shared" si="29"/>
        <v>0</v>
      </c>
      <c r="P185" s="338">
        <f t="shared" si="30"/>
        <v>0</v>
      </c>
      <c r="Q185" s="338">
        <f t="shared" si="31"/>
        <v>0</v>
      </c>
      <c r="R185" s="338">
        <f t="shared" si="32"/>
        <v>0</v>
      </c>
    </row>
    <row r="186" spans="1:18" ht="12">
      <c r="A186" s="985">
        <v>3940</v>
      </c>
      <c r="B186" s="984" t="s">
        <v>2794</v>
      </c>
      <c r="C186" s="975" t="str">
        <f t="shared" si="37"/>
        <v>39400</v>
      </c>
      <c r="D186" s="401"/>
      <c r="E186" s="980"/>
      <c r="F186" s="980"/>
      <c r="G186" s="401" t="str">
        <f t="shared" si="33"/>
        <v/>
      </c>
      <c r="H186" s="401" t="str">
        <f t="shared" si="34"/>
        <v/>
      </c>
      <c r="I186" s="401">
        <f t="shared" si="35"/>
        <v>3940</v>
      </c>
      <c r="J186" s="981" t="str">
        <f t="shared" si="36"/>
        <v>Sentencias y resoluciones por autoridad competente</v>
      </c>
      <c r="K186" s="338">
        <f t="shared" si="25"/>
        <v>0</v>
      </c>
      <c r="L186" s="338">
        <f t="shared" si="26"/>
        <v>0</v>
      </c>
      <c r="M186" s="338">
        <f t="shared" si="27"/>
        <v>0</v>
      </c>
      <c r="N186" s="338">
        <f t="shared" si="28"/>
        <v>0</v>
      </c>
      <c r="O186" s="338">
        <f t="shared" si="29"/>
        <v>0</v>
      </c>
      <c r="P186" s="338">
        <f t="shared" si="30"/>
        <v>0</v>
      </c>
      <c r="Q186" s="338">
        <f t="shared" si="31"/>
        <v>0</v>
      </c>
      <c r="R186" s="338">
        <f t="shared" si="32"/>
        <v>0</v>
      </c>
    </row>
    <row r="187" spans="1:18" ht="12">
      <c r="A187" s="985">
        <v>3950</v>
      </c>
      <c r="B187" s="984" t="s">
        <v>2795</v>
      </c>
      <c r="C187" s="975" t="str">
        <f t="shared" si="37"/>
        <v>39500</v>
      </c>
      <c r="D187" s="401"/>
      <c r="E187" s="980"/>
      <c r="F187" s="980"/>
      <c r="G187" s="401" t="str">
        <f t="shared" si="33"/>
        <v/>
      </c>
      <c r="H187" s="401" t="str">
        <f t="shared" si="34"/>
        <v/>
      </c>
      <c r="I187" s="401">
        <f t="shared" si="35"/>
        <v>3950</v>
      </c>
      <c r="J187" s="981" t="str">
        <f t="shared" si="36"/>
        <v>Penas, multas, accesorios y actualizaciones</v>
      </c>
      <c r="K187" s="338">
        <f t="shared" si="25"/>
        <v>0</v>
      </c>
      <c r="L187" s="338">
        <f t="shared" si="26"/>
        <v>0</v>
      </c>
      <c r="M187" s="338">
        <f t="shared" si="27"/>
        <v>0</v>
      </c>
      <c r="N187" s="338">
        <f t="shared" si="28"/>
        <v>0</v>
      </c>
      <c r="O187" s="338">
        <f t="shared" si="29"/>
        <v>0</v>
      </c>
      <c r="P187" s="338">
        <f t="shared" si="30"/>
        <v>0</v>
      </c>
      <c r="Q187" s="338">
        <f t="shared" si="31"/>
        <v>0</v>
      </c>
      <c r="R187" s="338">
        <f t="shared" si="32"/>
        <v>0</v>
      </c>
    </row>
    <row r="188" spans="1:18" ht="12">
      <c r="A188" s="985">
        <v>3960</v>
      </c>
      <c r="B188" s="984" t="s">
        <v>2796</v>
      </c>
      <c r="C188" s="975" t="str">
        <f t="shared" si="37"/>
        <v>39600</v>
      </c>
      <c r="D188" s="401"/>
      <c r="E188" s="980"/>
      <c r="F188" s="980"/>
      <c r="G188" s="401" t="str">
        <f t="shared" si="33"/>
        <v/>
      </c>
      <c r="H188" s="401" t="str">
        <f t="shared" si="34"/>
        <v/>
      </c>
      <c r="I188" s="401">
        <f t="shared" si="35"/>
        <v>3960</v>
      </c>
      <c r="J188" s="981" t="str">
        <f t="shared" si="36"/>
        <v>Otros gastos por responsabilidades</v>
      </c>
      <c r="K188" s="338">
        <f t="shared" si="25"/>
        <v>0</v>
      </c>
      <c r="L188" s="338">
        <f t="shared" si="26"/>
        <v>0</v>
      </c>
      <c r="M188" s="338">
        <f t="shared" si="27"/>
        <v>0</v>
      </c>
      <c r="N188" s="338">
        <f t="shared" si="28"/>
        <v>0</v>
      </c>
      <c r="O188" s="338">
        <f t="shared" si="29"/>
        <v>0</v>
      </c>
      <c r="P188" s="338">
        <f t="shared" si="30"/>
        <v>0</v>
      </c>
      <c r="Q188" s="338">
        <f t="shared" si="31"/>
        <v>0</v>
      </c>
      <c r="R188" s="338">
        <f t="shared" si="32"/>
        <v>0</v>
      </c>
    </row>
    <row r="189" spans="1:18" ht="12">
      <c r="A189" s="985">
        <v>3970</v>
      </c>
      <c r="B189" s="984" t="s">
        <v>2797</v>
      </c>
      <c r="C189" s="975" t="str">
        <f t="shared" si="37"/>
        <v>39700</v>
      </c>
      <c r="D189" s="401"/>
      <c r="E189" s="980"/>
      <c r="F189" s="980"/>
      <c r="G189" s="401" t="str">
        <f t="shared" si="33"/>
        <v/>
      </c>
      <c r="H189" s="401" t="str">
        <f t="shared" si="34"/>
        <v/>
      </c>
      <c r="I189" s="401">
        <f t="shared" si="35"/>
        <v>3970</v>
      </c>
      <c r="J189" s="981" t="str">
        <f t="shared" si="36"/>
        <v>Utilidades</v>
      </c>
      <c r="K189" s="338">
        <f t="shared" si="25"/>
        <v>0</v>
      </c>
      <c r="L189" s="338">
        <f t="shared" si="26"/>
        <v>0</v>
      </c>
      <c r="M189" s="338">
        <f t="shared" si="27"/>
        <v>0</v>
      </c>
      <c r="N189" s="338">
        <f t="shared" si="28"/>
        <v>0</v>
      </c>
      <c r="O189" s="338">
        <f t="shared" si="29"/>
        <v>0</v>
      </c>
      <c r="P189" s="338">
        <f t="shared" si="30"/>
        <v>0</v>
      </c>
      <c r="Q189" s="338">
        <f t="shared" si="31"/>
        <v>0</v>
      </c>
      <c r="R189" s="338">
        <f t="shared" si="32"/>
        <v>0</v>
      </c>
    </row>
    <row r="190" spans="1:18" ht="12">
      <c r="A190" s="985">
        <v>3980</v>
      </c>
      <c r="B190" s="984" t="s">
        <v>2798</v>
      </c>
      <c r="C190" s="975" t="str">
        <f t="shared" si="37"/>
        <v>39800</v>
      </c>
      <c r="D190" s="401"/>
      <c r="E190" s="980"/>
      <c r="F190" s="980"/>
      <c r="G190" s="401" t="str">
        <f t="shared" si="33"/>
        <v/>
      </c>
      <c r="H190" s="401" t="str">
        <f t="shared" si="34"/>
        <v/>
      </c>
      <c r="I190" s="401">
        <f t="shared" si="35"/>
        <v>3980</v>
      </c>
      <c r="J190" s="981" t="str">
        <f t="shared" si="36"/>
        <v>Impuesto sobre nóminas y otros que se deriven de una relación laboral</v>
      </c>
      <c r="K190" s="338">
        <f t="shared" si="25"/>
        <v>1014512.3600000001</v>
      </c>
      <c r="L190" s="338">
        <f t="shared" si="26"/>
        <v>127546.68999999999</v>
      </c>
      <c r="M190" s="338">
        <f t="shared" si="27"/>
        <v>1142059.05</v>
      </c>
      <c r="N190" s="338">
        <f t="shared" si="28"/>
        <v>1142059.05</v>
      </c>
      <c r="O190" s="338">
        <f t="shared" si="29"/>
        <v>1142059.05</v>
      </c>
      <c r="P190" s="338">
        <f t="shared" si="30"/>
        <v>1142059.05</v>
      </c>
      <c r="Q190" s="338">
        <f t="shared" si="31"/>
        <v>1142059.05</v>
      </c>
      <c r="R190" s="338">
        <f t="shared" si="32"/>
        <v>0</v>
      </c>
    </row>
    <row r="191" spans="1:18" ht="12">
      <c r="A191" s="985">
        <v>3990</v>
      </c>
      <c r="B191" s="984" t="s">
        <v>206</v>
      </c>
      <c r="C191" s="975" t="str">
        <f t="shared" si="37"/>
        <v>39900</v>
      </c>
      <c r="D191" s="401"/>
      <c r="E191" s="980"/>
      <c r="F191" s="980"/>
      <c r="G191" s="401" t="str">
        <f t="shared" si="33"/>
        <v/>
      </c>
      <c r="H191" s="401" t="str">
        <f t="shared" si="34"/>
        <v/>
      </c>
      <c r="I191" s="401">
        <f t="shared" si="35"/>
        <v>3990</v>
      </c>
      <c r="J191" s="981" t="str">
        <f t="shared" si="36"/>
        <v>Otros servicios generales</v>
      </c>
      <c r="K191" s="338">
        <f t="shared" si="25"/>
        <v>0</v>
      </c>
      <c r="L191" s="338">
        <f t="shared" si="26"/>
        <v>0</v>
      </c>
      <c r="M191" s="338">
        <f t="shared" si="27"/>
        <v>0</v>
      </c>
      <c r="N191" s="338">
        <f t="shared" si="28"/>
        <v>0</v>
      </c>
      <c r="O191" s="338">
        <f t="shared" si="29"/>
        <v>0</v>
      </c>
      <c r="P191" s="338">
        <f t="shared" si="30"/>
        <v>0</v>
      </c>
      <c r="Q191" s="338">
        <f t="shared" si="31"/>
        <v>0</v>
      </c>
      <c r="R191" s="338">
        <f t="shared" si="32"/>
        <v>0</v>
      </c>
    </row>
    <row r="192" spans="1:18">
      <c r="A192" s="229">
        <v>4000</v>
      </c>
      <c r="B192" s="230" t="s">
        <v>207</v>
      </c>
      <c r="C192" s="975" t="str">
        <f t="shared" si="37"/>
        <v>40000</v>
      </c>
      <c r="D192" s="401"/>
      <c r="E192" s="980"/>
      <c r="F192" s="980"/>
      <c r="G192" s="401">
        <f t="shared" si="33"/>
        <v>4000</v>
      </c>
      <c r="H192" s="401" t="str">
        <f t="shared" si="34"/>
        <v/>
      </c>
      <c r="I192" s="401" t="str">
        <f t="shared" si="35"/>
        <v/>
      </c>
      <c r="J192" s="981" t="str">
        <f t="shared" si="36"/>
        <v>TRANSFERENCIAS, ASIGNACIONES, SUBSIDIOS Y OTRAS AYUDAS</v>
      </c>
      <c r="K192" s="338">
        <f t="shared" si="25"/>
        <v>0</v>
      </c>
      <c r="L192" s="338">
        <f t="shared" si="26"/>
        <v>0</v>
      </c>
      <c r="M192" s="338">
        <f t="shared" si="27"/>
        <v>0</v>
      </c>
      <c r="N192" s="338">
        <f t="shared" si="28"/>
        <v>0</v>
      </c>
      <c r="O192" s="338">
        <f t="shared" si="29"/>
        <v>0</v>
      </c>
      <c r="P192" s="338">
        <f t="shared" si="30"/>
        <v>0</v>
      </c>
      <c r="Q192" s="338">
        <f t="shared" si="31"/>
        <v>0</v>
      </c>
      <c r="R192" s="338">
        <f t="shared" si="32"/>
        <v>0</v>
      </c>
    </row>
    <row r="193" spans="1:18">
      <c r="A193" s="229">
        <v>4100</v>
      </c>
      <c r="B193" s="230" t="s">
        <v>117</v>
      </c>
      <c r="C193" s="975" t="str">
        <f t="shared" si="37"/>
        <v>41000</v>
      </c>
      <c r="D193" s="401"/>
      <c r="E193" s="980"/>
      <c r="F193" s="980"/>
      <c r="G193" s="401" t="str">
        <f t="shared" si="33"/>
        <v/>
      </c>
      <c r="H193" s="401">
        <f t="shared" si="34"/>
        <v>4100</v>
      </c>
      <c r="I193" s="401" t="str">
        <f t="shared" si="35"/>
        <v/>
      </c>
      <c r="J193" s="981" t="str">
        <f t="shared" si="36"/>
        <v>Transferencias internas y asignaciones al sector público</v>
      </c>
      <c r="K193" s="338">
        <f t="shared" si="25"/>
        <v>0</v>
      </c>
      <c r="L193" s="338">
        <f t="shared" si="26"/>
        <v>0</v>
      </c>
      <c r="M193" s="338">
        <f t="shared" si="27"/>
        <v>0</v>
      </c>
      <c r="N193" s="338">
        <f t="shared" si="28"/>
        <v>0</v>
      </c>
      <c r="O193" s="338">
        <f t="shared" si="29"/>
        <v>0</v>
      </c>
      <c r="P193" s="338">
        <f t="shared" si="30"/>
        <v>0</v>
      </c>
      <c r="Q193" s="338">
        <f t="shared" si="31"/>
        <v>0</v>
      </c>
      <c r="R193" s="338">
        <f t="shared" si="32"/>
        <v>0</v>
      </c>
    </row>
    <row r="194" spans="1:18" ht="12">
      <c r="A194" s="985">
        <v>4110</v>
      </c>
      <c r="B194" s="984" t="s">
        <v>2799</v>
      </c>
      <c r="C194" s="975" t="str">
        <f t="shared" si="37"/>
        <v>41100</v>
      </c>
      <c r="D194" s="401"/>
      <c r="E194" s="980"/>
      <c r="F194" s="980"/>
      <c r="G194" s="401" t="str">
        <f t="shared" si="33"/>
        <v/>
      </c>
      <c r="H194" s="401" t="str">
        <f t="shared" si="34"/>
        <v/>
      </c>
      <c r="I194" s="401">
        <f t="shared" si="35"/>
        <v>4110</v>
      </c>
      <c r="J194" s="981" t="str">
        <f t="shared" si="36"/>
        <v>Asignaciones presupuestarias al Poder Ejecutivo</v>
      </c>
      <c r="K194" s="338">
        <f t="shared" si="25"/>
        <v>0</v>
      </c>
      <c r="L194" s="338">
        <f t="shared" si="26"/>
        <v>0</v>
      </c>
      <c r="M194" s="338">
        <f t="shared" si="27"/>
        <v>0</v>
      </c>
      <c r="N194" s="338">
        <f t="shared" si="28"/>
        <v>0</v>
      </c>
      <c r="O194" s="338">
        <f t="shared" si="29"/>
        <v>0</v>
      </c>
      <c r="P194" s="338">
        <f t="shared" si="30"/>
        <v>0</v>
      </c>
      <c r="Q194" s="338">
        <f t="shared" si="31"/>
        <v>0</v>
      </c>
      <c r="R194" s="338">
        <f t="shared" si="32"/>
        <v>0</v>
      </c>
    </row>
    <row r="195" spans="1:18" ht="12">
      <c r="A195" s="985">
        <v>4120</v>
      </c>
      <c r="B195" s="984" t="s">
        <v>2800</v>
      </c>
      <c r="C195" s="975" t="str">
        <f t="shared" si="37"/>
        <v>41200</v>
      </c>
      <c r="D195" s="401"/>
      <c r="E195" s="980"/>
      <c r="F195" s="980"/>
      <c r="G195" s="401" t="str">
        <f t="shared" si="33"/>
        <v/>
      </c>
      <c r="H195" s="401" t="str">
        <f t="shared" si="34"/>
        <v/>
      </c>
      <c r="I195" s="401">
        <f t="shared" si="35"/>
        <v>4120</v>
      </c>
      <c r="J195" s="981" t="str">
        <f t="shared" si="36"/>
        <v>Asignaciones presupuestarias al Poder Legislativo</v>
      </c>
      <c r="K195" s="338">
        <f t="shared" si="25"/>
        <v>0</v>
      </c>
      <c r="L195" s="338">
        <f t="shared" si="26"/>
        <v>0</v>
      </c>
      <c r="M195" s="338">
        <f t="shared" si="27"/>
        <v>0</v>
      </c>
      <c r="N195" s="338">
        <f t="shared" si="28"/>
        <v>0</v>
      </c>
      <c r="O195" s="338">
        <f t="shared" si="29"/>
        <v>0</v>
      </c>
      <c r="P195" s="338">
        <f t="shared" si="30"/>
        <v>0</v>
      </c>
      <c r="Q195" s="338">
        <f t="shared" si="31"/>
        <v>0</v>
      </c>
      <c r="R195" s="338">
        <f t="shared" si="32"/>
        <v>0</v>
      </c>
    </row>
    <row r="196" spans="1:18" ht="12">
      <c r="A196" s="985">
        <v>4130</v>
      </c>
      <c r="B196" s="984" t="s">
        <v>2801</v>
      </c>
      <c r="C196" s="975" t="str">
        <f t="shared" si="37"/>
        <v>41300</v>
      </c>
      <c r="D196" s="401"/>
      <c r="E196" s="980"/>
      <c r="F196" s="980"/>
      <c r="G196" s="401" t="str">
        <f t="shared" si="33"/>
        <v/>
      </c>
      <c r="H196" s="401" t="str">
        <f t="shared" si="34"/>
        <v/>
      </c>
      <c r="I196" s="401">
        <f t="shared" si="35"/>
        <v>4130</v>
      </c>
      <c r="J196" s="981" t="str">
        <f t="shared" si="36"/>
        <v>Asignaciones presupuestarias al Poder Judicial</v>
      </c>
      <c r="K196" s="338">
        <f t="shared" si="25"/>
        <v>0</v>
      </c>
      <c r="L196" s="338">
        <f t="shared" si="26"/>
        <v>0</v>
      </c>
      <c r="M196" s="338">
        <f t="shared" si="27"/>
        <v>0</v>
      </c>
      <c r="N196" s="338">
        <f t="shared" si="28"/>
        <v>0</v>
      </c>
      <c r="O196" s="338">
        <f t="shared" si="29"/>
        <v>0</v>
      </c>
      <c r="P196" s="338">
        <f t="shared" si="30"/>
        <v>0</v>
      </c>
      <c r="Q196" s="338">
        <f t="shared" si="31"/>
        <v>0</v>
      </c>
      <c r="R196" s="338">
        <f t="shared" si="32"/>
        <v>0</v>
      </c>
    </row>
    <row r="197" spans="1:18" ht="12">
      <c r="A197" s="985">
        <v>4140</v>
      </c>
      <c r="B197" s="984" t="s">
        <v>2802</v>
      </c>
      <c r="C197" s="975" t="str">
        <f t="shared" si="37"/>
        <v>41400</v>
      </c>
      <c r="D197" s="401"/>
      <c r="E197" s="980"/>
      <c r="F197" s="980"/>
      <c r="G197" s="401" t="str">
        <f t="shared" si="33"/>
        <v/>
      </c>
      <c r="H197" s="401" t="str">
        <f t="shared" si="34"/>
        <v/>
      </c>
      <c r="I197" s="401">
        <f t="shared" si="35"/>
        <v>4140</v>
      </c>
      <c r="J197" s="981" t="str">
        <f t="shared" si="36"/>
        <v>Asignaciones presupuestarias a Órganos Autónomos</v>
      </c>
      <c r="K197" s="338">
        <f t="shared" ref="K197:K260" si="38">IF(MID(A197,2,1)="0",SUMIF(PE_COG,MID(A197,1,1)&amp;"*",PE_A),
IF(AND(MID(A197,2,1)&gt;"0",MID(A197,3,1)="0"),SUMIF(PE_COG,MID(A197,1,2)&amp;"*",PE_A),
IF(MID(A197,3,1)&gt;"0",SUMIF(PE_COG,MID(A197,1,3)&amp;"*",PE_A),"")))</f>
        <v>0</v>
      </c>
      <c r="L197" s="338">
        <f t="shared" ref="L197:L260" si="39">IF(MID(A197,2,1)="0",SUMIF(PE_COG,MID(A197,1,1)&amp;"*",PE_M),
IF(AND(MID(A197,2,1)&gt;"0",MID(A197,3,1)="0"),SUMIF(PE_COG,MID(A197,1,2)&amp;"*",PE_M),
IF(MID(A197,3,1)&gt;"0",SUMIF(PE_COG,MID(A197,1,3)&amp;"*",PE_M),"")))</f>
        <v>0</v>
      </c>
      <c r="M197" s="338">
        <f t="shared" ref="M197:M260" si="40">IF(MID(A197,2,1)="0",SUMIF(PE_COG,MID(A197,1,1)&amp;"*",PE_A),
IF(AND(MID(A197,2,1)&gt;"0",MID(A197,3,1)="0"),SUMIF(PE_COG,MID(A197,1,2)&amp;"*",PE_A),
IF(MID(A197,3,1)&gt;"0",SUMIF(PE_COG,MID(A197,1,3)&amp;"*",PE_A),"")))
+IF(MID(A197,2,1)="0",SUMIF(PE_COG,MID(A197,1,1)&amp;"*",PE_M),
IF(AND(MID(A197,2,1)&gt;"0",MID(A197,3,1)="0"),SUMIF(PE_COG,MID(A197,1,2)&amp;"*",PE_M),
IF(MID(A197,3,1)&gt;"0",SUMIF(PE_COG,MID(A197,1,3)&amp;"*",PE_M),"")))</f>
        <v>0</v>
      </c>
      <c r="N197" s="338">
        <f t="shared" ref="N197:N260" si="41">IF(MID(A197,2,1)="0",SUMIF(PE_COG,MID(A197,1,1)&amp;"*",PE_C),
IF(AND(MID(A197,2,1)&gt;"0",MID(A197,3,1)="0"),SUMIF(PE_COG,MID(A197,1,2)&amp;"*",PE_C),
IF(MID(A197,3,1)&gt;"0",SUMIF(PE_COG,MID(A197,1,3)&amp;"*",PE_C),"")))</f>
        <v>0</v>
      </c>
      <c r="O197" s="338">
        <f t="shared" ref="O197:O260" si="42">IF(MID(A197,2,1)="0",SUMIF(PE_COG,MID(A197,1,1)&amp;"*",PE_D),
IF(AND(MID(A197,2,1)&gt;"0",MID(A197,3,1)="0"),SUMIF(PE_COG,MID(A197,1,2)&amp;"*",PE_D),
IF(MID(A197,3,1)&gt;"0",SUMIF(PE_COG,MID(A197,1,3)&amp;"*",PE_D),"")))</f>
        <v>0</v>
      </c>
      <c r="P197" s="338">
        <f t="shared" ref="P197:P260" si="43">IF(MID(A197,2,1)="0",SUMIF(PE_COG,MID(A197,1,1)&amp;"*",PE_E),
IF(AND(MID(A197,2,1)&gt;"0",MID(A197,3,1)="0"),SUMIF(PE_COG,MID(A197,1,2)&amp;"*",PE_E),
IF(MID(A197,3,1)&gt;"0",SUMIF(PE_COG,MID(A197,1,3)&amp;"*",PE_E),"")))</f>
        <v>0</v>
      </c>
      <c r="Q197" s="338">
        <f t="shared" ref="Q197:Q260" si="44">IF(MID(A197,2,1)="0",SUMIF(PE_COG,MID(A197,1,1)&amp;"*",PE_P),
IF(AND(MID(A197,2,1)&gt;"0",MID(A197,3,1)="0"),SUMIF(PE_COG,MID(A197,1,2)&amp;"*",PE_P),
IF(MID(A197,3,1)&gt;"0",SUMIF(PE_COG,MID(A197,1,3)&amp;"*",PE_P),"")))</f>
        <v>0</v>
      </c>
      <c r="R197" s="338">
        <f t="shared" ref="R197:R260" si="45">IF(MID(A197,2,1)="0",SUMIF(PE_COG,MID(A197,1,1)&amp;"*",PE_A),
IF(AND(MID(A197,2,1)&gt;"0",MID(A197,3,1)="0"),SUMIF(PE_COG,MID(A197,1,2)&amp;"*",PE_A),
IF(MID(A197,3,1)&gt;"0",SUMIF(PE_COG,MID(A197,1,3)&amp;"*",PE_A),"")))
+IF(MID(A197,2,1)="0",SUMIF(PE_COG,MID(A197,1,1)&amp;"*",PE_M),
IF(AND(MID(A197,2,1)&gt;"0",MID(A197,3,1)="0"),SUMIF(PE_COG,MID(A197,1,2)&amp;"*",PE_M),
IF(MID(A197,3,1)&gt;"0",SUMIF(PE_COG,MID(A197,1,3)&amp;"*",PE_M),"")))
-IF(MID(A197,2,1)="0",SUMIF(PE_COG,MID(A197,1,1)&amp;"*",PE_D),
IF(AND(MID(A197,2,1)&gt;"0",MID(A197,3,1)="0"),SUMIF(PE_COG,MID(A197,1,2)&amp;"*",PE_D),
IF(MID(A197,3,1)&gt;"0",SUMIF(PE_COG,MID(A197,1,3)&amp;"*",PE_D),"")))</f>
        <v>0</v>
      </c>
    </row>
    <row r="198" spans="1:18" ht="12">
      <c r="A198" s="985">
        <v>4150</v>
      </c>
      <c r="B198" s="984" t="s">
        <v>2803</v>
      </c>
      <c r="C198" s="975" t="str">
        <f t="shared" si="37"/>
        <v>41500</v>
      </c>
      <c r="D198" s="401"/>
      <c r="E198" s="980"/>
      <c r="F198" s="980"/>
      <c r="G198" s="401" t="str">
        <f t="shared" ref="G198:G261" si="46">IF(MID(A198,2,1)="0",A198,"")</f>
        <v/>
      </c>
      <c r="H198" s="401" t="str">
        <f t="shared" ref="H198:H261" si="47">IF(AND(MID(A198,2,1)&gt;"0",MID(A198,3,1)="0"),A198,"")</f>
        <v/>
      </c>
      <c r="I198" s="401">
        <f t="shared" ref="I198:I261" si="48">IF(MID(A198,3,1)&gt;"0",A198,"")</f>
        <v>4150</v>
      </c>
      <c r="J198" s="981" t="str">
        <f t="shared" ref="J198:J261" si="49">+B198</f>
        <v>Transferencias internas otorgadas a entidades paraestatales no empresariales y no financieras</v>
      </c>
      <c r="K198" s="338">
        <f t="shared" si="38"/>
        <v>0</v>
      </c>
      <c r="L198" s="338">
        <f t="shared" si="39"/>
        <v>0</v>
      </c>
      <c r="M198" s="338">
        <f t="shared" si="40"/>
        <v>0</v>
      </c>
      <c r="N198" s="338">
        <f t="shared" si="41"/>
        <v>0</v>
      </c>
      <c r="O198" s="338">
        <f t="shared" si="42"/>
        <v>0</v>
      </c>
      <c r="P198" s="338">
        <f t="shared" si="43"/>
        <v>0</v>
      </c>
      <c r="Q198" s="338">
        <f t="shared" si="44"/>
        <v>0</v>
      </c>
      <c r="R198" s="338">
        <f t="shared" si="45"/>
        <v>0</v>
      </c>
    </row>
    <row r="199" spans="1:18" ht="12">
      <c r="A199" s="985">
        <v>4160</v>
      </c>
      <c r="B199" s="984" t="s">
        <v>2804</v>
      </c>
      <c r="C199" s="975" t="str">
        <f t="shared" si="37"/>
        <v>41600</v>
      </c>
      <c r="D199" s="401"/>
      <c r="E199" s="980"/>
      <c r="F199" s="980"/>
      <c r="G199" s="401" t="str">
        <f t="shared" si="46"/>
        <v/>
      </c>
      <c r="H199" s="401" t="str">
        <f t="shared" si="47"/>
        <v/>
      </c>
      <c r="I199" s="401">
        <f t="shared" si="48"/>
        <v>4160</v>
      </c>
      <c r="J199" s="981" t="str">
        <f t="shared" si="49"/>
        <v>Transferencias internas otorgadas a entidades paraestatales empresariales y no financieras</v>
      </c>
      <c r="K199" s="338">
        <f t="shared" si="38"/>
        <v>0</v>
      </c>
      <c r="L199" s="338">
        <f t="shared" si="39"/>
        <v>0</v>
      </c>
      <c r="M199" s="338">
        <f t="shared" si="40"/>
        <v>0</v>
      </c>
      <c r="N199" s="338">
        <f t="shared" si="41"/>
        <v>0</v>
      </c>
      <c r="O199" s="338">
        <f t="shared" si="42"/>
        <v>0</v>
      </c>
      <c r="P199" s="338">
        <f t="shared" si="43"/>
        <v>0</v>
      </c>
      <c r="Q199" s="338">
        <f t="shared" si="44"/>
        <v>0</v>
      </c>
      <c r="R199" s="338">
        <f t="shared" si="45"/>
        <v>0</v>
      </c>
    </row>
    <row r="200" spans="1:18" ht="12">
      <c r="A200" s="985">
        <v>4170</v>
      </c>
      <c r="B200" s="984" t="s">
        <v>2805</v>
      </c>
      <c r="C200" s="975" t="str">
        <f t="shared" si="37"/>
        <v>41700</v>
      </c>
      <c r="D200" s="401"/>
      <c r="E200" s="980"/>
      <c r="F200" s="980"/>
      <c r="G200" s="401" t="str">
        <f t="shared" si="46"/>
        <v/>
      </c>
      <c r="H200" s="401" t="str">
        <f t="shared" si="47"/>
        <v/>
      </c>
      <c r="I200" s="401">
        <f t="shared" si="48"/>
        <v>4170</v>
      </c>
      <c r="J200" s="981" t="str">
        <f t="shared" si="49"/>
        <v>Transferencias internas otorgadas a fideicomisos públicos empresariales y no financieros</v>
      </c>
      <c r="K200" s="338">
        <f t="shared" si="38"/>
        <v>0</v>
      </c>
      <c r="L200" s="338">
        <f t="shared" si="39"/>
        <v>0</v>
      </c>
      <c r="M200" s="338">
        <f t="shared" si="40"/>
        <v>0</v>
      </c>
      <c r="N200" s="338">
        <f t="shared" si="41"/>
        <v>0</v>
      </c>
      <c r="O200" s="338">
        <f t="shared" si="42"/>
        <v>0</v>
      </c>
      <c r="P200" s="338">
        <f t="shared" si="43"/>
        <v>0</v>
      </c>
      <c r="Q200" s="338">
        <f t="shared" si="44"/>
        <v>0</v>
      </c>
      <c r="R200" s="338">
        <f t="shared" si="45"/>
        <v>0</v>
      </c>
    </row>
    <row r="201" spans="1:18" ht="12">
      <c r="A201" s="985">
        <v>4180</v>
      </c>
      <c r="B201" s="984" t="s">
        <v>2806</v>
      </c>
      <c r="C201" s="975" t="str">
        <f t="shared" si="37"/>
        <v>41800</v>
      </c>
      <c r="D201" s="401"/>
      <c r="E201" s="980"/>
      <c r="F201" s="980"/>
      <c r="G201" s="401" t="str">
        <f t="shared" si="46"/>
        <v/>
      </c>
      <c r="H201" s="401" t="str">
        <f t="shared" si="47"/>
        <v/>
      </c>
      <c r="I201" s="401">
        <f t="shared" si="48"/>
        <v>4180</v>
      </c>
      <c r="J201" s="981" t="str">
        <f t="shared" si="49"/>
        <v>Transferencias internas otorgadas a instituciones paraestatales públicas financieras</v>
      </c>
      <c r="K201" s="338">
        <f t="shared" si="38"/>
        <v>0</v>
      </c>
      <c r="L201" s="338">
        <f t="shared" si="39"/>
        <v>0</v>
      </c>
      <c r="M201" s="338">
        <f t="shared" si="40"/>
        <v>0</v>
      </c>
      <c r="N201" s="338">
        <f t="shared" si="41"/>
        <v>0</v>
      </c>
      <c r="O201" s="338">
        <f t="shared" si="42"/>
        <v>0</v>
      </c>
      <c r="P201" s="338">
        <f t="shared" si="43"/>
        <v>0</v>
      </c>
      <c r="Q201" s="338">
        <f t="shared" si="44"/>
        <v>0</v>
      </c>
      <c r="R201" s="338">
        <f t="shared" si="45"/>
        <v>0</v>
      </c>
    </row>
    <row r="202" spans="1:18" ht="12">
      <c r="A202" s="985">
        <v>4190</v>
      </c>
      <c r="B202" s="984" t="s">
        <v>2807</v>
      </c>
      <c r="C202" s="975" t="str">
        <f t="shared" si="37"/>
        <v>41900</v>
      </c>
      <c r="D202" s="401"/>
      <c r="E202" s="980"/>
      <c r="F202" s="980"/>
      <c r="G202" s="401" t="str">
        <f t="shared" si="46"/>
        <v/>
      </c>
      <c r="H202" s="401" t="str">
        <f t="shared" si="47"/>
        <v/>
      </c>
      <c r="I202" s="401">
        <f t="shared" si="48"/>
        <v>4190</v>
      </c>
      <c r="J202" s="981" t="str">
        <f t="shared" si="49"/>
        <v>Transferencias internas otorgadas a fideicomisos públicos financieros</v>
      </c>
      <c r="K202" s="338">
        <f t="shared" si="38"/>
        <v>0</v>
      </c>
      <c r="L202" s="338">
        <f t="shared" si="39"/>
        <v>0</v>
      </c>
      <c r="M202" s="338">
        <f t="shared" si="40"/>
        <v>0</v>
      </c>
      <c r="N202" s="338">
        <f t="shared" si="41"/>
        <v>0</v>
      </c>
      <c r="O202" s="338">
        <f t="shared" si="42"/>
        <v>0</v>
      </c>
      <c r="P202" s="338">
        <f t="shared" si="43"/>
        <v>0</v>
      </c>
      <c r="Q202" s="338">
        <f t="shared" si="44"/>
        <v>0</v>
      </c>
      <c r="R202" s="338">
        <f t="shared" si="45"/>
        <v>0</v>
      </c>
    </row>
    <row r="203" spans="1:18">
      <c r="A203" s="229">
        <v>4200</v>
      </c>
      <c r="B203" s="230" t="s">
        <v>118</v>
      </c>
      <c r="C203" s="975" t="str">
        <f t="shared" si="37"/>
        <v>42000</v>
      </c>
      <c r="D203" s="401"/>
      <c r="E203" s="980"/>
      <c r="F203" s="980"/>
      <c r="G203" s="401" t="str">
        <f t="shared" si="46"/>
        <v/>
      </c>
      <c r="H203" s="401">
        <f t="shared" si="47"/>
        <v>4200</v>
      </c>
      <c r="I203" s="401" t="str">
        <f t="shared" si="48"/>
        <v/>
      </c>
      <c r="J203" s="981" t="str">
        <f t="shared" si="49"/>
        <v>Transferencias al resto del sector público</v>
      </c>
      <c r="K203" s="338">
        <f t="shared" si="38"/>
        <v>0</v>
      </c>
      <c r="L203" s="338">
        <f t="shared" si="39"/>
        <v>0</v>
      </c>
      <c r="M203" s="338">
        <f t="shared" si="40"/>
        <v>0</v>
      </c>
      <c r="N203" s="338">
        <f t="shared" si="41"/>
        <v>0</v>
      </c>
      <c r="O203" s="338">
        <f t="shared" si="42"/>
        <v>0</v>
      </c>
      <c r="P203" s="338">
        <f t="shared" si="43"/>
        <v>0</v>
      </c>
      <c r="Q203" s="338">
        <f t="shared" si="44"/>
        <v>0</v>
      </c>
      <c r="R203" s="338">
        <f t="shared" si="45"/>
        <v>0</v>
      </c>
    </row>
    <row r="204" spans="1:18" ht="12">
      <c r="A204" s="985">
        <v>4210</v>
      </c>
      <c r="B204" s="984" t="s">
        <v>2808</v>
      </c>
      <c r="C204" s="975" t="str">
        <f t="shared" si="37"/>
        <v>42100</v>
      </c>
      <c r="D204" s="401"/>
      <c r="E204" s="980"/>
      <c r="F204" s="980"/>
      <c r="G204" s="401" t="str">
        <f t="shared" si="46"/>
        <v/>
      </c>
      <c r="H204" s="401" t="str">
        <f t="shared" si="47"/>
        <v/>
      </c>
      <c r="I204" s="401">
        <f t="shared" si="48"/>
        <v>4210</v>
      </c>
      <c r="J204" s="981" t="str">
        <f t="shared" si="49"/>
        <v>Transferencias otorgadas a entidades paraestatales no empresariales y no financieras</v>
      </c>
      <c r="K204" s="338">
        <f t="shared" si="38"/>
        <v>0</v>
      </c>
      <c r="L204" s="338">
        <f t="shared" si="39"/>
        <v>0</v>
      </c>
      <c r="M204" s="338">
        <f t="shared" si="40"/>
        <v>0</v>
      </c>
      <c r="N204" s="338">
        <f t="shared" si="41"/>
        <v>0</v>
      </c>
      <c r="O204" s="338">
        <f t="shared" si="42"/>
        <v>0</v>
      </c>
      <c r="P204" s="338">
        <f t="shared" si="43"/>
        <v>0</v>
      </c>
      <c r="Q204" s="338">
        <f t="shared" si="44"/>
        <v>0</v>
      </c>
      <c r="R204" s="338">
        <f t="shared" si="45"/>
        <v>0</v>
      </c>
    </row>
    <row r="205" spans="1:18" ht="12">
      <c r="A205" s="985">
        <v>4220</v>
      </c>
      <c r="B205" s="984" t="s">
        <v>2809</v>
      </c>
      <c r="C205" s="975" t="str">
        <f t="shared" si="37"/>
        <v>42200</v>
      </c>
      <c r="D205" s="401"/>
      <c r="E205" s="980"/>
      <c r="F205" s="980"/>
      <c r="G205" s="401" t="str">
        <f t="shared" si="46"/>
        <v/>
      </c>
      <c r="H205" s="401" t="str">
        <f t="shared" si="47"/>
        <v/>
      </c>
      <c r="I205" s="401">
        <f t="shared" si="48"/>
        <v>4220</v>
      </c>
      <c r="J205" s="981" t="str">
        <f t="shared" si="49"/>
        <v>Transferencias otorgadas para entidades paraestatales empresariales y no financieras</v>
      </c>
      <c r="K205" s="338">
        <f t="shared" si="38"/>
        <v>0</v>
      </c>
      <c r="L205" s="338">
        <f t="shared" si="39"/>
        <v>0</v>
      </c>
      <c r="M205" s="338">
        <f t="shared" si="40"/>
        <v>0</v>
      </c>
      <c r="N205" s="338">
        <f t="shared" si="41"/>
        <v>0</v>
      </c>
      <c r="O205" s="338">
        <f t="shared" si="42"/>
        <v>0</v>
      </c>
      <c r="P205" s="338">
        <f t="shared" si="43"/>
        <v>0</v>
      </c>
      <c r="Q205" s="338">
        <f t="shared" si="44"/>
        <v>0</v>
      </c>
      <c r="R205" s="338">
        <f t="shared" si="45"/>
        <v>0</v>
      </c>
    </row>
    <row r="206" spans="1:18" ht="12">
      <c r="A206" s="985">
        <v>4230</v>
      </c>
      <c r="B206" s="984" t="s">
        <v>2810</v>
      </c>
      <c r="C206" s="975" t="str">
        <f t="shared" ref="C206:C269" si="50">+A206&amp;0</f>
        <v>42300</v>
      </c>
      <c r="D206" s="401"/>
      <c r="E206" s="980"/>
      <c r="F206" s="980"/>
      <c r="G206" s="401" t="str">
        <f t="shared" si="46"/>
        <v/>
      </c>
      <c r="H206" s="401" t="str">
        <f t="shared" si="47"/>
        <v/>
      </c>
      <c r="I206" s="401">
        <f t="shared" si="48"/>
        <v>4230</v>
      </c>
      <c r="J206" s="981" t="str">
        <f t="shared" si="49"/>
        <v>Transferencias otorgadas para instituciones paraestatales públicas financieras</v>
      </c>
      <c r="K206" s="338">
        <f t="shared" si="38"/>
        <v>0</v>
      </c>
      <c r="L206" s="338">
        <f t="shared" si="39"/>
        <v>0</v>
      </c>
      <c r="M206" s="338">
        <f t="shared" si="40"/>
        <v>0</v>
      </c>
      <c r="N206" s="338">
        <f t="shared" si="41"/>
        <v>0</v>
      </c>
      <c r="O206" s="338">
        <f t="shared" si="42"/>
        <v>0</v>
      </c>
      <c r="P206" s="338">
        <f t="shared" si="43"/>
        <v>0</v>
      </c>
      <c r="Q206" s="338">
        <f t="shared" si="44"/>
        <v>0</v>
      </c>
      <c r="R206" s="338">
        <f t="shared" si="45"/>
        <v>0</v>
      </c>
    </row>
    <row r="207" spans="1:18" ht="12">
      <c r="A207" s="985">
        <v>4240</v>
      </c>
      <c r="B207" s="984" t="s">
        <v>2811</v>
      </c>
      <c r="C207" s="975" t="str">
        <f t="shared" si="50"/>
        <v>42400</v>
      </c>
      <c r="D207" s="401"/>
      <c r="E207" s="980"/>
      <c r="F207" s="980"/>
      <c r="G207" s="401" t="str">
        <f t="shared" si="46"/>
        <v/>
      </c>
      <c r="H207" s="401" t="str">
        <f t="shared" si="47"/>
        <v/>
      </c>
      <c r="I207" s="401">
        <f t="shared" si="48"/>
        <v>4240</v>
      </c>
      <c r="J207" s="981" t="str">
        <f t="shared" si="49"/>
        <v>Transferencias otorgadas a entidades federativas y municipios</v>
      </c>
      <c r="K207" s="338">
        <f t="shared" si="38"/>
        <v>0</v>
      </c>
      <c r="L207" s="338">
        <f t="shared" si="39"/>
        <v>0</v>
      </c>
      <c r="M207" s="338">
        <f t="shared" si="40"/>
        <v>0</v>
      </c>
      <c r="N207" s="338">
        <f t="shared" si="41"/>
        <v>0</v>
      </c>
      <c r="O207" s="338">
        <f t="shared" si="42"/>
        <v>0</v>
      </c>
      <c r="P207" s="338">
        <f t="shared" si="43"/>
        <v>0</v>
      </c>
      <c r="Q207" s="338">
        <f t="shared" si="44"/>
        <v>0</v>
      </c>
      <c r="R207" s="338">
        <f t="shared" si="45"/>
        <v>0</v>
      </c>
    </row>
    <row r="208" spans="1:18" ht="12">
      <c r="A208" s="985">
        <v>4250</v>
      </c>
      <c r="B208" s="984" t="s">
        <v>2812</v>
      </c>
      <c r="C208" s="975" t="str">
        <f t="shared" si="50"/>
        <v>42500</v>
      </c>
      <c r="D208" s="401"/>
      <c r="E208" s="980"/>
      <c r="F208" s="980"/>
      <c r="G208" s="401" t="str">
        <f t="shared" si="46"/>
        <v/>
      </c>
      <c r="H208" s="401" t="str">
        <f t="shared" si="47"/>
        <v/>
      </c>
      <c r="I208" s="401">
        <f t="shared" si="48"/>
        <v>4250</v>
      </c>
      <c r="J208" s="981" t="str">
        <f t="shared" si="49"/>
        <v>Transferencias a fideicomisos de entidades federativas y municipios</v>
      </c>
      <c r="K208" s="338">
        <f t="shared" si="38"/>
        <v>0</v>
      </c>
      <c r="L208" s="338">
        <f t="shared" si="39"/>
        <v>0</v>
      </c>
      <c r="M208" s="338">
        <f t="shared" si="40"/>
        <v>0</v>
      </c>
      <c r="N208" s="338">
        <f t="shared" si="41"/>
        <v>0</v>
      </c>
      <c r="O208" s="338">
        <f t="shared" si="42"/>
        <v>0</v>
      </c>
      <c r="P208" s="338">
        <f t="shared" si="43"/>
        <v>0</v>
      </c>
      <c r="Q208" s="338">
        <f t="shared" si="44"/>
        <v>0</v>
      </c>
      <c r="R208" s="338">
        <f t="shared" si="45"/>
        <v>0</v>
      </c>
    </row>
    <row r="209" spans="1:18">
      <c r="A209" s="229">
        <v>4300</v>
      </c>
      <c r="B209" s="230" t="s">
        <v>119</v>
      </c>
      <c r="C209" s="975" t="str">
        <f t="shared" si="50"/>
        <v>43000</v>
      </c>
      <c r="D209" s="401"/>
      <c r="E209" s="980"/>
      <c r="F209" s="980"/>
      <c r="G209" s="401" t="str">
        <f t="shared" si="46"/>
        <v/>
      </c>
      <c r="H209" s="401">
        <f t="shared" si="47"/>
        <v>4300</v>
      </c>
      <c r="I209" s="401" t="str">
        <f t="shared" si="48"/>
        <v/>
      </c>
      <c r="J209" s="981" t="str">
        <f t="shared" si="49"/>
        <v>Subsidios y subvenciones</v>
      </c>
      <c r="K209" s="338">
        <f t="shared" si="38"/>
        <v>0</v>
      </c>
      <c r="L209" s="338">
        <f t="shared" si="39"/>
        <v>0</v>
      </c>
      <c r="M209" s="338">
        <f t="shared" si="40"/>
        <v>0</v>
      </c>
      <c r="N209" s="338">
        <f t="shared" si="41"/>
        <v>0</v>
      </c>
      <c r="O209" s="338">
        <f t="shared" si="42"/>
        <v>0</v>
      </c>
      <c r="P209" s="338">
        <f t="shared" si="43"/>
        <v>0</v>
      </c>
      <c r="Q209" s="338">
        <f t="shared" si="44"/>
        <v>0</v>
      </c>
      <c r="R209" s="338">
        <f t="shared" si="45"/>
        <v>0</v>
      </c>
    </row>
    <row r="210" spans="1:18" ht="12">
      <c r="A210" s="985">
        <v>4310</v>
      </c>
      <c r="B210" s="984" t="s">
        <v>2813</v>
      </c>
      <c r="C210" s="975" t="str">
        <f t="shared" si="50"/>
        <v>43100</v>
      </c>
      <c r="D210" s="401"/>
      <c r="E210" s="980"/>
      <c r="F210" s="980"/>
      <c r="G210" s="401" t="str">
        <f t="shared" si="46"/>
        <v/>
      </c>
      <c r="H210" s="401" t="str">
        <f t="shared" si="47"/>
        <v/>
      </c>
      <c r="I210" s="401">
        <f t="shared" si="48"/>
        <v>4310</v>
      </c>
      <c r="J210" s="981" t="str">
        <f t="shared" si="49"/>
        <v>Subsidios a la producción</v>
      </c>
      <c r="K210" s="338">
        <f t="shared" si="38"/>
        <v>0</v>
      </c>
      <c r="L210" s="338">
        <f t="shared" si="39"/>
        <v>0</v>
      </c>
      <c r="M210" s="338">
        <f t="shared" si="40"/>
        <v>0</v>
      </c>
      <c r="N210" s="338">
        <f t="shared" si="41"/>
        <v>0</v>
      </c>
      <c r="O210" s="338">
        <f t="shared" si="42"/>
        <v>0</v>
      </c>
      <c r="P210" s="338">
        <f t="shared" si="43"/>
        <v>0</v>
      </c>
      <c r="Q210" s="338">
        <f t="shared" si="44"/>
        <v>0</v>
      </c>
      <c r="R210" s="338">
        <f t="shared" si="45"/>
        <v>0</v>
      </c>
    </row>
    <row r="211" spans="1:18" ht="12">
      <c r="A211" s="985">
        <v>4320</v>
      </c>
      <c r="B211" s="984" t="s">
        <v>2814</v>
      </c>
      <c r="C211" s="975" t="str">
        <f t="shared" si="50"/>
        <v>43200</v>
      </c>
      <c r="D211" s="401"/>
      <c r="E211" s="980"/>
      <c r="F211" s="980"/>
      <c r="G211" s="401" t="str">
        <f t="shared" si="46"/>
        <v/>
      </c>
      <c r="H211" s="401" t="str">
        <f t="shared" si="47"/>
        <v/>
      </c>
      <c r="I211" s="401">
        <f t="shared" si="48"/>
        <v>4320</v>
      </c>
      <c r="J211" s="981" t="str">
        <f t="shared" si="49"/>
        <v>Subsidios a la distribución</v>
      </c>
      <c r="K211" s="338">
        <f t="shared" si="38"/>
        <v>0</v>
      </c>
      <c r="L211" s="338">
        <f t="shared" si="39"/>
        <v>0</v>
      </c>
      <c r="M211" s="338">
        <f t="shared" si="40"/>
        <v>0</v>
      </c>
      <c r="N211" s="338">
        <f t="shared" si="41"/>
        <v>0</v>
      </c>
      <c r="O211" s="338">
        <f t="shared" si="42"/>
        <v>0</v>
      </c>
      <c r="P211" s="338">
        <f t="shared" si="43"/>
        <v>0</v>
      </c>
      <c r="Q211" s="338">
        <f t="shared" si="44"/>
        <v>0</v>
      </c>
      <c r="R211" s="338">
        <f t="shared" si="45"/>
        <v>0</v>
      </c>
    </row>
    <row r="212" spans="1:18" ht="12">
      <c r="A212" s="985">
        <v>4330</v>
      </c>
      <c r="B212" s="984" t="s">
        <v>2815</v>
      </c>
      <c r="C212" s="975" t="str">
        <f t="shared" si="50"/>
        <v>43300</v>
      </c>
      <c r="D212" s="401"/>
      <c r="E212" s="980"/>
      <c r="F212" s="980"/>
      <c r="G212" s="401" t="str">
        <f t="shared" si="46"/>
        <v/>
      </c>
      <c r="H212" s="401" t="str">
        <f t="shared" si="47"/>
        <v/>
      </c>
      <c r="I212" s="401">
        <f t="shared" si="48"/>
        <v>4330</v>
      </c>
      <c r="J212" s="981" t="str">
        <f t="shared" si="49"/>
        <v>Subsidios a la inversión</v>
      </c>
      <c r="K212" s="338">
        <f t="shared" si="38"/>
        <v>0</v>
      </c>
      <c r="L212" s="338">
        <f t="shared" si="39"/>
        <v>0</v>
      </c>
      <c r="M212" s="338">
        <f t="shared" si="40"/>
        <v>0</v>
      </c>
      <c r="N212" s="338">
        <f t="shared" si="41"/>
        <v>0</v>
      </c>
      <c r="O212" s="338">
        <f t="shared" si="42"/>
        <v>0</v>
      </c>
      <c r="P212" s="338">
        <f t="shared" si="43"/>
        <v>0</v>
      </c>
      <c r="Q212" s="338">
        <f t="shared" si="44"/>
        <v>0</v>
      </c>
      <c r="R212" s="338">
        <f t="shared" si="45"/>
        <v>0</v>
      </c>
    </row>
    <row r="213" spans="1:18" ht="12">
      <c r="A213" s="985">
        <v>4340</v>
      </c>
      <c r="B213" s="984" t="s">
        <v>2816</v>
      </c>
      <c r="C213" s="975" t="str">
        <f t="shared" si="50"/>
        <v>43400</v>
      </c>
      <c r="D213" s="401"/>
      <c r="E213" s="980"/>
      <c r="F213" s="980"/>
      <c r="G213" s="401" t="str">
        <f t="shared" si="46"/>
        <v/>
      </c>
      <c r="H213" s="401" t="str">
        <f t="shared" si="47"/>
        <v/>
      </c>
      <c r="I213" s="401">
        <f t="shared" si="48"/>
        <v>4340</v>
      </c>
      <c r="J213" s="981" t="str">
        <f t="shared" si="49"/>
        <v>Subsidios a la prestación de servicios públicos</v>
      </c>
      <c r="K213" s="338">
        <f t="shared" si="38"/>
        <v>0</v>
      </c>
      <c r="L213" s="338">
        <f t="shared" si="39"/>
        <v>0</v>
      </c>
      <c r="M213" s="338">
        <f t="shared" si="40"/>
        <v>0</v>
      </c>
      <c r="N213" s="338">
        <f t="shared" si="41"/>
        <v>0</v>
      </c>
      <c r="O213" s="338">
        <f t="shared" si="42"/>
        <v>0</v>
      </c>
      <c r="P213" s="338">
        <f t="shared" si="43"/>
        <v>0</v>
      </c>
      <c r="Q213" s="338">
        <f t="shared" si="44"/>
        <v>0</v>
      </c>
      <c r="R213" s="338">
        <f t="shared" si="45"/>
        <v>0</v>
      </c>
    </row>
    <row r="214" spans="1:18" ht="12">
      <c r="A214" s="985">
        <v>4350</v>
      </c>
      <c r="B214" s="984" t="s">
        <v>2817</v>
      </c>
      <c r="C214" s="975" t="str">
        <f t="shared" si="50"/>
        <v>43500</v>
      </c>
      <c r="D214" s="401"/>
      <c r="E214" s="980"/>
      <c r="F214" s="980"/>
      <c r="G214" s="401" t="str">
        <f t="shared" si="46"/>
        <v/>
      </c>
      <c r="H214" s="401" t="str">
        <f t="shared" si="47"/>
        <v/>
      </c>
      <c r="I214" s="401">
        <f t="shared" si="48"/>
        <v>4350</v>
      </c>
      <c r="J214" s="981" t="str">
        <f t="shared" si="49"/>
        <v>Subsidios para cubrir diferenciales de tasas de interés</v>
      </c>
      <c r="K214" s="338">
        <f t="shared" si="38"/>
        <v>0</v>
      </c>
      <c r="L214" s="338">
        <f t="shared" si="39"/>
        <v>0</v>
      </c>
      <c r="M214" s="338">
        <f t="shared" si="40"/>
        <v>0</v>
      </c>
      <c r="N214" s="338">
        <f t="shared" si="41"/>
        <v>0</v>
      </c>
      <c r="O214" s="338">
        <f t="shared" si="42"/>
        <v>0</v>
      </c>
      <c r="P214" s="338">
        <f t="shared" si="43"/>
        <v>0</v>
      </c>
      <c r="Q214" s="338">
        <f t="shared" si="44"/>
        <v>0</v>
      </c>
      <c r="R214" s="338">
        <f t="shared" si="45"/>
        <v>0</v>
      </c>
    </row>
    <row r="215" spans="1:18" ht="12">
      <c r="A215" s="985">
        <v>4360</v>
      </c>
      <c r="B215" s="984" t="s">
        <v>2818</v>
      </c>
      <c r="C215" s="975" t="str">
        <f t="shared" si="50"/>
        <v>43600</v>
      </c>
      <c r="D215" s="401"/>
      <c r="E215" s="980"/>
      <c r="F215" s="980"/>
      <c r="G215" s="401" t="str">
        <f t="shared" si="46"/>
        <v/>
      </c>
      <c r="H215" s="401" t="str">
        <f t="shared" si="47"/>
        <v/>
      </c>
      <c r="I215" s="401">
        <f t="shared" si="48"/>
        <v>4360</v>
      </c>
      <c r="J215" s="981" t="str">
        <f t="shared" si="49"/>
        <v>Subsidios a la vivienda</v>
      </c>
      <c r="K215" s="338">
        <f t="shared" si="38"/>
        <v>0</v>
      </c>
      <c r="L215" s="338">
        <f t="shared" si="39"/>
        <v>0</v>
      </c>
      <c r="M215" s="338">
        <f t="shared" si="40"/>
        <v>0</v>
      </c>
      <c r="N215" s="338">
        <f t="shared" si="41"/>
        <v>0</v>
      </c>
      <c r="O215" s="338">
        <f t="shared" si="42"/>
        <v>0</v>
      </c>
      <c r="P215" s="338">
        <f t="shared" si="43"/>
        <v>0</v>
      </c>
      <c r="Q215" s="338">
        <f t="shared" si="44"/>
        <v>0</v>
      </c>
      <c r="R215" s="338">
        <f t="shared" si="45"/>
        <v>0</v>
      </c>
    </row>
    <row r="216" spans="1:18" ht="12">
      <c r="A216" s="985">
        <v>4370</v>
      </c>
      <c r="B216" s="984" t="s">
        <v>2819</v>
      </c>
      <c r="C216" s="975" t="str">
        <f t="shared" si="50"/>
        <v>43700</v>
      </c>
      <c r="D216" s="401"/>
      <c r="E216" s="980"/>
      <c r="F216" s="980"/>
      <c r="G216" s="401" t="str">
        <f t="shared" si="46"/>
        <v/>
      </c>
      <c r="H216" s="401" t="str">
        <f t="shared" si="47"/>
        <v/>
      </c>
      <c r="I216" s="401">
        <f t="shared" si="48"/>
        <v>4370</v>
      </c>
      <c r="J216" s="981" t="str">
        <f t="shared" si="49"/>
        <v>Subvenciones al consumo</v>
      </c>
      <c r="K216" s="338">
        <f t="shared" si="38"/>
        <v>0</v>
      </c>
      <c r="L216" s="338">
        <f t="shared" si="39"/>
        <v>0</v>
      </c>
      <c r="M216" s="338">
        <f t="shared" si="40"/>
        <v>0</v>
      </c>
      <c r="N216" s="338">
        <f t="shared" si="41"/>
        <v>0</v>
      </c>
      <c r="O216" s="338">
        <f t="shared" si="42"/>
        <v>0</v>
      </c>
      <c r="P216" s="338">
        <f t="shared" si="43"/>
        <v>0</v>
      </c>
      <c r="Q216" s="338">
        <f t="shared" si="44"/>
        <v>0</v>
      </c>
      <c r="R216" s="338">
        <f t="shared" si="45"/>
        <v>0</v>
      </c>
    </row>
    <row r="217" spans="1:18" ht="12">
      <c r="A217" s="985">
        <v>4380</v>
      </c>
      <c r="B217" s="984" t="s">
        <v>2820</v>
      </c>
      <c r="C217" s="975" t="str">
        <f t="shared" si="50"/>
        <v>43800</v>
      </c>
      <c r="D217" s="401"/>
      <c r="E217" s="980"/>
      <c r="F217" s="980"/>
      <c r="G217" s="401" t="str">
        <f t="shared" si="46"/>
        <v/>
      </c>
      <c r="H217" s="401" t="str">
        <f t="shared" si="47"/>
        <v/>
      </c>
      <c r="I217" s="401">
        <f t="shared" si="48"/>
        <v>4380</v>
      </c>
      <c r="J217" s="981" t="str">
        <f t="shared" si="49"/>
        <v>Subsidios a entidades federativas y municipios</v>
      </c>
      <c r="K217" s="338">
        <f t="shared" si="38"/>
        <v>0</v>
      </c>
      <c r="L217" s="338">
        <f t="shared" si="39"/>
        <v>0</v>
      </c>
      <c r="M217" s="338">
        <f t="shared" si="40"/>
        <v>0</v>
      </c>
      <c r="N217" s="338">
        <f t="shared" si="41"/>
        <v>0</v>
      </c>
      <c r="O217" s="338">
        <f t="shared" si="42"/>
        <v>0</v>
      </c>
      <c r="P217" s="338">
        <f t="shared" si="43"/>
        <v>0</v>
      </c>
      <c r="Q217" s="338">
        <f t="shared" si="44"/>
        <v>0</v>
      </c>
      <c r="R217" s="338">
        <f t="shared" si="45"/>
        <v>0</v>
      </c>
    </row>
    <row r="218" spans="1:18" ht="12">
      <c r="A218" s="985">
        <v>4390</v>
      </c>
      <c r="B218" s="984" t="s">
        <v>2821</v>
      </c>
      <c r="C218" s="975" t="str">
        <f t="shared" si="50"/>
        <v>43900</v>
      </c>
      <c r="D218" s="401"/>
      <c r="E218" s="980"/>
      <c r="F218" s="980"/>
      <c r="G218" s="401" t="str">
        <f t="shared" si="46"/>
        <v/>
      </c>
      <c r="H218" s="401" t="str">
        <f t="shared" si="47"/>
        <v/>
      </c>
      <c r="I218" s="401">
        <f t="shared" si="48"/>
        <v>4390</v>
      </c>
      <c r="J218" s="981" t="str">
        <f t="shared" si="49"/>
        <v>Otros subsidios</v>
      </c>
      <c r="K218" s="338">
        <f t="shared" si="38"/>
        <v>0</v>
      </c>
      <c r="L218" s="338">
        <f t="shared" si="39"/>
        <v>0</v>
      </c>
      <c r="M218" s="338">
        <f t="shared" si="40"/>
        <v>0</v>
      </c>
      <c r="N218" s="338">
        <f t="shared" si="41"/>
        <v>0</v>
      </c>
      <c r="O218" s="338">
        <f t="shared" si="42"/>
        <v>0</v>
      </c>
      <c r="P218" s="338">
        <f t="shared" si="43"/>
        <v>0</v>
      </c>
      <c r="Q218" s="338">
        <f t="shared" si="44"/>
        <v>0</v>
      </c>
      <c r="R218" s="338">
        <f t="shared" si="45"/>
        <v>0</v>
      </c>
    </row>
    <row r="219" spans="1:18">
      <c r="A219" s="229">
        <v>4400</v>
      </c>
      <c r="B219" s="230" t="s">
        <v>120</v>
      </c>
      <c r="C219" s="975" t="str">
        <f t="shared" si="50"/>
        <v>44000</v>
      </c>
      <c r="D219" s="401"/>
      <c r="E219" s="980"/>
      <c r="F219" s="980"/>
      <c r="G219" s="401" t="str">
        <f t="shared" si="46"/>
        <v/>
      </c>
      <c r="H219" s="401">
        <f t="shared" si="47"/>
        <v>4400</v>
      </c>
      <c r="I219" s="401" t="str">
        <f t="shared" si="48"/>
        <v/>
      </c>
      <c r="J219" s="981" t="str">
        <f t="shared" si="49"/>
        <v>Ayudas sociales</v>
      </c>
      <c r="K219" s="338">
        <f t="shared" si="38"/>
        <v>0</v>
      </c>
      <c r="L219" s="338">
        <f t="shared" si="39"/>
        <v>0</v>
      </c>
      <c r="M219" s="338">
        <f t="shared" si="40"/>
        <v>0</v>
      </c>
      <c r="N219" s="338">
        <f t="shared" si="41"/>
        <v>0</v>
      </c>
      <c r="O219" s="338">
        <f t="shared" si="42"/>
        <v>0</v>
      </c>
      <c r="P219" s="338">
        <f t="shared" si="43"/>
        <v>0</v>
      </c>
      <c r="Q219" s="338">
        <f t="shared" si="44"/>
        <v>0</v>
      </c>
      <c r="R219" s="338">
        <f t="shared" si="45"/>
        <v>0</v>
      </c>
    </row>
    <row r="220" spans="1:18" ht="12">
      <c r="A220" s="985">
        <v>4410</v>
      </c>
      <c r="B220" s="984" t="s">
        <v>600</v>
      </c>
      <c r="C220" s="975" t="str">
        <f t="shared" si="50"/>
        <v>44100</v>
      </c>
      <c r="D220" s="401"/>
      <c r="E220" s="980"/>
      <c r="F220" s="980"/>
      <c r="G220" s="401" t="str">
        <f t="shared" si="46"/>
        <v/>
      </c>
      <c r="H220" s="401" t="str">
        <f t="shared" si="47"/>
        <v/>
      </c>
      <c r="I220" s="401">
        <f t="shared" si="48"/>
        <v>4410</v>
      </c>
      <c r="J220" s="981" t="str">
        <f t="shared" si="49"/>
        <v>Ayudas sociales a personas</v>
      </c>
      <c r="K220" s="338">
        <f t="shared" si="38"/>
        <v>0</v>
      </c>
      <c r="L220" s="338">
        <f t="shared" si="39"/>
        <v>0</v>
      </c>
      <c r="M220" s="338">
        <f t="shared" si="40"/>
        <v>0</v>
      </c>
      <c r="N220" s="338">
        <f t="shared" si="41"/>
        <v>0</v>
      </c>
      <c r="O220" s="338">
        <f t="shared" si="42"/>
        <v>0</v>
      </c>
      <c r="P220" s="338">
        <f t="shared" si="43"/>
        <v>0</v>
      </c>
      <c r="Q220" s="338">
        <f t="shared" si="44"/>
        <v>0</v>
      </c>
      <c r="R220" s="338">
        <f t="shared" si="45"/>
        <v>0</v>
      </c>
    </row>
    <row r="221" spans="1:18" ht="12">
      <c r="A221" s="985">
        <v>4420</v>
      </c>
      <c r="B221" s="984" t="s">
        <v>2822</v>
      </c>
      <c r="C221" s="975" t="str">
        <f t="shared" si="50"/>
        <v>44200</v>
      </c>
      <c r="D221" s="401"/>
      <c r="E221" s="980"/>
      <c r="F221" s="980"/>
      <c r="G221" s="401" t="str">
        <f t="shared" si="46"/>
        <v/>
      </c>
      <c r="H221" s="401" t="str">
        <f t="shared" si="47"/>
        <v/>
      </c>
      <c r="I221" s="401">
        <f t="shared" si="48"/>
        <v>4420</v>
      </c>
      <c r="J221" s="981" t="str">
        <f t="shared" si="49"/>
        <v>Becas y otras ayudas para programas de capacitación</v>
      </c>
      <c r="K221" s="338">
        <f t="shared" si="38"/>
        <v>0</v>
      </c>
      <c r="L221" s="338">
        <f t="shared" si="39"/>
        <v>0</v>
      </c>
      <c r="M221" s="338">
        <f t="shared" si="40"/>
        <v>0</v>
      </c>
      <c r="N221" s="338">
        <f t="shared" si="41"/>
        <v>0</v>
      </c>
      <c r="O221" s="338">
        <f t="shared" si="42"/>
        <v>0</v>
      </c>
      <c r="P221" s="338">
        <f t="shared" si="43"/>
        <v>0</v>
      </c>
      <c r="Q221" s="338">
        <f t="shared" si="44"/>
        <v>0</v>
      </c>
      <c r="R221" s="338">
        <f t="shared" si="45"/>
        <v>0</v>
      </c>
    </row>
    <row r="222" spans="1:18" ht="12">
      <c r="A222" s="985">
        <v>4430</v>
      </c>
      <c r="B222" s="984" t="s">
        <v>2823</v>
      </c>
      <c r="C222" s="975" t="str">
        <f t="shared" si="50"/>
        <v>44300</v>
      </c>
      <c r="D222" s="401"/>
      <c r="E222" s="980"/>
      <c r="F222" s="980"/>
      <c r="G222" s="401" t="str">
        <f t="shared" si="46"/>
        <v/>
      </c>
      <c r="H222" s="401" t="str">
        <f t="shared" si="47"/>
        <v/>
      </c>
      <c r="I222" s="401">
        <f t="shared" si="48"/>
        <v>4430</v>
      </c>
      <c r="J222" s="981" t="str">
        <f t="shared" si="49"/>
        <v>Ayudas sociales a instituciones de enseñanza</v>
      </c>
      <c r="K222" s="338">
        <f t="shared" si="38"/>
        <v>0</v>
      </c>
      <c r="L222" s="338">
        <f t="shared" si="39"/>
        <v>0</v>
      </c>
      <c r="M222" s="338">
        <f t="shared" si="40"/>
        <v>0</v>
      </c>
      <c r="N222" s="338">
        <f t="shared" si="41"/>
        <v>0</v>
      </c>
      <c r="O222" s="338">
        <f t="shared" si="42"/>
        <v>0</v>
      </c>
      <c r="P222" s="338">
        <f t="shared" si="43"/>
        <v>0</v>
      </c>
      <c r="Q222" s="338">
        <f t="shared" si="44"/>
        <v>0</v>
      </c>
      <c r="R222" s="338">
        <f t="shared" si="45"/>
        <v>0</v>
      </c>
    </row>
    <row r="223" spans="1:18" ht="12">
      <c r="A223" s="985">
        <v>4440</v>
      </c>
      <c r="B223" s="984" t="s">
        <v>2824</v>
      </c>
      <c r="C223" s="975" t="str">
        <f t="shared" si="50"/>
        <v>44400</v>
      </c>
      <c r="D223" s="401"/>
      <c r="E223" s="980"/>
      <c r="F223" s="980"/>
      <c r="G223" s="401" t="str">
        <f t="shared" si="46"/>
        <v/>
      </c>
      <c r="H223" s="401" t="str">
        <f t="shared" si="47"/>
        <v/>
      </c>
      <c r="I223" s="401">
        <f t="shared" si="48"/>
        <v>4440</v>
      </c>
      <c r="J223" s="981" t="str">
        <f t="shared" si="49"/>
        <v>Ayudas sociales a actividades científicas o académicas</v>
      </c>
      <c r="K223" s="338">
        <f t="shared" si="38"/>
        <v>0</v>
      </c>
      <c r="L223" s="338">
        <f t="shared" si="39"/>
        <v>0</v>
      </c>
      <c r="M223" s="338">
        <f t="shared" si="40"/>
        <v>0</v>
      </c>
      <c r="N223" s="338">
        <f t="shared" si="41"/>
        <v>0</v>
      </c>
      <c r="O223" s="338">
        <f t="shared" si="42"/>
        <v>0</v>
      </c>
      <c r="P223" s="338">
        <f t="shared" si="43"/>
        <v>0</v>
      </c>
      <c r="Q223" s="338">
        <f t="shared" si="44"/>
        <v>0</v>
      </c>
      <c r="R223" s="338">
        <f t="shared" si="45"/>
        <v>0</v>
      </c>
    </row>
    <row r="224" spans="1:18" ht="12">
      <c r="A224" s="985">
        <v>4450</v>
      </c>
      <c r="B224" s="984" t="s">
        <v>2825</v>
      </c>
      <c r="C224" s="975" t="str">
        <f t="shared" si="50"/>
        <v>44500</v>
      </c>
      <c r="D224" s="401"/>
      <c r="E224" s="980"/>
      <c r="F224" s="980"/>
      <c r="G224" s="401" t="str">
        <f t="shared" si="46"/>
        <v/>
      </c>
      <c r="H224" s="401" t="str">
        <f t="shared" si="47"/>
        <v/>
      </c>
      <c r="I224" s="401">
        <f t="shared" si="48"/>
        <v>4450</v>
      </c>
      <c r="J224" s="981" t="str">
        <f t="shared" si="49"/>
        <v>Ayudas sociales a instituciones sin fines de lucro</v>
      </c>
      <c r="K224" s="338">
        <f t="shared" si="38"/>
        <v>0</v>
      </c>
      <c r="L224" s="338">
        <f t="shared" si="39"/>
        <v>0</v>
      </c>
      <c r="M224" s="338">
        <f t="shared" si="40"/>
        <v>0</v>
      </c>
      <c r="N224" s="338">
        <f t="shared" si="41"/>
        <v>0</v>
      </c>
      <c r="O224" s="338">
        <f t="shared" si="42"/>
        <v>0</v>
      </c>
      <c r="P224" s="338">
        <f t="shared" si="43"/>
        <v>0</v>
      </c>
      <c r="Q224" s="338">
        <f t="shared" si="44"/>
        <v>0</v>
      </c>
      <c r="R224" s="338">
        <f t="shared" si="45"/>
        <v>0</v>
      </c>
    </row>
    <row r="225" spans="1:18" ht="12">
      <c r="A225" s="985">
        <v>4460</v>
      </c>
      <c r="B225" s="984" t="s">
        <v>2826</v>
      </c>
      <c r="C225" s="975" t="str">
        <f t="shared" si="50"/>
        <v>44600</v>
      </c>
      <c r="D225" s="401"/>
      <c r="E225" s="980"/>
      <c r="F225" s="980"/>
      <c r="G225" s="401" t="str">
        <f t="shared" si="46"/>
        <v/>
      </c>
      <c r="H225" s="401" t="str">
        <f t="shared" si="47"/>
        <v/>
      </c>
      <c r="I225" s="401">
        <f t="shared" si="48"/>
        <v>4460</v>
      </c>
      <c r="J225" s="981" t="str">
        <f t="shared" si="49"/>
        <v>Ayudas sociales a cooperativas</v>
      </c>
      <c r="K225" s="338">
        <f t="shared" si="38"/>
        <v>0</v>
      </c>
      <c r="L225" s="338">
        <f t="shared" si="39"/>
        <v>0</v>
      </c>
      <c r="M225" s="338">
        <f t="shared" si="40"/>
        <v>0</v>
      </c>
      <c r="N225" s="338">
        <f t="shared" si="41"/>
        <v>0</v>
      </c>
      <c r="O225" s="338">
        <f t="shared" si="42"/>
        <v>0</v>
      </c>
      <c r="P225" s="338">
        <f t="shared" si="43"/>
        <v>0</v>
      </c>
      <c r="Q225" s="338">
        <f t="shared" si="44"/>
        <v>0</v>
      </c>
      <c r="R225" s="338">
        <f t="shared" si="45"/>
        <v>0</v>
      </c>
    </row>
    <row r="226" spans="1:18" ht="12">
      <c r="A226" s="985">
        <v>4470</v>
      </c>
      <c r="B226" s="984" t="s">
        <v>2827</v>
      </c>
      <c r="C226" s="975" t="str">
        <f t="shared" si="50"/>
        <v>44700</v>
      </c>
      <c r="D226" s="401"/>
      <c r="E226" s="980"/>
      <c r="F226" s="980"/>
      <c r="G226" s="401" t="str">
        <f t="shared" si="46"/>
        <v/>
      </c>
      <c r="H226" s="401" t="str">
        <f t="shared" si="47"/>
        <v/>
      </c>
      <c r="I226" s="401">
        <f t="shared" si="48"/>
        <v>4470</v>
      </c>
      <c r="J226" s="981" t="str">
        <f t="shared" si="49"/>
        <v>Ayudas sociales a entidades de interés público</v>
      </c>
      <c r="K226" s="338">
        <f t="shared" si="38"/>
        <v>0</v>
      </c>
      <c r="L226" s="338">
        <f t="shared" si="39"/>
        <v>0</v>
      </c>
      <c r="M226" s="338">
        <f t="shared" si="40"/>
        <v>0</v>
      </c>
      <c r="N226" s="338">
        <f t="shared" si="41"/>
        <v>0</v>
      </c>
      <c r="O226" s="338">
        <f t="shared" si="42"/>
        <v>0</v>
      </c>
      <c r="P226" s="338">
        <f t="shared" si="43"/>
        <v>0</v>
      </c>
      <c r="Q226" s="338">
        <f t="shared" si="44"/>
        <v>0</v>
      </c>
      <c r="R226" s="338">
        <f t="shared" si="45"/>
        <v>0</v>
      </c>
    </row>
    <row r="227" spans="1:18" ht="12">
      <c r="A227" s="985">
        <v>4480</v>
      </c>
      <c r="B227" s="984" t="s">
        <v>2828</v>
      </c>
      <c r="C227" s="975" t="str">
        <f t="shared" si="50"/>
        <v>44800</v>
      </c>
      <c r="D227" s="401"/>
      <c r="E227" s="980"/>
      <c r="F227" s="980"/>
      <c r="G227" s="401" t="str">
        <f t="shared" si="46"/>
        <v/>
      </c>
      <c r="H227" s="401" t="str">
        <f t="shared" si="47"/>
        <v/>
      </c>
      <c r="I227" s="401">
        <f t="shared" si="48"/>
        <v>4480</v>
      </c>
      <c r="J227" s="981" t="str">
        <f t="shared" si="49"/>
        <v>Ayudas por desastres naturales y otros siniestros</v>
      </c>
      <c r="K227" s="338">
        <f t="shared" si="38"/>
        <v>0</v>
      </c>
      <c r="L227" s="338">
        <f t="shared" si="39"/>
        <v>0</v>
      </c>
      <c r="M227" s="338">
        <f t="shared" si="40"/>
        <v>0</v>
      </c>
      <c r="N227" s="338">
        <f t="shared" si="41"/>
        <v>0</v>
      </c>
      <c r="O227" s="338">
        <f t="shared" si="42"/>
        <v>0</v>
      </c>
      <c r="P227" s="338">
        <f t="shared" si="43"/>
        <v>0</v>
      </c>
      <c r="Q227" s="338">
        <f t="shared" si="44"/>
        <v>0</v>
      </c>
      <c r="R227" s="338">
        <f t="shared" si="45"/>
        <v>0</v>
      </c>
    </row>
    <row r="228" spans="1:18">
      <c r="A228" s="229">
        <v>4500</v>
      </c>
      <c r="B228" s="230" t="s">
        <v>121</v>
      </c>
      <c r="C228" s="975" t="str">
        <f t="shared" si="50"/>
        <v>45000</v>
      </c>
      <c r="D228" s="401"/>
      <c r="E228" s="980"/>
      <c r="F228" s="980"/>
      <c r="G228" s="401" t="str">
        <f t="shared" si="46"/>
        <v/>
      </c>
      <c r="H228" s="401">
        <f t="shared" si="47"/>
        <v>4500</v>
      </c>
      <c r="I228" s="401" t="str">
        <f t="shared" si="48"/>
        <v/>
      </c>
      <c r="J228" s="981" t="str">
        <f t="shared" si="49"/>
        <v>Pensiones y jubilaciones</v>
      </c>
      <c r="K228" s="338">
        <f t="shared" si="38"/>
        <v>0</v>
      </c>
      <c r="L228" s="338">
        <f t="shared" si="39"/>
        <v>0</v>
      </c>
      <c r="M228" s="338">
        <f t="shared" si="40"/>
        <v>0</v>
      </c>
      <c r="N228" s="338">
        <f t="shared" si="41"/>
        <v>0</v>
      </c>
      <c r="O228" s="338">
        <f t="shared" si="42"/>
        <v>0</v>
      </c>
      <c r="P228" s="338">
        <f t="shared" si="43"/>
        <v>0</v>
      </c>
      <c r="Q228" s="338">
        <f t="shared" si="44"/>
        <v>0</v>
      </c>
      <c r="R228" s="338">
        <f t="shared" si="45"/>
        <v>0</v>
      </c>
    </row>
    <row r="229" spans="1:18" ht="12">
      <c r="A229" s="985">
        <v>4510</v>
      </c>
      <c r="B229" s="984" t="s">
        <v>604</v>
      </c>
      <c r="C229" s="975" t="str">
        <f t="shared" si="50"/>
        <v>45100</v>
      </c>
      <c r="D229" s="401"/>
      <c r="E229" s="980"/>
      <c r="F229" s="980"/>
      <c r="G229" s="401" t="str">
        <f t="shared" si="46"/>
        <v/>
      </c>
      <c r="H229" s="401" t="str">
        <f t="shared" si="47"/>
        <v/>
      </c>
      <c r="I229" s="401">
        <f t="shared" si="48"/>
        <v>4510</v>
      </c>
      <c r="J229" s="981" t="str">
        <f t="shared" si="49"/>
        <v>Pensiones</v>
      </c>
      <c r="K229" s="338">
        <f t="shared" si="38"/>
        <v>0</v>
      </c>
      <c r="L229" s="338">
        <f t="shared" si="39"/>
        <v>0</v>
      </c>
      <c r="M229" s="338">
        <f t="shared" si="40"/>
        <v>0</v>
      </c>
      <c r="N229" s="338">
        <f t="shared" si="41"/>
        <v>0</v>
      </c>
      <c r="O229" s="338">
        <f t="shared" si="42"/>
        <v>0</v>
      </c>
      <c r="P229" s="338">
        <f t="shared" si="43"/>
        <v>0</v>
      </c>
      <c r="Q229" s="338">
        <f t="shared" si="44"/>
        <v>0</v>
      </c>
      <c r="R229" s="338">
        <f t="shared" si="45"/>
        <v>0</v>
      </c>
    </row>
    <row r="230" spans="1:18" ht="12">
      <c r="A230" s="985">
        <v>4520</v>
      </c>
      <c r="B230" s="984" t="s">
        <v>605</v>
      </c>
      <c r="C230" s="975" t="str">
        <f t="shared" si="50"/>
        <v>45200</v>
      </c>
      <c r="D230" s="401"/>
      <c r="E230" s="980"/>
      <c r="F230" s="980"/>
      <c r="G230" s="401" t="str">
        <f t="shared" si="46"/>
        <v/>
      </c>
      <c r="H230" s="401" t="str">
        <f t="shared" si="47"/>
        <v/>
      </c>
      <c r="I230" s="401">
        <f t="shared" si="48"/>
        <v>4520</v>
      </c>
      <c r="J230" s="981" t="str">
        <f t="shared" si="49"/>
        <v>Jubilaciones</v>
      </c>
      <c r="K230" s="338">
        <f t="shared" si="38"/>
        <v>0</v>
      </c>
      <c r="L230" s="338">
        <f t="shared" si="39"/>
        <v>0</v>
      </c>
      <c r="M230" s="338">
        <f t="shared" si="40"/>
        <v>0</v>
      </c>
      <c r="N230" s="338">
        <f t="shared" si="41"/>
        <v>0</v>
      </c>
      <c r="O230" s="338">
        <f t="shared" si="42"/>
        <v>0</v>
      </c>
      <c r="P230" s="338">
        <f t="shared" si="43"/>
        <v>0</v>
      </c>
      <c r="Q230" s="338">
        <f t="shared" si="44"/>
        <v>0</v>
      </c>
      <c r="R230" s="338">
        <f t="shared" si="45"/>
        <v>0</v>
      </c>
    </row>
    <row r="231" spans="1:18" ht="12">
      <c r="A231" s="985">
        <v>4590</v>
      </c>
      <c r="B231" s="984" t="s">
        <v>606</v>
      </c>
      <c r="C231" s="975" t="str">
        <f t="shared" si="50"/>
        <v>45900</v>
      </c>
      <c r="D231" s="401"/>
      <c r="E231" s="980"/>
      <c r="F231" s="980"/>
      <c r="G231" s="401" t="str">
        <f t="shared" si="46"/>
        <v/>
      </c>
      <c r="H231" s="401" t="str">
        <f t="shared" si="47"/>
        <v/>
      </c>
      <c r="I231" s="401">
        <f t="shared" si="48"/>
        <v>4590</v>
      </c>
      <c r="J231" s="981" t="str">
        <f t="shared" si="49"/>
        <v>Otras pensiones y jubilaciones</v>
      </c>
      <c r="K231" s="338">
        <f t="shared" si="38"/>
        <v>0</v>
      </c>
      <c r="L231" s="338">
        <f t="shared" si="39"/>
        <v>0</v>
      </c>
      <c r="M231" s="338">
        <f t="shared" si="40"/>
        <v>0</v>
      </c>
      <c r="N231" s="338">
        <f t="shared" si="41"/>
        <v>0</v>
      </c>
      <c r="O231" s="338">
        <f t="shared" si="42"/>
        <v>0</v>
      </c>
      <c r="P231" s="338">
        <f t="shared" si="43"/>
        <v>0</v>
      </c>
      <c r="Q231" s="338">
        <f t="shared" si="44"/>
        <v>0</v>
      </c>
      <c r="R231" s="338">
        <f t="shared" si="45"/>
        <v>0</v>
      </c>
    </row>
    <row r="232" spans="1:18">
      <c r="A232" s="229">
        <v>4600</v>
      </c>
      <c r="B232" s="230" t="s">
        <v>264</v>
      </c>
      <c r="C232" s="975" t="str">
        <f t="shared" si="50"/>
        <v>46000</v>
      </c>
      <c r="D232" s="401"/>
      <c r="E232" s="980"/>
      <c r="F232" s="980"/>
      <c r="G232" s="401" t="str">
        <f t="shared" si="46"/>
        <v/>
      </c>
      <c r="H232" s="401">
        <f t="shared" si="47"/>
        <v>4600</v>
      </c>
      <c r="I232" s="401" t="str">
        <f t="shared" si="48"/>
        <v/>
      </c>
      <c r="J232" s="981" t="str">
        <f t="shared" si="49"/>
        <v>Transferencias a fideicomisos, mandatos y otros análogos</v>
      </c>
      <c r="K232" s="338">
        <f t="shared" si="38"/>
        <v>0</v>
      </c>
      <c r="L232" s="338">
        <f t="shared" si="39"/>
        <v>0</v>
      </c>
      <c r="M232" s="338">
        <f t="shared" si="40"/>
        <v>0</v>
      </c>
      <c r="N232" s="338">
        <f t="shared" si="41"/>
        <v>0</v>
      </c>
      <c r="O232" s="338">
        <f t="shared" si="42"/>
        <v>0</v>
      </c>
      <c r="P232" s="338">
        <f t="shared" si="43"/>
        <v>0</v>
      </c>
      <c r="Q232" s="338">
        <f t="shared" si="44"/>
        <v>0</v>
      </c>
      <c r="R232" s="338">
        <f t="shared" si="45"/>
        <v>0</v>
      </c>
    </row>
    <row r="233" spans="1:18" ht="12">
      <c r="A233" s="985">
        <v>4610</v>
      </c>
      <c r="B233" s="984" t="s">
        <v>2829</v>
      </c>
      <c r="C233" s="975" t="str">
        <f t="shared" si="50"/>
        <v>46100</v>
      </c>
      <c r="D233" s="401"/>
      <c r="E233" s="980"/>
      <c r="F233" s="980"/>
      <c r="G233" s="401" t="str">
        <f t="shared" si="46"/>
        <v/>
      </c>
      <c r="H233" s="401" t="str">
        <f t="shared" si="47"/>
        <v/>
      </c>
      <c r="I233" s="401">
        <f t="shared" si="48"/>
        <v>4610</v>
      </c>
      <c r="J233" s="981" t="str">
        <f t="shared" si="49"/>
        <v>Transferencias a fideicomisos del Poder Ejecutivo</v>
      </c>
      <c r="K233" s="338">
        <f t="shared" si="38"/>
        <v>0</v>
      </c>
      <c r="L233" s="338">
        <f t="shared" si="39"/>
        <v>0</v>
      </c>
      <c r="M233" s="338">
        <f t="shared" si="40"/>
        <v>0</v>
      </c>
      <c r="N233" s="338">
        <f t="shared" si="41"/>
        <v>0</v>
      </c>
      <c r="O233" s="338">
        <f t="shared" si="42"/>
        <v>0</v>
      </c>
      <c r="P233" s="338">
        <f t="shared" si="43"/>
        <v>0</v>
      </c>
      <c r="Q233" s="338">
        <f t="shared" si="44"/>
        <v>0</v>
      </c>
      <c r="R233" s="338">
        <f t="shared" si="45"/>
        <v>0</v>
      </c>
    </row>
    <row r="234" spans="1:18" ht="12">
      <c r="A234" s="985">
        <v>4620</v>
      </c>
      <c r="B234" s="984" t="s">
        <v>2830</v>
      </c>
      <c r="C234" s="975" t="str">
        <f t="shared" si="50"/>
        <v>46200</v>
      </c>
      <c r="D234" s="401"/>
      <c r="E234" s="980"/>
      <c r="F234" s="980"/>
      <c r="G234" s="401" t="str">
        <f t="shared" si="46"/>
        <v/>
      </c>
      <c r="H234" s="401" t="str">
        <f t="shared" si="47"/>
        <v/>
      </c>
      <c r="I234" s="401">
        <f t="shared" si="48"/>
        <v>4620</v>
      </c>
      <c r="J234" s="981" t="str">
        <f t="shared" si="49"/>
        <v>Transferencias a fideicomisos del Poder Legislativo</v>
      </c>
      <c r="K234" s="338">
        <f t="shared" si="38"/>
        <v>0</v>
      </c>
      <c r="L234" s="338">
        <f t="shared" si="39"/>
        <v>0</v>
      </c>
      <c r="M234" s="338">
        <f t="shared" si="40"/>
        <v>0</v>
      </c>
      <c r="N234" s="338">
        <f t="shared" si="41"/>
        <v>0</v>
      </c>
      <c r="O234" s="338">
        <f t="shared" si="42"/>
        <v>0</v>
      </c>
      <c r="P234" s="338">
        <f t="shared" si="43"/>
        <v>0</v>
      </c>
      <c r="Q234" s="338">
        <f t="shared" si="44"/>
        <v>0</v>
      </c>
      <c r="R234" s="338">
        <f t="shared" si="45"/>
        <v>0</v>
      </c>
    </row>
    <row r="235" spans="1:18" ht="12">
      <c r="A235" s="985">
        <v>4630</v>
      </c>
      <c r="B235" s="984" t="s">
        <v>2831</v>
      </c>
      <c r="C235" s="975" t="str">
        <f t="shared" si="50"/>
        <v>46300</v>
      </c>
      <c r="D235" s="401"/>
      <c r="E235" s="980"/>
      <c r="F235" s="980"/>
      <c r="G235" s="401" t="str">
        <f t="shared" si="46"/>
        <v/>
      </c>
      <c r="H235" s="401" t="str">
        <f t="shared" si="47"/>
        <v/>
      </c>
      <c r="I235" s="401">
        <f t="shared" si="48"/>
        <v>4630</v>
      </c>
      <c r="J235" s="981" t="str">
        <f t="shared" si="49"/>
        <v>Transferencias a fideicomisos del Poder Judicial</v>
      </c>
      <c r="K235" s="338">
        <f t="shared" si="38"/>
        <v>0</v>
      </c>
      <c r="L235" s="338">
        <f t="shared" si="39"/>
        <v>0</v>
      </c>
      <c r="M235" s="338">
        <f t="shared" si="40"/>
        <v>0</v>
      </c>
      <c r="N235" s="338">
        <f t="shared" si="41"/>
        <v>0</v>
      </c>
      <c r="O235" s="338">
        <f t="shared" si="42"/>
        <v>0</v>
      </c>
      <c r="P235" s="338">
        <f t="shared" si="43"/>
        <v>0</v>
      </c>
      <c r="Q235" s="338">
        <f t="shared" si="44"/>
        <v>0</v>
      </c>
      <c r="R235" s="338">
        <f t="shared" si="45"/>
        <v>0</v>
      </c>
    </row>
    <row r="236" spans="1:18" ht="12">
      <c r="A236" s="985">
        <v>4640</v>
      </c>
      <c r="B236" s="984" t="s">
        <v>2832</v>
      </c>
      <c r="C236" s="975" t="str">
        <f t="shared" si="50"/>
        <v>46400</v>
      </c>
      <c r="D236" s="401"/>
      <c r="E236" s="980"/>
      <c r="F236" s="980"/>
      <c r="G236" s="401" t="str">
        <f t="shared" si="46"/>
        <v/>
      </c>
      <c r="H236" s="401" t="str">
        <f t="shared" si="47"/>
        <v/>
      </c>
      <c r="I236" s="401">
        <f t="shared" si="48"/>
        <v>4640</v>
      </c>
      <c r="J236" s="981" t="str">
        <f t="shared" si="49"/>
        <v>Transferencias a fideicomisos públicos de entidades paraestatales no empresariales y no financieras</v>
      </c>
      <c r="K236" s="338">
        <f t="shared" si="38"/>
        <v>0</v>
      </c>
      <c r="L236" s="338">
        <f t="shared" si="39"/>
        <v>0</v>
      </c>
      <c r="M236" s="338">
        <f t="shared" si="40"/>
        <v>0</v>
      </c>
      <c r="N236" s="338">
        <f t="shared" si="41"/>
        <v>0</v>
      </c>
      <c r="O236" s="338">
        <f t="shared" si="42"/>
        <v>0</v>
      </c>
      <c r="P236" s="338">
        <f t="shared" si="43"/>
        <v>0</v>
      </c>
      <c r="Q236" s="338">
        <f t="shared" si="44"/>
        <v>0</v>
      </c>
      <c r="R236" s="338">
        <f t="shared" si="45"/>
        <v>0</v>
      </c>
    </row>
    <row r="237" spans="1:18" ht="12">
      <c r="A237" s="985">
        <v>4650</v>
      </c>
      <c r="B237" s="984" t="s">
        <v>2833</v>
      </c>
      <c r="C237" s="975" t="str">
        <f t="shared" si="50"/>
        <v>46500</v>
      </c>
      <c r="D237" s="401"/>
      <c r="E237" s="980"/>
      <c r="F237" s="980"/>
      <c r="G237" s="401" t="str">
        <f t="shared" si="46"/>
        <v/>
      </c>
      <c r="H237" s="401" t="str">
        <f t="shared" si="47"/>
        <v/>
      </c>
      <c r="I237" s="401">
        <f t="shared" si="48"/>
        <v>4650</v>
      </c>
      <c r="J237" s="981" t="str">
        <f t="shared" si="49"/>
        <v>Transferencias a fideicomisos públicos de entidades paraestatales empresariales y no financieras</v>
      </c>
      <c r="K237" s="338">
        <f t="shared" si="38"/>
        <v>0</v>
      </c>
      <c r="L237" s="338">
        <f t="shared" si="39"/>
        <v>0</v>
      </c>
      <c r="M237" s="338">
        <f t="shared" si="40"/>
        <v>0</v>
      </c>
      <c r="N237" s="338">
        <f t="shared" si="41"/>
        <v>0</v>
      </c>
      <c r="O237" s="338">
        <f t="shared" si="42"/>
        <v>0</v>
      </c>
      <c r="P237" s="338">
        <f t="shared" si="43"/>
        <v>0</v>
      </c>
      <c r="Q237" s="338">
        <f t="shared" si="44"/>
        <v>0</v>
      </c>
      <c r="R237" s="338">
        <f t="shared" si="45"/>
        <v>0</v>
      </c>
    </row>
    <row r="238" spans="1:18" ht="12">
      <c r="A238" s="985">
        <v>4660</v>
      </c>
      <c r="B238" s="984" t="s">
        <v>2834</v>
      </c>
      <c r="C238" s="975" t="str">
        <f t="shared" si="50"/>
        <v>46600</v>
      </c>
      <c r="D238" s="401"/>
      <c r="E238" s="980"/>
      <c r="F238" s="980"/>
      <c r="G238" s="401" t="str">
        <f t="shared" si="46"/>
        <v/>
      </c>
      <c r="H238" s="401" t="str">
        <f t="shared" si="47"/>
        <v/>
      </c>
      <c r="I238" s="401">
        <f t="shared" si="48"/>
        <v>4660</v>
      </c>
      <c r="J238" s="981" t="str">
        <f t="shared" si="49"/>
        <v>Transferencias a fideicomisos de instituciones públicas financieras</v>
      </c>
      <c r="K238" s="338">
        <f t="shared" si="38"/>
        <v>0</v>
      </c>
      <c r="L238" s="338">
        <f t="shared" si="39"/>
        <v>0</v>
      </c>
      <c r="M238" s="338">
        <f t="shared" si="40"/>
        <v>0</v>
      </c>
      <c r="N238" s="338">
        <f t="shared" si="41"/>
        <v>0</v>
      </c>
      <c r="O238" s="338">
        <f t="shared" si="42"/>
        <v>0</v>
      </c>
      <c r="P238" s="338">
        <f t="shared" si="43"/>
        <v>0</v>
      </c>
      <c r="Q238" s="338">
        <f t="shared" si="44"/>
        <v>0</v>
      </c>
      <c r="R238" s="338">
        <f t="shared" si="45"/>
        <v>0</v>
      </c>
    </row>
    <row r="239" spans="1:18" ht="12">
      <c r="A239" s="985">
        <v>4690</v>
      </c>
      <c r="B239" s="984" t="s">
        <v>2835</v>
      </c>
      <c r="C239" s="975" t="str">
        <f t="shared" si="50"/>
        <v>46900</v>
      </c>
      <c r="D239" s="401"/>
      <c r="E239" s="980"/>
      <c r="F239" s="980"/>
      <c r="G239" s="401" t="str">
        <f t="shared" si="46"/>
        <v/>
      </c>
      <c r="H239" s="401" t="str">
        <f t="shared" si="47"/>
        <v/>
      </c>
      <c r="I239" s="401">
        <f t="shared" si="48"/>
        <v>4690</v>
      </c>
      <c r="J239" s="981" t="str">
        <f t="shared" si="49"/>
        <v>Otras transferencias a fideicomisos</v>
      </c>
      <c r="K239" s="338">
        <f t="shared" si="38"/>
        <v>0</v>
      </c>
      <c r="L239" s="338">
        <f t="shared" si="39"/>
        <v>0</v>
      </c>
      <c r="M239" s="338">
        <f t="shared" si="40"/>
        <v>0</v>
      </c>
      <c r="N239" s="338">
        <f t="shared" si="41"/>
        <v>0</v>
      </c>
      <c r="O239" s="338">
        <f t="shared" si="42"/>
        <v>0</v>
      </c>
      <c r="P239" s="338">
        <f t="shared" si="43"/>
        <v>0</v>
      </c>
      <c r="Q239" s="338">
        <f t="shared" si="44"/>
        <v>0</v>
      </c>
      <c r="R239" s="338">
        <f t="shared" si="45"/>
        <v>0</v>
      </c>
    </row>
    <row r="240" spans="1:18">
      <c r="A240" s="229">
        <v>4700</v>
      </c>
      <c r="B240" s="230" t="s">
        <v>123</v>
      </c>
      <c r="C240" s="975" t="str">
        <f t="shared" si="50"/>
        <v>47000</v>
      </c>
      <c r="D240" s="401"/>
      <c r="E240" s="980"/>
      <c r="F240" s="980"/>
      <c r="G240" s="401" t="str">
        <f t="shared" si="46"/>
        <v/>
      </c>
      <c r="H240" s="401">
        <f t="shared" si="47"/>
        <v>4700</v>
      </c>
      <c r="I240" s="401" t="str">
        <f t="shared" si="48"/>
        <v/>
      </c>
      <c r="J240" s="981" t="str">
        <f t="shared" si="49"/>
        <v>Transferencias a la seguridad social</v>
      </c>
      <c r="K240" s="338">
        <f t="shared" si="38"/>
        <v>0</v>
      </c>
      <c r="L240" s="338">
        <f t="shared" si="39"/>
        <v>0</v>
      </c>
      <c r="M240" s="338">
        <f t="shared" si="40"/>
        <v>0</v>
      </c>
      <c r="N240" s="338">
        <f t="shared" si="41"/>
        <v>0</v>
      </c>
      <c r="O240" s="338">
        <f t="shared" si="42"/>
        <v>0</v>
      </c>
      <c r="P240" s="338">
        <f t="shared" si="43"/>
        <v>0</v>
      </c>
      <c r="Q240" s="338">
        <f t="shared" si="44"/>
        <v>0</v>
      </c>
      <c r="R240" s="338">
        <f t="shared" si="45"/>
        <v>0</v>
      </c>
    </row>
    <row r="241" spans="1:18" ht="12">
      <c r="A241" s="985">
        <v>4710</v>
      </c>
      <c r="B241" s="984" t="s">
        <v>2836</v>
      </c>
      <c r="C241" s="975" t="str">
        <f t="shared" si="50"/>
        <v>47100</v>
      </c>
      <c r="D241" s="401"/>
      <c r="E241" s="980"/>
      <c r="F241" s="980"/>
      <c r="G241" s="401" t="str">
        <f t="shared" si="46"/>
        <v/>
      </c>
      <c r="H241" s="401" t="str">
        <f t="shared" si="47"/>
        <v/>
      </c>
      <c r="I241" s="401">
        <f t="shared" si="48"/>
        <v>4710</v>
      </c>
      <c r="J241" s="981" t="str">
        <f t="shared" si="49"/>
        <v>Transferencias por obligación de ley</v>
      </c>
      <c r="K241" s="338">
        <f t="shared" si="38"/>
        <v>0</v>
      </c>
      <c r="L241" s="338">
        <f t="shared" si="39"/>
        <v>0</v>
      </c>
      <c r="M241" s="338">
        <f t="shared" si="40"/>
        <v>0</v>
      </c>
      <c r="N241" s="338">
        <f t="shared" si="41"/>
        <v>0</v>
      </c>
      <c r="O241" s="338">
        <f t="shared" si="42"/>
        <v>0</v>
      </c>
      <c r="P241" s="338">
        <f t="shared" si="43"/>
        <v>0</v>
      </c>
      <c r="Q241" s="338">
        <f t="shared" si="44"/>
        <v>0</v>
      </c>
      <c r="R241" s="338">
        <f t="shared" si="45"/>
        <v>0</v>
      </c>
    </row>
    <row r="242" spans="1:18">
      <c r="A242" s="229">
        <v>4800</v>
      </c>
      <c r="B242" s="230" t="s">
        <v>124</v>
      </c>
      <c r="C242" s="975" t="str">
        <f t="shared" si="50"/>
        <v>48000</v>
      </c>
      <c r="D242" s="401"/>
      <c r="E242" s="980"/>
      <c r="F242" s="980"/>
      <c r="G242" s="401" t="str">
        <f t="shared" si="46"/>
        <v/>
      </c>
      <c r="H242" s="401">
        <f t="shared" si="47"/>
        <v>4800</v>
      </c>
      <c r="I242" s="401" t="str">
        <f t="shared" si="48"/>
        <v/>
      </c>
      <c r="J242" s="981" t="str">
        <f t="shared" si="49"/>
        <v>Donativos</v>
      </c>
      <c r="K242" s="338">
        <f t="shared" si="38"/>
        <v>0</v>
      </c>
      <c r="L242" s="338">
        <f t="shared" si="39"/>
        <v>0</v>
      </c>
      <c r="M242" s="338">
        <f t="shared" si="40"/>
        <v>0</v>
      </c>
      <c r="N242" s="338">
        <f t="shared" si="41"/>
        <v>0</v>
      </c>
      <c r="O242" s="338">
        <f t="shared" si="42"/>
        <v>0</v>
      </c>
      <c r="P242" s="338">
        <f t="shared" si="43"/>
        <v>0</v>
      </c>
      <c r="Q242" s="338">
        <f t="shared" si="44"/>
        <v>0</v>
      </c>
      <c r="R242" s="338">
        <f t="shared" si="45"/>
        <v>0</v>
      </c>
    </row>
    <row r="243" spans="1:18" ht="12">
      <c r="A243" s="985">
        <v>4810</v>
      </c>
      <c r="B243" s="984" t="s">
        <v>610</v>
      </c>
      <c r="C243" s="975" t="str">
        <f t="shared" si="50"/>
        <v>48100</v>
      </c>
      <c r="D243" s="401"/>
      <c r="E243" s="980"/>
      <c r="F243" s="980"/>
      <c r="G243" s="401" t="str">
        <f t="shared" si="46"/>
        <v/>
      </c>
      <c r="H243" s="401" t="str">
        <f t="shared" si="47"/>
        <v/>
      </c>
      <c r="I243" s="401">
        <f t="shared" si="48"/>
        <v>4810</v>
      </c>
      <c r="J243" s="981" t="str">
        <f t="shared" si="49"/>
        <v>Donativos a instituciones sin fines de lucro</v>
      </c>
      <c r="K243" s="338">
        <f t="shared" si="38"/>
        <v>0</v>
      </c>
      <c r="L243" s="338">
        <f t="shared" si="39"/>
        <v>0</v>
      </c>
      <c r="M243" s="338">
        <f t="shared" si="40"/>
        <v>0</v>
      </c>
      <c r="N243" s="338">
        <f t="shared" si="41"/>
        <v>0</v>
      </c>
      <c r="O243" s="338">
        <f t="shared" si="42"/>
        <v>0</v>
      </c>
      <c r="P243" s="338">
        <f t="shared" si="43"/>
        <v>0</v>
      </c>
      <c r="Q243" s="338">
        <f t="shared" si="44"/>
        <v>0</v>
      </c>
      <c r="R243" s="338">
        <f t="shared" si="45"/>
        <v>0</v>
      </c>
    </row>
    <row r="244" spans="1:18" ht="12">
      <c r="A244" s="985">
        <v>4820</v>
      </c>
      <c r="B244" s="984" t="s">
        <v>2837</v>
      </c>
      <c r="C244" s="975" t="str">
        <f t="shared" si="50"/>
        <v>48200</v>
      </c>
      <c r="D244" s="401"/>
      <c r="E244" s="980"/>
      <c r="F244" s="980"/>
      <c r="G244" s="401" t="str">
        <f t="shared" si="46"/>
        <v/>
      </c>
      <c r="H244" s="401" t="str">
        <f t="shared" si="47"/>
        <v/>
      </c>
      <c r="I244" s="401">
        <f t="shared" si="48"/>
        <v>4820</v>
      </c>
      <c r="J244" s="981" t="str">
        <f t="shared" si="49"/>
        <v>Donativos a entidades federativas</v>
      </c>
      <c r="K244" s="338">
        <f t="shared" si="38"/>
        <v>0</v>
      </c>
      <c r="L244" s="338">
        <f t="shared" si="39"/>
        <v>0</v>
      </c>
      <c r="M244" s="338">
        <f t="shared" si="40"/>
        <v>0</v>
      </c>
      <c r="N244" s="338">
        <f t="shared" si="41"/>
        <v>0</v>
      </c>
      <c r="O244" s="338">
        <f t="shared" si="42"/>
        <v>0</v>
      </c>
      <c r="P244" s="338">
        <f t="shared" si="43"/>
        <v>0</v>
      </c>
      <c r="Q244" s="338">
        <f t="shared" si="44"/>
        <v>0</v>
      </c>
      <c r="R244" s="338">
        <f t="shared" si="45"/>
        <v>0</v>
      </c>
    </row>
    <row r="245" spans="1:18" ht="12">
      <c r="A245" s="985">
        <v>4830</v>
      </c>
      <c r="B245" s="984" t="s">
        <v>2838</v>
      </c>
      <c r="C245" s="975" t="str">
        <f t="shared" si="50"/>
        <v>48300</v>
      </c>
      <c r="D245" s="401"/>
      <c r="E245" s="980"/>
      <c r="F245" s="980"/>
      <c r="G245" s="401" t="str">
        <f t="shared" si="46"/>
        <v/>
      </c>
      <c r="H245" s="401" t="str">
        <f t="shared" si="47"/>
        <v/>
      </c>
      <c r="I245" s="401">
        <f t="shared" si="48"/>
        <v>4830</v>
      </c>
      <c r="J245" s="981" t="str">
        <f t="shared" si="49"/>
        <v>Donativos a fideicomisos privados</v>
      </c>
      <c r="K245" s="338">
        <f t="shared" si="38"/>
        <v>0</v>
      </c>
      <c r="L245" s="338">
        <f t="shared" si="39"/>
        <v>0</v>
      </c>
      <c r="M245" s="338">
        <f t="shared" si="40"/>
        <v>0</v>
      </c>
      <c r="N245" s="338">
        <f t="shared" si="41"/>
        <v>0</v>
      </c>
      <c r="O245" s="338">
        <f t="shared" si="42"/>
        <v>0</v>
      </c>
      <c r="P245" s="338">
        <f t="shared" si="43"/>
        <v>0</v>
      </c>
      <c r="Q245" s="338">
        <f t="shared" si="44"/>
        <v>0</v>
      </c>
      <c r="R245" s="338">
        <f t="shared" si="45"/>
        <v>0</v>
      </c>
    </row>
    <row r="246" spans="1:18" ht="12">
      <c r="A246" s="985">
        <v>4840</v>
      </c>
      <c r="B246" s="984" t="s">
        <v>2839</v>
      </c>
      <c r="C246" s="975" t="str">
        <f t="shared" si="50"/>
        <v>48400</v>
      </c>
      <c r="D246" s="401"/>
      <c r="E246" s="980"/>
      <c r="F246" s="980"/>
      <c r="G246" s="401" t="str">
        <f t="shared" si="46"/>
        <v/>
      </c>
      <c r="H246" s="401" t="str">
        <f t="shared" si="47"/>
        <v/>
      </c>
      <c r="I246" s="401">
        <f t="shared" si="48"/>
        <v>4840</v>
      </c>
      <c r="J246" s="981" t="str">
        <f t="shared" si="49"/>
        <v>Donativos a fideicomisos estatales</v>
      </c>
      <c r="K246" s="338">
        <f t="shared" si="38"/>
        <v>0</v>
      </c>
      <c r="L246" s="338">
        <f t="shared" si="39"/>
        <v>0</v>
      </c>
      <c r="M246" s="338">
        <f t="shared" si="40"/>
        <v>0</v>
      </c>
      <c r="N246" s="338">
        <f t="shared" si="41"/>
        <v>0</v>
      </c>
      <c r="O246" s="338">
        <f t="shared" si="42"/>
        <v>0</v>
      </c>
      <c r="P246" s="338">
        <f t="shared" si="43"/>
        <v>0</v>
      </c>
      <c r="Q246" s="338">
        <f t="shared" si="44"/>
        <v>0</v>
      </c>
      <c r="R246" s="338">
        <f t="shared" si="45"/>
        <v>0</v>
      </c>
    </row>
    <row r="247" spans="1:18" ht="12">
      <c r="A247" s="985">
        <v>4850</v>
      </c>
      <c r="B247" s="984" t="s">
        <v>614</v>
      </c>
      <c r="C247" s="975" t="str">
        <f t="shared" si="50"/>
        <v>48500</v>
      </c>
      <c r="D247" s="401"/>
      <c r="E247" s="980"/>
      <c r="F247" s="980"/>
      <c r="G247" s="401" t="str">
        <f t="shared" si="46"/>
        <v/>
      </c>
      <c r="H247" s="401" t="str">
        <f t="shared" si="47"/>
        <v/>
      </c>
      <c r="I247" s="401">
        <f t="shared" si="48"/>
        <v>4850</v>
      </c>
      <c r="J247" s="981" t="str">
        <f t="shared" si="49"/>
        <v>Donativos internacionales</v>
      </c>
      <c r="K247" s="338">
        <f t="shared" si="38"/>
        <v>0</v>
      </c>
      <c r="L247" s="338">
        <f t="shared" si="39"/>
        <v>0</v>
      </c>
      <c r="M247" s="338">
        <f t="shared" si="40"/>
        <v>0</v>
      </c>
      <c r="N247" s="338">
        <f t="shared" si="41"/>
        <v>0</v>
      </c>
      <c r="O247" s="338">
        <f t="shared" si="42"/>
        <v>0</v>
      </c>
      <c r="P247" s="338">
        <f t="shared" si="43"/>
        <v>0</v>
      </c>
      <c r="Q247" s="338">
        <f t="shared" si="44"/>
        <v>0</v>
      </c>
      <c r="R247" s="338">
        <f t="shared" si="45"/>
        <v>0</v>
      </c>
    </row>
    <row r="248" spans="1:18">
      <c r="A248" s="229">
        <v>4900</v>
      </c>
      <c r="B248" s="230" t="s">
        <v>125</v>
      </c>
      <c r="C248" s="975" t="str">
        <f t="shared" si="50"/>
        <v>49000</v>
      </c>
      <c r="D248" s="401"/>
      <c r="E248" s="980"/>
      <c r="F248" s="980"/>
      <c r="G248" s="401" t="str">
        <f t="shared" si="46"/>
        <v/>
      </c>
      <c r="H248" s="401">
        <f t="shared" si="47"/>
        <v>4900</v>
      </c>
      <c r="I248" s="401" t="str">
        <f t="shared" si="48"/>
        <v/>
      </c>
      <c r="J248" s="981" t="str">
        <f t="shared" si="49"/>
        <v>Transferencias al exterior</v>
      </c>
      <c r="K248" s="338">
        <f t="shared" si="38"/>
        <v>0</v>
      </c>
      <c r="L248" s="338">
        <f t="shared" si="39"/>
        <v>0</v>
      </c>
      <c r="M248" s="338">
        <f t="shared" si="40"/>
        <v>0</v>
      </c>
      <c r="N248" s="338">
        <f t="shared" si="41"/>
        <v>0</v>
      </c>
      <c r="O248" s="338">
        <f t="shared" si="42"/>
        <v>0</v>
      </c>
      <c r="P248" s="338">
        <f t="shared" si="43"/>
        <v>0</v>
      </c>
      <c r="Q248" s="338">
        <f t="shared" si="44"/>
        <v>0</v>
      </c>
      <c r="R248" s="338">
        <f t="shared" si="45"/>
        <v>0</v>
      </c>
    </row>
    <row r="249" spans="1:18" ht="12">
      <c r="A249" s="985">
        <v>4910</v>
      </c>
      <c r="B249" s="984" t="s">
        <v>2840</v>
      </c>
      <c r="C249" s="975" t="str">
        <f t="shared" si="50"/>
        <v>49100</v>
      </c>
      <c r="D249" s="401"/>
      <c r="E249" s="980"/>
      <c r="F249" s="980"/>
      <c r="G249" s="401" t="str">
        <f t="shared" si="46"/>
        <v/>
      </c>
      <c r="H249" s="401" t="str">
        <f t="shared" si="47"/>
        <v/>
      </c>
      <c r="I249" s="401">
        <f t="shared" si="48"/>
        <v>4910</v>
      </c>
      <c r="J249" s="981" t="str">
        <f t="shared" si="49"/>
        <v>Transferencias para gobiernos extranjeros</v>
      </c>
      <c r="K249" s="338">
        <f t="shared" si="38"/>
        <v>0</v>
      </c>
      <c r="L249" s="338">
        <f t="shared" si="39"/>
        <v>0</v>
      </c>
      <c r="M249" s="338">
        <f t="shared" si="40"/>
        <v>0</v>
      </c>
      <c r="N249" s="338">
        <f t="shared" si="41"/>
        <v>0</v>
      </c>
      <c r="O249" s="338">
        <f t="shared" si="42"/>
        <v>0</v>
      </c>
      <c r="P249" s="338">
        <f t="shared" si="43"/>
        <v>0</v>
      </c>
      <c r="Q249" s="338">
        <f t="shared" si="44"/>
        <v>0</v>
      </c>
      <c r="R249" s="338">
        <f t="shared" si="45"/>
        <v>0</v>
      </c>
    </row>
    <row r="250" spans="1:18" ht="12">
      <c r="A250" s="985">
        <v>4920</v>
      </c>
      <c r="B250" s="984" t="s">
        <v>2841</v>
      </c>
      <c r="C250" s="975" t="str">
        <f t="shared" si="50"/>
        <v>49200</v>
      </c>
      <c r="D250" s="401"/>
      <c r="E250" s="980"/>
      <c r="F250" s="980"/>
      <c r="G250" s="401" t="str">
        <f t="shared" si="46"/>
        <v/>
      </c>
      <c r="H250" s="401" t="str">
        <f t="shared" si="47"/>
        <v/>
      </c>
      <c r="I250" s="401">
        <f t="shared" si="48"/>
        <v>4920</v>
      </c>
      <c r="J250" s="981" t="str">
        <f t="shared" si="49"/>
        <v>Transferencias para organismos internacionales</v>
      </c>
      <c r="K250" s="338">
        <f t="shared" si="38"/>
        <v>0</v>
      </c>
      <c r="L250" s="338">
        <f t="shared" si="39"/>
        <v>0</v>
      </c>
      <c r="M250" s="338">
        <f t="shared" si="40"/>
        <v>0</v>
      </c>
      <c r="N250" s="338">
        <f t="shared" si="41"/>
        <v>0</v>
      </c>
      <c r="O250" s="338">
        <f t="shared" si="42"/>
        <v>0</v>
      </c>
      <c r="P250" s="338">
        <f t="shared" si="43"/>
        <v>0</v>
      </c>
      <c r="Q250" s="338">
        <f t="shared" si="44"/>
        <v>0</v>
      </c>
      <c r="R250" s="338">
        <f t="shared" si="45"/>
        <v>0</v>
      </c>
    </row>
    <row r="251" spans="1:18" ht="12">
      <c r="A251" s="985">
        <v>4930</v>
      </c>
      <c r="B251" s="984" t="s">
        <v>2842</v>
      </c>
      <c r="C251" s="975" t="str">
        <f t="shared" si="50"/>
        <v>49300</v>
      </c>
      <c r="D251" s="401"/>
      <c r="E251" s="980"/>
      <c r="F251" s="980"/>
      <c r="G251" s="401" t="str">
        <f t="shared" si="46"/>
        <v/>
      </c>
      <c r="H251" s="401" t="str">
        <f t="shared" si="47"/>
        <v/>
      </c>
      <c r="I251" s="401">
        <f t="shared" si="48"/>
        <v>4930</v>
      </c>
      <c r="J251" s="981" t="str">
        <f t="shared" si="49"/>
        <v>Transferencias para el sector privado externo</v>
      </c>
      <c r="K251" s="338">
        <f t="shared" si="38"/>
        <v>0</v>
      </c>
      <c r="L251" s="338">
        <f t="shared" si="39"/>
        <v>0</v>
      </c>
      <c r="M251" s="338">
        <f t="shared" si="40"/>
        <v>0</v>
      </c>
      <c r="N251" s="338">
        <f t="shared" si="41"/>
        <v>0</v>
      </c>
      <c r="O251" s="338">
        <f t="shared" si="42"/>
        <v>0</v>
      </c>
      <c r="P251" s="338">
        <f t="shared" si="43"/>
        <v>0</v>
      </c>
      <c r="Q251" s="338">
        <f t="shared" si="44"/>
        <v>0</v>
      </c>
      <c r="R251" s="338">
        <f t="shared" si="45"/>
        <v>0</v>
      </c>
    </row>
    <row r="252" spans="1:18">
      <c r="A252" s="229">
        <v>5000</v>
      </c>
      <c r="B252" s="230" t="s">
        <v>265</v>
      </c>
      <c r="C252" s="975" t="str">
        <f t="shared" si="50"/>
        <v>50000</v>
      </c>
      <c r="D252" s="401"/>
      <c r="E252" s="980"/>
      <c r="F252" s="980"/>
      <c r="G252" s="401">
        <f t="shared" si="46"/>
        <v>5000</v>
      </c>
      <c r="H252" s="401" t="str">
        <f t="shared" si="47"/>
        <v/>
      </c>
      <c r="I252" s="401" t="str">
        <f t="shared" si="48"/>
        <v/>
      </c>
      <c r="J252" s="981" t="str">
        <f t="shared" si="49"/>
        <v>BIENES MUEBLES, INMUEBLES E INTANGIBLES</v>
      </c>
      <c r="K252" s="338">
        <f t="shared" si="38"/>
        <v>1042027.5599999999</v>
      </c>
      <c r="L252" s="338">
        <f t="shared" si="39"/>
        <v>1675477.6800000002</v>
      </c>
      <c r="M252" s="338">
        <f t="shared" si="40"/>
        <v>2717505.24</v>
      </c>
      <c r="N252" s="338">
        <f t="shared" si="41"/>
        <v>2717505.24</v>
      </c>
      <c r="O252" s="338">
        <f t="shared" si="42"/>
        <v>2717505.24</v>
      </c>
      <c r="P252" s="338">
        <f t="shared" si="43"/>
        <v>2717505.24</v>
      </c>
      <c r="Q252" s="338">
        <f t="shared" si="44"/>
        <v>2717505.24</v>
      </c>
      <c r="R252" s="338">
        <f t="shared" si="45"/>
        <v>0</v>
      </c>
    </row>
    <row r="253" spans="1:18">
      <c r="A253" s="229">
        <v>5100</v>
      </c>
      <c r="B253" s="230" t="s">
        <v>21</v>
      </c>
      <c r="C253" s="975" t="str">
        <f t="shared" si="50"/>
        <v>51000</v>
      </c>
      <c r="D253" s="401"/>
      <c r="E253" s="980"/>
      <c r="F253" s="980"/>
      <c r="G253" s="401" t="str">
        <f t="shared" si="46"/>
        <v/>
      </c>
      <c r="H253" s="401">
        <f t="shared" si="47"/>
        <v>5100</v>
      </c>
      <c r="I253" s="401" t="str">
        <f t="shared" si="48"/>
        <v/>
      </c>
      <c r="J253" s="981" t="str">
        <f t="shared" si="49"/>
        <v>Mobiliario y equipo de administración</v>
      </c>
      <c r="K253" s="338">
        <f t="shared" si="38"/>
        <v>315389.03000000003</v>
      </c>
      <c r="L253" s="338">
        <f t="shared" si="39"/>
        <v>1059539.17</v>
      </c>
      <c r="M253" s="338">
        <f t="shared" si="40"/>
        <v>1374928.2</v>
      </c>
      <c r="N253" s="338">
        <f t="shared" si="41"/>
        <v>1374928.2</v>
      </c>
      <c r="O253" s="338">
        <f t="shared" si="42"/>
        <v>1374928.2</v>
      </c>
      <c r="P253" s="338">
        <f t="shared" si="43"/>
        <v>1374928.2</v>
      </c>
      <c r="Q253" s="338">
        <f t="shared" si="44"/>
        <v>1374928.2</v>
      </c>
      <c r="R253" s="338">
        <f t="shared" si="45"/>
        <v>0</v>
      </c>
    </row>
    <row r="254" spans="1:18" ht="12">
      <c r="A254" s="985">
        <v>5110</v>
      </c>
      <c r="B254" s="984" t="s">
        <v>2843</v>
      </c>
      <c r="C254" s="975" t="str">
        <f t="shared" si="50"/>
        <v>51100</v>
      </c>
      <c r="D254" s="401"/>
      <c r="E254" s="980"/>
      <c r="F254" s="980"/>
      <c r="G254" s="401" t="str">
        <f t="shared" si="46"/>
        <v/>
      </c>
      <c r="H254" s="401" t="str">
        <f t="shared" si="47"/>
        <v/>
      </c>
      <c r="I254" s="401">
        <f t="shared" si="48"/>
        <v>5110</v>
      </c>
      <c r="J254" s="981" t="str">
        <f t="shared" si="49"/>
        <v>Muebles de oficina y estantería</v>
      </c>
      <c r="K254" s="338">
        <f t="shared" si="38"/>
        <v>131045.08</v>
      </c>
      <c r="L254" s="338">
        <f t="shared" si="39"/>
        <v>303238.84000000003</v>
      </c>
      <c r="M254" s="338">
        <f t="shared" si="40"/>
        <v>434283.92000000004</v>
      </c>
      <c r="N254" s="338">
        <f t="shared" si="41"/>
        <v>434283.92</v>
      </c>
      <c r="O254" s="338">
        <f t="shared" si="42"/>
        <v>434283.92</v>
      </c>
      <c r="P254" s="338">
        <f t="shared" si="43"/>
        <v>434283.92</v>
      </c>
      <c r="Q254" s="338">
        <f t="shared" si="44"/>
        <v>434283.92</v>
      </c>
      <c r="R254" s="338">
        <f t="shared" si="45"/>
        <v>0</v>
      </c>
    </row>
    <row r="255" spans="1:18" ht="12">
      <c r="A255" s="985">
        <v>5120</v>
      </c>
      <c r="B255" s="984" t="s">
        <v>2844</v>
      </c>
      <c r="C255" s="975" t="str">
        <f t="shared" si="50"/>
        <v>51200</v>
      </c>
      <c r="D255" s="401"/>
      <c r="E255" s="980"/>
      <c r="F255" s="980"/>
      <c r="G255" s="401" t="str">
        <f t="shared" si="46"/>
        <v/>
      </c>
      <c r="H255" s="401" t="str">
        <f t="shared" si="47"/>
        <v/>
      </c>
      <c r="I255" s="401">
        <f t="shared" si="48"/>
        <v>5120</v>
      </c>
      <c r="J255" s="981" t="str">
        <f t="shared" si="49"/>
        <v>Muebles, excepto de oficina y estantería</v>
      </c>
      <c r="K255" s="338">
        <f t="shared" si="38"/>
        <v>0</v>
      </c>
      <c r="L255" s="338">
        <f t="shared" si="39"/>
        <v>0</v>
      </c>
      <c r="M255" s="338">
        <f t="shared" si="40"/>
        <v>0</v>
      </c>
      <c r="N255" s="338">
        <f t="shared" si="41"/>
        <v>0</v>
      </c>
      <c r="O255" s="338">
        <f t="shared" si="42"/>
        <v>0</v>
      </c>
      <c r="P255" s="338">
        <f t="shared" si="43"/>
        <v>0</v>
      </c>
      <c r="Q255" s="338">
        <f t="shared" si="44"/>
        <v>0</v>
      </c>
      <c r="R255" s="338">
        <f t="shared" si="45"/>
        <v>0</v>
      </c>
    </row>
    <row r="256" spans="1:18" ht="12">
      <c r="A256" s="985">
        <v>5130</v>
      </c>
      <c r="B256" s="984" t="s">
        <v>2845</v>
      </c>
      <c r="C256" s="975" t="str">
        <f t="shared" si="50"/>
        <v>51300</v>
      </c>
      <c r="D256" s="401"/>
      <c r="E256" s="980"/>
      <c r="F256" s="980"/>
      <c r="G256" s="401" t="str">
        <f t="shared" si="46"/>
        <v/>
      </c>
      <c r="H256" s="401" t="str">
        <f t="shared" si="47"/>
        <v/>
      </c>
      <c r="I256" s="401">
        <f t="shared" si="48"/>
        <v>5130</v>
      </c>
      <c r="J256" s="981" t="str">
        <f t="shared" si="49"/>
        <v>Bienes artísticos, culturales y científicos</v>
      </c>
      <c r="K256" s="338">
        <f t="shared" si="38"/>
        <v>0</v>
      </c>
      <c r="L256" s="338">
        <f t="shared" si="39"/>
        <v>0</v>
      </c>
      <c r="M256" s="338">
        <f t="shared" si="40"/>
        <v>0</v>
      </c>
      <c r="N256" s="338">
        <f t="shared" si="41"/>
        <v>0</v>
      </c>
      <c r="O256" s="338">
        <f t="shared" si="42"/>
        <v>0</v>
      </c>
      <c r="P256" s="338">
        <f t="shared" si="43"/>
        <v>0</v>
      </c>
      <c r="Q256" s="338">
        <f t="shared" si="44"/>
        <v>0</v>
      </c>
      <c r="R256" s="338">
        <f t="shared" si="45"/>
        <v>0</v>
      </c>
    </row>
    <row r="257" spans="1:18" ht="12">
      <c r="A257" s="985">
        <v>5140</v>
      </c>
      <c r="B257" s="984" t="s">
        <v>2846</v>
      </c>
      <c r="C257" s="975" t="str">
        <f t="shared" si="50"/>
        <v>51400</v>
      </c>
      <c r="D257" s="401"/>
      <c r="E257" s="980"/>
      <c r="F257" s="980"/>
      <c r="G257" s="401" t="str">
        <f t="shared" si="46"/>
        <v/>
      </c>
      <c r="H257" s="401" t="str">
        <f t="shared" si="47"/>
        <v/>
      </c>
      <c r="I257" s="401">
        <f t="shared" si="48"/>
        <v>5140</v>
      </c>
      <c r="J257" s="981" t="str">
        <f t="shared" si="49"/>
        <v>Objetos de valor</v>
      </c>
      <c r="K257" s="338">
        <f t="shared" si="38"/>
        <v>0</v>
      </c>
      <c r="L257" s="338">
        <f t="shared" si="39"/>
        <v>0</v>
      </c>
      <c r="M257" s="338">
        <f t="shared" si="40"/>
        <v>0</v>
      </c>
      <c r="N257" s="338">
        <f t="shared" si="41"/>
        <v>0</v>
      </c>
      <c r="O257" s="338">
        <f t="shared" si="42"/>
        <v>0</v>
      </c>
      <c r="P257" s="338">
        <f t="shared" si="43"/>
        <v>0</v>
      </c>
      <c r="Q257" s="338">
        <f t="shared" si="44"/>
        <v>0</v>
      </c>
      <c r="R257" s="338">
        <f t="shared" si="45"/>
        <v>0</v>
      </c>
    </row>
    <row r="258" spans="1:18" ht="12">
      <c r="A258" s="985">
        <v>5150</v>
      </c>
      <c r="B258" s="984" t="s">
        <v>2847</v>
      </c>
      <c r="C258" s="975" t="str">
        <f t="shared" si="50"/>
        <v>51500</v>
      </c>
      <c r="D258" s="401"/>
      <c r="E258" s="980"/>
      <c r="F258" s="980"/>
      <c r="G258" s="401" t="str">
        <f t="shared" si="46"/>
        <v/>
      </c>
      <c r="H258" s="401" t="str">
        <f t="shared" si="47"/>
        <v/>
      </c>
      <c r="I258" s="401">
        <f t="shared" si="48"/>
        <v>5150</v>
      </c>
      <c r="J258" s="981" t="str">
        <f t="shared" si="49"/>
        <v>Equipo de cómputo y de tecnologías de la información</v>
      </c>
      <c r="K258" s="338">
        <f t="shared" si="38"/>
        <v>183576.31</v>
      </c>
      <c r="L258" s="338">
        <f t="shared" si="39"/>
        <v>664723.36</v>
      </c>
      <c r="M258" s="338">
        <f t="shared" si="40"/>
        <v>848299.66999999993</v>
      </c>
      <c r="N258" s="338">
        <f t="shared" si="41"/>
        <v>848299.67</v>
      </c>
      <c r="O258" s="338">
        <f t="shared" si="42"/>
        <v>848299.67</v>
      </c>
      <c r="P258" s="338">
        <f t="shared" si="43"/>
        <v>848299.67</v>
      </c>
      <c r="Q258" s="338">
        <f t="shared" si="44"/>
        <v>848299.67</v>
      </c>
      <c r="R258" s="338">
        <f t="shared" si="45"/>
        <v>0</v>
      </c>
    </row>
    <row r="259" spans="1:18" ht="12">
      <c r="A259" s="985">
        <v>5190</v>
      </c>
      <c r="B259" s="984" t="s">
        <v>2848</v>
      </c>
      <c r="C259" s="975" t="str">
        <f t="shared" si="50"/>
        <v>51900</v>
      </c>
      <c r="D259" s="401"/>
      <c r="E259" s="980"/>
      <c r="F259" s="980"/>
      <c r="G259" s="401" t="str">
        <f t="shared" si="46"/>
        <v/>
      </c>
      <c r="H259" s="401" t="str">
        <f t="shared" si="47"/>
        <v/>
      </c>
      <c r="I259" s="401">
        <f t="shared" si="48"/>
        <v>5190</v>
      </c>
      <c r="J259" s="981" t="str">
        <f t="shared" si="49"/>
        <v>Otros mobiliarios y equipos de administración</v>
      </c>
      <c r="K259" s="338">
        <f t="shared" si="38"/>
        <v>767.64</v>
      </c>
      <c r="L259" s="338">
        <f t="shared" si="39"/>
        <v>91576.97</v>
      </c>
      <c r="M259" s="338">
        <f t="shared" si="40"/>
        <v>92344.61</v>
      </c>
      <c r="N259" s="338">
        <f t="shared" si="41"/>
        <v>92344.61</v>
      </c>
      <c r="O259" s="338">
        <f t="shared" si="42"/>
        <v>92344.61</v>
      </c>
      <c r="P259" s="338">
        <f t="shared" si="43"/>
        <v>92344.61</v>
      </c>
      <c r="Q259" s="338">
        <f t="shared" si="44"/>
        <v>92344.61</v>
      </c>
      <c r="R259" s="338">
        <f t="shared" si="45"/>
        <v>0</v>
      </c>
    </row>
    <row r="260" spans="1:18">
      <c r="A260" s="229">
        <v>5200</v>
      </c>
      <c r="B260" s="230" t="s">
        <v>22</v>
      </c>
      <c r="C260" s="975" t="str">
        <f t="shared" si="50"/>
        <v>52000</v>
      </c>
      <c r="D260" s="401"/>
      <c r="E260" s="980"/>
      <c r="F260" s="980"/>
      <c r="G260" s="401" t="str">
        <f t="shared" si="46"/>
        <v/>
      </c>
      <c r="H260" s="401">
        <f t="shared" si="47"/>
        <v>5200</v>
      </c>
      <c r="I260" s="401" t="str">
        <f t="shared" si="48"/>
        <v/>
      </c>
      <c r="J260" s="981" t="str">
        <f t="shared" si="49"/>
        <v>Mobiliario y equipo educacional y recreativo</v>
      </c>
      <c r="K260" s="338">
        <f t="shared" si="38"/>
        <v>0</v>
      </c>
      <c r="L260" s="338">
        <f t="shared" si="39"/>
        <v>0</v>
      </c>
      <c r="M260" s="338">
        <f t="shared" si="40"/>
        <v>0</v>
      </c>
      <c r="N260" s="338">
        <f t="shared" si="41"/>
        <v>0</v>
      </c>
      <c r="O260" s="338">
        <f t="shared" si="42"/>
        <v>0</v>
      </c>
      <c r="P260" s="338">
        <f t="shared" si="43"/>
        <v>0</v>
      </c>
      <c r="Q260" s="338">
        <f t="shared" si="44"/>
        <v>0</v>
      </c>
      <c r="R260" s="338">
        <f t="shared" si="45"/>
        <v>0</v>
      </c>
    </row>
    <row r="261" spans="1:18" ht="12">
      <c r="A261" s="985">
        <v>5210</v>
      </c>
      <c r="B261" s="984" t="s">
        <v>2849</v>
      </c>
      <c r="C261" s="975" t="str">
        <f t="shared" si="50"/>
        <v>52100</v>
      </c>
      <c r="D261" s="401"/>
      <c r="E261" s="980"/>
      <c r="F261" s="980"/>
      <c r="G261" s="401" t="str">
        <f t="shared" si="46"/>
        <v/>
      </c>
      <c r="H261" s="401" t="str">
        <f t="shared" si="47"/>
        <v/>
      </c>
      <c r="I261" s="401">
        <f t="shared" si="48"/>
        <v>5210</v>
      </c>
      <c r="J261" s="981" t="str">
        <f t="shared" si="49"/>
        <v>Equipos y aparatos audiovisuales</v>
      </c>
      <c r="K261" s="338">
        <f t="shared" ref="K261:K324" si="51">IF(MID(A261,2,1)="0",SUMIF(PE_COG,MID(A261,1,1)&amp;"*",PE_A),
IF(AND(MID(A261,2,1)&gt;"0",MID(A261,3,1)="0"),SUMIF(PE_COG,MID(A261,1,2)&amp;"*",PE_A),
IF(MID(A261,3,1)&gt;"0",SUMIF(PE_COG,MID(A261,1,3)&amp;"*",PE_A),"")))</f>
        <v>0</v>
      </c>
      <c r="L261" s="338">
        <f t="shared" ref="L261:L324" si="52">IF(MID(A261,2,1)="0",SUMIF(PE_COG,MID(A261,1,1)&amp;"*",PE_M),
IF(AND(MID(A261,2,1)&gt;"0",MID(A261,3,1)="0"),SUMIF(PE_COG,MID(A261,1,2)&amp;"*",PE_M),
IF(MID(A261,3,1)&gt;"0",SUMIF(PE_COG,MID(A261,1,3)&amp;"*",PE_M),"")))</f>
        <v>0</v>
      </c>
      <c r="M261" s="338">
        <f t="shared" ref="M261:M324" si="53">IF(MID(A261,2,1)="0",SUMIF(PE_COG,MID(A261,1,1)&amp;"*",PE_A),
IF(AND(MID(A261,2,1)&gt;"0",MID(A261,3,1)="0"),SUMIF(PE_COG,MID(A261,1,2)&amp;"*",PE_A),
IF(MID(A261,3,1)&gt;"0",SUMIF(PE_COG,MID(A261,1,3)&amp;"*",PE_A),"")))
+IF(MID(A261,2,1)="0",SUMIF(PE_COG,MID(A261,1,1)&amp;"*",PE_M),
IF(AND(MID(A261,2,1)&gt;"0",MID(A261,3,1)="0"),SUMIF(PE_COG,MID(A261,1,2)&amp;"*",PE_M),
IF(MID(A261,3,1)&gt;"0",SUMIF(PE_COG,MID(A261,1,3)&amp;"*",PE_M),"")))</f>
        <v>0</v>
      </c>
      <c r="N261" s="338">
        <f t="shared" ref="N261:N324" si="54">IF(MID(A261,2,1)="0",SUMIF(PE_COG,MID(A261,1,1)&amp;"*",PE_C),
IF(AND(MID(A261,2,1)&gt;"0",MID(A261,3,1)="0"),SUMIF(PE_COG,MID(A261,1,2)&amp;"*",PE_C),
IF(MID(A261,3,1)&gt;"0",SUMIF(PE_COG,MID(A261,1,3)&amp;"*",PE_C),"")))</f>
        <v>0</v>
      </c>
      <c r="O261" s="338">
        <f t="shared" ref="O261:O324" si="55">IF(MID(A261,2,1)="0",SUMIF(PE_COG,MID(A261,1,1)&amp;"*",PE_D),
IF(AND(MID(A261,2,1)&gt;"0",MID(A261,3,1)="0"),SUMIF(PE_COG,MID(A261,1,2)&amp;"*",PE_D),
IF(MID(A261,3,1)&gt;"0",SUMIF(PE_COG,MID(A261,1,3)&amp;"*",PE_D),"")))</f>
        <v>0</v>
      </c>
      <c r="P261" s="338">
        <f t="shared" ref="P261:P324" si="56">IF(MID(A261,2,1)="0",SUMIF(PE_COG,MID(A261,1,1)&amp;"*",PE_E),
IF(AND(MID(A261,2,1)&gt;"0",MID(A261,3,1)="0"),SUMIF(PE_COG,MID(A261,1,2)&amp;"*",PE_E),
IF(MID(A261,3,1)&gt;"0",SUMIF(PE_COG,MID(A261,1,3)&amp;"*",PE_E),"")))</f>
        <v>0</v>
      </c>
      <c r="Q261" s="338">
        <f t="shared" ref="Q261:Q324" si="57">IF(MID(A261,2,1)="0",SUMIF(PE_COG,MID(A261,1,1)&amp;"*",PE_P),
IF(AND(MID(A261,2,1)&gt;"0",MID(A261,3,1)="0"),SUMIF(PE_COG,MID(A261,1,2)&amp;"*",PE_P),
IF(MID(A261,3,1)&gt;"0",SUMIF(PE_COG,MID(A261,1,3)&amp;"*",PE_P),"")))</f>
        <v>0</v>
      </c>
      <c r="R261" s="338">
        <f t="shared" ref="R261:R324" si="58">IF(MID(A261,2,1)="0",SUMIF(PE_COG,MID(A261,1,1)&amp;"*",PE_A),
IF(AND(MID(A261,2,1)&gt;"0",MID(A261,3,1)="0"),SUMIF(PE_COG,MID(A261,1,2)&amp;"*",PE_A),
IF(MID(A261,3,1)&gt;"0",SUMIF(PE_COG,MID(A261,1,3)&amp;"*",PE_A),"")))
+IF(MID(A261,2,1)="0",SUMIF(PE_COG,MID(A261,1,1)&amp;"*",PE_M),
IF(AND(MID(A261,2,1)&gt;"0",MID(A261,3,1)="0"),SUMIF(PE_COG,MID(A261,1,2)&amp;"*",PE_M),
IF(MID(A261,3,1)&gt;"0",SUMIF(PE_COG,MID(A261,1,3)&amp;"*",PE_M),"")))
-IF(MID(A261,2,1)="0",SUMIF(PE_COG,MID(A261,1,1)&amp;"*",PE_D),
IF(AND(MID(A261,2,1)&gt;"0",MID(A261,3,1)="0"),SUMIF(PE_COG,MID(A261,1,2)&amp;"*",PE_D),
IF(MID(A261,3,1)&gt;"0",SUMIF(PE_COG,MID(A261,1,3)&amp;"*",PE_D),"")))</f>
        <v>0</v>
      </c>
    </row>
    <row r="262" spans="1:18" ht="12">
      <c r="A262" s="985">
        <v>5220</v>
      </c>
      <c r="B262" s="984" t="s">
        <v>2850</v>
      </c>
      <c r="C262" s="975" t="str">
        <f t="shared" si="50"/>
        <v>52200</v>
      </c>
      <c r="D262" s="401"/>
      <c r="E262" s="980"/>
      <c r="F262" s="980"/>
      <c r="G262" s="401" t="str">
        <f t="shared" ref="G262:G325" si="59">IF(MID(A262,2,1)="0",A262,"")</f>
        <v/>
      </c>
      <c r="H262" s="401" t="str">
        <f t="shared" ref="H262:H325" si="60">IF(AND(MID(A262,2,1)&gt;"0",MID(A262,3,1)="0"),A262,"")</f>
        <v/>
      </c>
      <c r="I262" s="401">
        <f t="shared" ref="I262:I325" si="61">IF(MID(A262,3,1)&gt;"0",A262,"")</f>
        <v>5220</v>
      </c>
      <c r="J262" s="981" t="str">
        <f t="shared" ref="J262:J325" si="62">+B262</f>
        <v>Aparatos deportivos</v>
      </c>
      <c r="K262" s="338">
        <f t="shared" si="51"/>
        <v>0</v>
      </c>
      <c r="L262" s="338">
        <f t="shared" si="52"/>
        <v>0</v>
      </c>
      <c r="M262" s="338">
        <f t="shared" si="53"/>
        <v>0</v>
      </c>
      <c r="N262" s="338">
        <f t="shared" si="54"/>
        <v>0</v>
      </c>
      <c r="O262" s="338">
        <f t="shared" si="55"/>
        <v>0</v>
      </c>
      <c r="P262" s="338">
        <f t="shared" si="56"/>
        <v>0</v>
      </c>
      <c r="Q262" s="338">
        <f t="shared" si="57"/>
        <v>0</v>
      </c>
      <c r="R262" s="338">
        <f t="shared" si="58"/>
        <v>0</v>
      </c>
    </row>
    <row r="263" spans="1:18" ht="12">
      <c r="A263" s="985">
        <v>5230</v>
      </c>
      <c r="B263" s="984" t="s">
        <v>2851</v>
      </c>
      <c r="C263" s="975" t="str">
        <f t="shared" si="50"/>
        <v>52300</v>
      </c>
      <c r="D263" s="401"/>
      <c r="E263" s="980"/>
      <c r="F263" s="980"/>
      <c r="G263" s="401" t="str">
        <f t="shared" si="59"/>
        <v/>
      </c>
      <c r="H263" s="401" t="str">
        <f t="shared" si="60"/>
        <v/>
      </c>
      <c r="I263" s="401">
        <f t="shared" si="61"/>
        <v>5230</v>
      </c>
      <c r="J263" s="981" t="str">
        <f t="shared" si="62"/>
        <v>Cámaras fotográficas y de video</v>
      </c>
      <c r="K263" s="338">
        <f t="shared" si="51"/>
        <v>0</v>
      </c>
      <c r="L263" s="338">
        <f t="shared" si="52"/>
        <v>0</v>
      </c>
      <c r="M263" s="338">
        <f t="shared" si="53"/>
        <v>0</v>
      </c>
      <c r="N263" s="338">
        <f t="shared" si="54"/>
        <v>0</v>
      </c>
      <c r="O263" s="338">
        <f t="shared" si="55"/>
        <v>0</v>
      </c>
      <c r="P263" s="338">
        <f t="shared" si="56"/>
        <v>0</v>
      </c>
      <c r="Q263" s="338">
        <f t="shared" si="57"/>
        <v>0</v>
      </c>
      <c r="R263" s="338">
        <f t="shared" si="58"/>
        <v>0</v>
      </c>
    </row>
    <row r="264" spans="1:18" ht="12">
      <c r="A264" s="985">
        <v>5290</v>
      </c>
      <c r="B264" s="984" t="s">
        <v>2852</v>
      </c>
      <c r="C264" s="975" t="str">
        <f t="shared" si="50"/>
        <v>52900</v>
      </c>
      <c r="D264" s="401"/>
      <c r="E264" s="980"/>
      <c r="F264" s="980"/>
      <c r="G264" s="401" t="str">
        <f t="shared" si="59"/>
        <v/>
      </c>
      <c r="H264" s="401" t="str">
        <f t="shared" si="60"/>
        <v/>
      </c>
      <c r="I264" s="401">
        <f t="shared" si="61"/>
        <v>5290</v>
      </c>
      <c r="J264" s="981" t="str">
        <f t="shared" si="62"/>
        <v>Otro mobiliario y equipo educacional y recreativo</v>
      </c>
      <c r="K264" s="338">
        <f t="shared" si="51"/>
        <v>0</v>
      </c>
      <c r="L264" s="338">
        <f t="shared" si="52"/>
        <v>0</v>
      </c>
      <c r="M264" s="338">
        <f t="shared" si="53"/>
        <v>0</v>
      </c>
      <c r="N264" s="338">
        <f t="shared" si="54"/>
        <v>0</v>
      </c>
      <c r="O264" s="338">
        <f t="shared" si="55"/>
        <v>0</v>
      </c>
      <c r="P264" s="338">
        <f t="shared" si="56"/>
        <v>0</v>
      </c>
      <c r="Q264" s="338">
        <f t="shared" si="57"/>
        <v>0</v>
      </c>
      <c r="R264" s="338">
        <f t="shared" si="58"/>
        <v>0</v>
      </c>
    </row>
    <row r="265" spans="1:18">
      <c r="A265" s="229">
        <v>5300</v>
      </c>
      <c r="B265" s="230" t="s">
        <v>23</v>
      </c>
      <c r="C265" s="975" t="str">
        <f t="shared" si="50"/>
        <v>53000</v>
      </c>
      <c r="D265" s="401"/>
      <c r="E265" s="980"/>
      <c r="F265" s="980"/>
      <c r="G265" s="401" t="str">
        <f t="shared" si="59"/>
        <v/>
      </c>
      <c r="H265" s="401">
        <f t="shared" si="60"/>
        <v>5300</v>
      </c>
      <c r="I265" s="401" t="str">
        <f t="shared" si="61"/>
        <v/>
      </c>
      <c r="J265" s="981" t="str">
        <f t="shared" si="62"/>
        <v>Equipo e instrumental médico y de laboratorio</v>
      </c>
      <c r="K265" s="338">
        <f t="shared" si="51"/>
        <v>0</v>
      </c>
      <c r="L265" s="338">
        <f t="shared" si="52"/>
        <v>0</v>
      </c>
      <c r="M265" s="338">
        <f t="shared" si="53"/>
        <v>0</v>
      </c>
      <c r="N265" s="338">
        <f t="shared" si="54"/>
        <v>0</v>
      </c>
      <c r="O265" s="338">
        <f t="shared" si="55"/>
        <v>0</v>
      </c>
      <c r="P265" s="338">
        <f t="shared" si="56"/>
        <v>0</v>
      </c>
      <c r="Q265" s="338">
        <f t="shared" si="57"/>
        <v>0</v>
      </c>
      <c r="R265" s="338">
        <f t="shared" si="58"/>
        <v>0</v>
      </c>
    </row>
    <row r="266" spans="1:18" ht="12">
      <c r="A266" s="985">
        <v>5310</v>
      </c>
      <c r="B266" s="984" t="s">
        <v>2853</v>
      </c>
      <c r="C266" s="975" t="str">
        <f t="shared" si="50"/>
        <v>53100</v>
      </c>
      <c r="D266" s="401"/>
      <c r="E266" s="980"/>
      <c r="F266" s="980"/>
      <c r="G266" s="401" t="str">
        <f t="shared" si="59"/>
        <v/>
      </c>
      <c r="H266" s="401" t="str">
        <f t="shared" si="60"/>
        <v/>
      </c>
      <c r="I266" s="401">
        <f t="shared" si="61"/>
        <v>5310</v>
      </c>
      <c r="J266" s="981" t="str">
        <f t="shared" si="62"/>
        <v>Equipo médico y de laboratorio</v>
      </c>
      <c r="K266" s="338">
        <f t="shared" si="51"/>
        <v>0</v>
      </c>
      <c r="L266" s="338">
        <f t="shared" si="52"/>
        <v>0</v>
      </c>
      <c r="M266" s="338">
        <f t="shared" si="53"/>
        <v>0</v>
      </c>
      <c r="N266" s="338">
        <f t="shared" si="54"/>
        <v>0</v>
      </c>
      <c r="O266" s="338">
        <f t="shared" si="55"/>
        <v>0</v>
      </c>
      <c r="P266" s="338">
        <f t="shared" si="56"/>
        <v>0</v>
      </c>
      <c r="Q266" s="338">
        <f t="shared" si="57"/>
        <v>0</v>
      </c>
      <c r="R266" s="338">
        <f t="shared" si="58"/>
        <v>0</v>
      </c>
    </row>
    <row r="267" spans="1:18" ht="12">
      <c r="A267" s="985">
        <v>5320</v>
      </c>
      <c r="B267" s="984" t="s">
        <v>2854</v>
      </c>
      <c r="C267" s="975" t="str">
        <f t="shared" si="50"/>
        <v>53200</v>
      </c>
      <c r="D267" s="401"/>
      <c r="E267" s="980"/>
      <c r="F267" s="980"/>
      <c r="G267" s="401" t="str">
        <f t="shared" si="59"/>
        <v/>
      </c>
      <c r="H267" s="401" t="str">
        <f t="shared" si="60"/>
        <v/>
      </c>
      <c r="I267" s="401">
        <f t="shared" si="61"/>
        <v>5320</v>
      </c>
      <c r="J267" s="981" t="str">
        <f t="shared" si="62"/>
        <v>Instrumental médico y de laboratorio</v>
      </c>
      <c r="K267" s="338">
        <f t="shared" si="51"/>
        <v>0</v>
      </c>
      <c r="L267" s="338">
        <f t="shared" si="52"/>
        <v>0</v>
      </c>
      <c r="M267" s="338">
        <f t="shared" si="53"/>
        <v>0</v>
      </c>
      <c r="N267" s="338">
        <f t="shared" si="54"/>
        <v>0</v>
      </c>
      <c r="O267" s="338">
        <f t="shared" si="55"/>
        <v>0</v>
      </c>
      <c r="P267" s="338">
        <f t="shared" si="56"/>
        <v>0</v>
      </c>
      <c r="Q267" s="338">
        <f t="shared" si="57"/>
        <v>0</v>
      </c>
      <c r="R267" s="338">
        <f t="shared" si="58"/>
        <v>0</v>
      </c>
    </row>
    <row r="268" spans="1:18">
      <c r="A268" s="229">
        <v>5400</v>
      </c>
      <c r="B268" s="230" t="s">
        <v>24</v>
      </c>
      <c r="C268" s="975" t="str">
        <f t="shared" si="50"/>
        <v>54000</v>
      </c>
      <c r="D268" s="401"/>
      <c r="E268" s="980"/>
      <c r="F268" s="980"/>
      <c r="G268" s="401" t="str">
        <f t="shared" si="59"/>
        <v/>
      </c>
      <c r="H268" s="401">
        <f t="shared" si="60"/>
        <v>5400</v>
      </c>
      <c r="I268" s="401" t="str">
        <f t="shared" si="61"/>
        <v/>
      </c>
      <c r="J268" s="981" t="str">
        <f t="shared" si="62"/>
        <v>Vehículos y equipo de transporte</v>
      </c>
      <c r="K268" s="338">
        <f t="shared" si="51"/>
        <v>666567.59</v>
      </c>
      <c r="L268" s="338">
        <f t="shared" si="52"/>
        <v>456930.41000000015</v>
      </c>
      <c r="M268" s="338">
        <f t="shared" si="53"/>
        <v>1123498</v>
      </c>
      <c r="N268" s="338">
        <f t="shared" si="54"/>
        <v>1123498</v>
      </c>
      <c r="O268" s="338">
        <f t="shared" si="55"/>
        <v>1123498</v>
      </c>
      <c r="P268" s="338">
        <f t="shared" si="56"/>
        <v>1123498</v>
      </c>
      <c r="Q268" s="338">
        <f t="shared" si="57"/>
        <v>1123498</v>
      </c>
      <c r="R268" s="338">
        <f t="shared" si="58"/>
        <v>0</v>
      </c>
    </row>
    <row r="269" spans="1:18" ht="12">
      <c r="A269" s="985">
        <v>5410</v>
      </c>
      <c r="B269" s="984" t="s">
        <v>2855</v>
      </c>
      <c r="C269" s="975" t="str">
        <f t="shared" si="50"/>
        <v>54100</v>
      </c>
      <c r="D269" s="401"/>
      <c r="E269" s="980"/>
      <c r="F269" s="980"/>
      <c r="G269" s="401" t="str">
        <f t="shared" si="59"/>
        <v/>
      </c>
      <c r="H269" s="401" t="str">
        <f t="shared" si="60"/>
        <v/>
      </c>
      <c r="I269" s="401">
        <f t="shared" si="61"/>
        <v>5410</v>
      </c>
      <c r="J269" s="981" t="str">
        <f t="shared" si="62"/>
        <v>Vehículos y equipo terrestre</v>
      </c>
      <c r="K269" s="338">
        <f t="shared" si="51"/>
        <v>666567.59</v>
      </c>
      <c r="L269" s="338">
        <f t="shared" si="52"/>
        <v>456930.41000000015</v>
      </c>
      <c r="M269" s="338">
        <f t="shared" si="53"/>
        <v>1123498</v>
      </c>
      <c r="N269" s="338">
        <f t="shared" si="54"/>
        <v>1123498</v>
      </c>
      <c r="O269" s="338">
        <f t="shared" si="55"/>
        <v>1123498</v>
      </c>
      <c r="P269" s="338">
        <f t="shared" si="56"/>
        <v>1123498</v>
      </c>
      <c r="Q269" s="338">
        <f t="shared" si="57"/>
        <v>1123498</v>
      </c>
      <c r="R269" s="338">
        <f t="shared" si="58"/>
        <v>0</v>
      </c>
    </row>
    <row r="270" spans="1:18" ht="12">
      <c r="A270" s="985">
        <v>5420</v>
      </c>
      <c r="B270" s="984" t="s">
        <v>2856</v>
      </c>
      <c r="C270" s="975" t="str">
        <f t="shared" ref="C270:C333" si="63">+A270&amp;0</f>
        <v>54200</v>
      </c>
      <c r="D270" s="401"/>
      <c r="E270" s="980"/>
      <c r="F270" s="980"/>
      <c r="G270" s="401" t="str">
        <f t="shared" si="59"/>
        <v/>
      </c>
      <c r="H270" s="401" t="str">
        <f t="shared" si="60"/>
        <v/>
      </c>
      <c r="I270" s="401">
        <f t="shared" si="61"/>
        <v>5420</v>
      </c>
      <c r="J270" s="981" t="str">
        <f t="shared" si="62"/>
        <v>Carrocerías y remolques</v>
      </c>
      <c r="K270" s="338">
        <f t="shared" si="51"/>
        <v>0</v>
      </c>
      <c r="L270" s="338">
        <f t="shared" si="52"/>
        <v>0</v>
      </c>
      <c r="M270" s="338">
        <f t="shared" si="53"/>
        <v>0</v>
      </c>
      <c r="N270" s="338">
        <f t="shared" si="54"/>
        <v>0</v>
      </c>
      <c r="O270" s="338">
        <f t="shared" si="55"/>
        <v>0</v>
      </c>
      <c r="P270" s="338">
        <f t="shared" si="56"/>
        <v>0</v>
      </c>
      <c r="Q270" s="338">
        <f t="shared" si="57"/>
        <v>0</v>
      </c>
      <c r="R270" s="338">
        <f t="shared" si="58"/>
        <v>0</v>
      </c>
    </row>
    <row r="271" spans="1:18" ht="12">
      <c r="A271" s="985">
        <v>5430</v>
      </c>
      <c r="B271" s="984" t="s">
        <v>2857</v>
      </c>
      <c r="C271" s="975" t="str">
        <f t="shared" si="63"/>
        <v>54300</v>
      </c>
      <c r="D271" s="401"/>
      <c r="E271" s="980"/>
      <c r="F271" s="980"/>
      <c r="G271" s="401" t="str">
        <f t="shared" si="59"/>
        <v/>
      </c>
      <c r="H271" s="401" t="str">
        <f t="shared" si="60"/>
        <v/>
      </c>
      <c r="I271" s="401">
        <f t="shared" si="61"/>
        <v>5430</v>
      </c>
      <c r="J271" s="981" t="str">
        <f t="shared" si="62"/>
        <v>Equipo aeroespacial</v>
      </c>
      <c r="K271" s="338">
        <f t="shared" si="51"/>
        <v>0</v>
      </c>
      <c r="L271" s="338">
        <f t="shared" si="52"/>
        <v>0</v>
      </c>
      <c r="M271" s="338">
        <f t="shared" si="53"/>
        <v>0</v>
      </c>
      <c r="N271" s="338">
        <f t="shared" si="54"/>
        <v>0</v>
      </c>
      <c r="O271" s="338">
        <f t="shared" si="55"/>
        <v>0</v>
      </c>
      <c r="P271" s="338">
        <f t="shared" si="56"/>
        <v>0</v>
      </c>
      <c r="Q271" s="338">
        <f t="shared" si="57"/>
        <v>0</v>
      </c>
      <c r="R271" s="338">
        <f t="shared" si="58"/>
        <v>0</v>
      </c>
    </row>
    <row r="272" spans="1:18" ht="12">
      <c r="A272" s="985">
        <v>5440</v>
      </c>
      <c r="B272" s="984" t="s">
        <v>2858</v>
      </c>
      <c r="C272" s="975" t="str">
        <f t="shared" si="63"/>
        <v>54400</v>
      </c>
      <c r="D272" s="401"/>
      <c r="E272" s="980"/>
      <c r="F272" s="980"/>
      <c r="G272" s="401" t="str">
        <f t="shared" si="59"/>
        <v/>
      </c>
      <c r="H272" s="401" t="str">
        <f t="shared" si="60"/>
        <v/>
      </c>
      <c r="I272" s="401">
        <f t="shared" si="61"/>
        <v>5440</v>
      </c>
      <c r="J272" s="981" t="str">
        <f t="shared" si="62"/>
        <v>Equipo ferroviario</v>
      </c>
      <c r="K272" s="338">
        <f t="shared" si="51"/>
        <v>0</v>
      </c>
      <c r="L272" s="338">
        <f t="shared" si="52"/>
        <v>0</v>
      </c>
      <c r="M272" s="338">
        <f t="shared" si="53"/>
        <v>0</v>
      </c>
      <c r="N272" s="338">
        <f t="shared" si="54"/>
        <v>0</v>
      </c>
      <c r="O272" s="338">
        <f t="shared" si="55"/>
        <v>0</v>
      </c>
      <c r="P272" s="338">
        <f t="shared" si="56"/>
        <v>0</v>
      </c>
      <c r="Q272" s="338">
        <f t="shared" si="57"/>
        <v>0</v>
      </c>
      <c r="R272" s="338">
        <f t="shared" si="58"/>
        <v>0</v>
      </c>
    </row>
    <row r="273" spans="1:18" ht="12">
      <c r="A273" s="985">
        <v>5450</v>
      </c>
      <c r="B273" s="984" t="s">
        <v>2859</v>
      </c>
      <c r="C273" s="975" t="str">
        <f t="shared" si="63"/>
        <v>54500</v>
      </c>
      <c r="D273" s="401"/>
      <c r="E273" s="980"/>
      <c r="F273" s="980"/>
      <c r="G273" s="401" t="str">
        <f t="shared" si="59"/>
        <v/>
      </c>
      <c r="H273" s="401" t="str">
        <f t="shared" si="60"/>
        <v/>
      </c>
      <c r="I273" s="401">
        <f t="shared" si="61"/>
        <v>5450</v>
      </c>
      <c r="J273" s="981" t="str">
        <f t="shared" si="62"/>
        <v>Embarcaciones</v>
      </c>
      <c r="K273" s="338">
        <f t="shared" si="51"/>
        <v>0</v>
      </c>
      <c r="L273" s="338">
        <f t="shared" si="52"/>
        <v>0</v>
      </c>
      <c r="M273" s="338">
        <f t="shared" si="53"/>
        <v>0</v>
      </c>
      <c r="N273" s="338">
        <f t="shared" si="54"/>
        <v>0</v>
      </c>
      <c r="O273" s="338">
        <f t="shared" si="55"/>
        <v>0</v>
      </c>
      <c r="P273" s="338">
        <f t="shared" si="56"/>
        <v>0</v>
      </c>
      <c r="Q273" s="338">
        <f t="shared" si="57"/>
        <v>0</v>
      </c>
      <c r="R273" s="338">
        <f t="shared" si="58"/>
        <v>0</v>
      </c>
    </row>
    <row r="274" spans="1:18" ht="12">
      <c r="A274" s="985">
        <v>5490</v>
      </c>
      <c r="B274" s="984" t="s">
        <v>2860</v>
      </c>
      <c r="C274" s="975" t="str">
        <f t="shared" si="63"/>
        <v>54900</v>
      </c>
      <c r="D274" s="401"/>
      <c r="E274" s="980"/>
      <c r="F274" s="980"/>
      <c r="G274" s="401" t="str">
        <f t="shared" si="59"/>
        <v/>
      </c>
      <c r="H274" s="401" t="str">
        <f t="shared" si="60"/>
        <v/>
      </c>
      <c r="I274" s="401">
        <f t="shared" si="61"/>
        <v>5490</v>
      </c>
      <c r="J274" s="981" t="str">
        <f t="shared" si="62"/>
        <v>Otros equipos de transporte</v>
      </c>
      <c r="K274" s="338">
        <f t="shared" si="51"/>
        <v>0</v>
      </c>
      <c r="L274" s="338">
        <f t="shared" si="52"/>
        <v>0</v>
      </c>
      <c r="M274" s="338">
        <f t="shared" si="53"/>
        <v>0</v>
      </c>
      <c r="N274" s="338">
        <f t="shared" si="54"/>
        <v>0</v>
      </c>
      <c r="O274" s="338">
        <f t="shared" si="55"/>
        <v>0</v>
      </c>
      <c r="P274" s="338">
        <f t="shared" si="56"/>
        <v>0</v>
      </c>
      <c r="Q274" s="338">
        <f t="shared" si="57"/>
        <v>0</v>
      </c>
      <c r="R274" s="338">
        <f t="shared" si="58"/>
        <v>0</v>
      </c>
    </row>
    <row r="275" spans="1:18">
      <c r="A275" s="229">
        <v>5500</v>
      </c>
      <c r="B275" s="230" t="s">
        <v>25</v>
      </c>
      <c r="C275" s="975" t="str">
        <f t="shared" si="63"/>
        <v>55000</v>
      </c>
      <c r="D275" s="401"/>
      <c r="E275" s="980"/>
      <c r="F275" s="980"/>
      <c r="G275" s="401" t="str">
        <f t="shared" si="59"/>
        <v/>
      </c>
      <c r="H275" s="401">
        <f t="shared" si="60"/>
        <v>5500</v>
      </c>
      <c r="I275" s="401" t="str">
        <f t="shared" si="61"/>
        <v/>
      </c>
      <c r="J275" s="981" t="str">
        <f t="shared" si="62"/>
        <v>Equipo de defensa y seguridad</v>
      </c>
      <c r="K275" s="338">
        <f t="shared" si="51"/>
        <v>0</v>
      </c>
      <c r="L275" s="338">
        <f t="shared" si="52"/>
        <v>0</v>
      </c>
      <c r="M275" s="338">
        <f t="shared" si="53"/>
        <v>0</v>
      </c>
      <c r="N275" s="338">
        <f t="shared" si="54"/>
        <v>0</v>
      </c>
      <c r="O275" s="338">
        <f t="shared" si="55"/>
        <v>0</v>
      </c>
      <c r="P275" s="338">
        <f t="shared" si="56"/>
        <v>0</v>
      </c>
      <c r="Q275" s="338">
        <f t="shared" si="57"/>
        <v>0</v>
      </c>
      <c r="R275" s="338">
        <f t="shared" si="58"/>
        <v>0</v>
      </c>
    </row>
    <row r="276" spans="1:18" ht="12">
      <c r="A276" s="985">
        <v>5510</v>
      </c>
      <c r="B276" s="984" t="s">
        <v>25</v>
      </c>
      <c r="C276" s="975" t="str">
        <f t="shared" si="63"/>
        <v>55100</v>
      </c>
      <c r="D276" s="401"/>
      <c r="E276" s="980"/>
      <c r="F276" s="980"/>
      <c r="G276" s="401" t="str">
        <f t="shared" si="59"/>
        <v/>
      </c>
      <c r="H276" s="401" t="str">
        <f t="shared" si="60"/>
        <v/>
      </c>
      <c r="I276" s="401">
        <f t="shared" si="61"/>
        <v>5510</v>
      </c>
      <c r="J276" s="981" t="str">
        <f t="shared" si="62"/>
        <v>Equipo de defensa y seguridad</v>
      </c>
      <c r="K276" s="338">
        <f t="shared" si="51"/>
        <v>0</v>
      </c>
      <c r="L276" s="338">
        <f t="shared" si="52"/>
        <v>0</v>
      </c>
      <c r="M276" s="338">
        <f t="shared" si="53"/>
        <v>0</v>
      </c>
      <c r="N276" s="338">
        <f t="shared" si="54"/>
        <v>0</v>
      </c>
      <c r="O276" s="338">
        <f t="shared" si="55"/>
        <v>0</v>
      </c>
      <c r="P276" s="338">
        <f t="shared" si="56"/>
        <v>0</v>
      </c>
      <c r="Q276" s="338">
        <f t="shared" si="57"/>
        <v>0</v>
      </c>
      <c r="R276" s="338">
        <f t="shared" si="58"/>
        <v>0</v>
      </c>
    </row>
    <row r="277" spans="1:18">
      <c r="A277" s="229">
        <v>5600</v>
      </c>
      <c r="B277" s="230" t="s">
        <v>26</v>
      </c>
      <c r="C277" s="975" t="str">
        <f t="shared" si="63"/>
        <v>56000</v>
      </c>
      <c r="D277" s="401"/>
      <c r="E277" s="980"/>
      <c r="F277" s="980"/>
      <c r="G277" s="401" t="str">
        <f t="shared" si="59"/>
        <v/>
      </c>
      <c r="H277" s="401">
        <f t="shared" si="60"/>
        <v>5600</v>
      </c>
      <c r="I277" s="401" t="str">
        <f t="shared" si="61"/>
        <v/>
      </c>
      <c r="J277" s="981" t="str">
        <f t="shared" si="62"/>
        <v>Maquinaria, otros equipos y herramientas</v>
      </c>
      <c r="K277" s="338">
        <f t="shared" si="51"/>
        <v>0</v>
      </c>
      <c r="L277" s="338">
        <f t="shared" si="52"/>
        <v>93663.739999999991</v>
      </c>
      <c r="M277" s="338">
        <f t="shared" si="53"/>
        <v>93663.739999999991</v>
      </c>
      <c r="N277" s="338">
        <f t="shared" si="54"/>
        <v>93663.739999999991</v>
      </c>
      <c r="O277" s="338">
        <f t="shared" si="55"/>
        <v>93663.739999999991</v>
      </c>
      <c r="P277" s="338">
        <f t="shared" si="56"/>
        <v>93663.739999999991</v>
      </c>
      <c r="Q277" s="338">
        <f t="shared" si="57"/>
        <v>93663.739999999991</v>
      </c>
      <c r="R277" s="338">
        <f t="shared" si="58"/>
        <v>0</v>
      </c>
    </row>
    <row r="278" spans="1:18" ht="12">
      <c r="A278" s="985">
        <v>5610</v>
      </c>
      <c r="B278" s="984" t="s">
        <v>2861</v>
      </c>
      <c r="C278" s="975" t="str">
        <f t="shared" si="63"/>
        <v>56100</v>
      </c>
      <c r="D278" s="401"/>
      <c r="E278" s="980"/>
      <c r="F278" s="980"/>
      <c r="G278" s="401" t="str">
        <f t="shared" si="59"/>
        <v/>
      </c>
      <c r="H278" s="401" t="str">
        <f t="shared" si="60"/>
        <v/>
      </c>
      <c r="I278" s="401">
        <f t="shared" si="61"/>
        <v>5610</v>
      </c>
      <c r="J278" s="981" t="str">
        <f t="shared" si="62"/>
        <v>Maquinaria y equipo agropecuario</v>
      </c>
      <c r="K278" s="338">
        <f t="shared" si="51"/>
        <v>0</v>
      </c>
      <c r="L278" s="338">
        <f t="shared" si="52"/>
        <v>0</v>
      </c>
      <c r="M278" s="338">
        <f t="shared" si="53"/>
        <v>0</v>
      </c>
      <c r="N278" s="338">
        <f t="shared" si="54"/>
        <v>0</v>
      </c>
      <c r="O278" s="338">
        <f t="shared" si="55"/>
        <v>0</v>
      </c>
      <c r="P278" s="338">
        <f t="shared" si="56"/>
        <v>0</v>
      </c>
      <c r="Q278" s="338">
        <f t="shared" si="57"/>
        <v>0</v>
      </c>
      <c r="R278" s="338">
        <f t="shared" si="58"/>
        <v>0</v>
      </c>
    </row>
    <row r="279" spans="1:18" ht="12">
      <c r="A279" s="985">
        <v>5620</v>
      </c>
      <c r="B279" s="984" t="s">
        <v>2862</v>
      </c>
      <c r="C279" s="975" t="str">
        <f t="shared" si="63"/>
        <v>56200</v>
      </c>
      <c r="D279" s="401"/>
      <c r="E279" s="980"/>
      <c r="F279" s="980"/>
      <c r="G279" s="401" t="str">
        <f t="shared" si="59"/>
        <v/>
      </c>
      <c r="H279" s="401" t="str">
        <f t="shared" si="60"/>
        <v/>
      </c>
      <c r="I279" s="401">
        <f t="shared" si="61"/>
        <v>5620</v>
      </c>
      <c r="J279" s="981" t="str">
        <f t="shared" si="62"/>
        <v>Maquinaria y equipo industrial</v>
      </c>
      <c r="K279" s="338">
        <f t="shared" si="51"/>
        <v>0</v>
      </c>
      <c r="L279" s="338">
        <f t="shared" si="52"/>
        <v>0</v>
      </c>
      <c r="M279" s="338">
        <f t="shared" si="53"/>
        <v>0</v>
      </c>
      <c r="N279" s="338">
        <f t="shared" si="54"/>
        <v>0</v>
      </c>
      <c r="O279" s="338">
        <f t="shared" si="55"/>
        <v>0</v>
      </c>
      <c r="P279" s="338">
        <f t="shared" si="56"/>
        <v>0</v>
      </c>
      <c r="Q279" s="338">
        <f t="shared" si="57"/>
        <v>0</v>
      </c>
      <c r="R279" s="338">
        <f t="shared" si="58"/>
        <v>0</v>
      </c>
    </row>
    <row r="280" spans="1:18" ht="12">
      <c r="A280" s="985">
        <v>5630</v>
      </c>
      <c r="B280" s="984" t="s">
        <v>2863</v>
      </c>
      <c r="C280" s="975" t="str">
        <f t="shared" si="63"/>
        <v>56300</v>
      </c>
      <c r="D280" s="401"/>
      <c r="E280" s="980"/>
      <c r="F280" s="980"/>
      <c r="G280" s="401" t="str">
        <f t="shared" si="59"/>
        <v/>
      </c>
      <c r="H280" s="401" t="str">
        <f t="shared" si="60"/>
        <v/>
      </c>
      <c r="I280" s="401">
        <f t="shared" si="61"/>
        <v>5630</v>
      </c>
      <c r="J280" s="981" t="str">
        <f t="shared" si="62"/>
        <v>Maquinaria y equipo de construcción</v>
      </c>
      <c r="K280" s="338">
        <f t="shared" si="51"/>
        <v>0</v>
      </c>
      <c r="L280" s="338">
        <f t="shared" si="52"/>
        <v>0</v>
      </c>
      <c r="M280" s="338">
        <f t="shared" si="53"/>
        <v>0</v>
      </c>
      <c r="N280" s="338">
        <f t="shared" si="54"/>
        <v>0</v>
      </c>
      <c r="O280" s="338">
        <f t="shared" si="55"/>
        <v>0</v>
      </c>
      <c r="P280" s="338">
        <f t="shared" si="56"/>
        <v>0</v>
      </c>
      <c r="Q280" s="338">
        <f t="shared" si="57"/>
        <v>0</v>
      </c>
      <c r="R280" s="338">
        <f t="shared" si="58"/>
        <v>0</v>
      </c>
    </row>
    <row r="281" spans="1:18" ht="12">
      <c r="A281" s="985">
        <v>5640</v>
      </c>
      <c r="B281" s="984" t="s">
        <v>2864</v>
      </c>
      <c r="C281" s="975" t="str">
        <f t="shared" si="63"/>
        <v>56400</v>
      </c>
      <c r="D281" s="401"/>
      <c r="E281" s="980"/>
      <c r="F281" s="980"/>
      <c r="G281" s="401" t="str">
        <f t="shared" si="59"/>
        <v/>
      </c>
      <c r="H281" s="401" t="str">
        <f t="shared" si="60"/>
        <v/>
      </c>
      <c r="I281" s="401">
        <f t="shared" si="61"/>
        <v>5640</v>
      </c>
      <c r="J281" s="981" t="str">
        <f t="shared" si="62"/>
        <v>Sistemas de aire acondicionado, calefacción y de refrigeración industrial y comercial</v>
      </c>
      <c r="K281" s="338">
        <f t="shared" si="51"/>
        <v>0</v>
      </c>
      <c r="L281" s="338">
        <f t="shared" si="52"/>
        <v>0</v>
      </c>
      <c r="M281" s="338">
        <f t="shared" si="53"/>
        <v>0</v>
      </c>
      <c r="N281" s="338">
        <f t="shared" si="54"/>
        <v>0</v>
      </c>
      <c r="O281" s="338">
        <f t="shared" si="55"/>
        <v>0</v>
      </c>
      <c r="P281" s="338">
        <f t="shared" si="56"/>
        <v>0</v>
      </c>
      <c r="Q281" s="338">
        <f t="shared" si="57"/>
        <v>0</v>
      </c>
      <c r="R281" s="338">
        <f t="shared" si="58"/>
        <v>0</v>
      </c>
    </row>
    <row r="282" spans="1:18" ht="12">
      <c r="A282" s="985">
        <v>5650</v>
      </c>
      <c r="B282" s="984" t="s">
        <v>2865</v>
      </c>
      <c r="C282" s="975" t="str">
        <f t="shared" si="63"/>
        <v>56500</v>
      </c>
      <c r="D282" s="401"/>
      <c r="E282" s="980"/>
      <c r="F282" s="980"/>
      <c r="G282" s="401" t="str">
        <f t="shared" si="59"/>
        <v/>
      </c>
      <c r="H282" s="401" t="str">
        <f t="shared" si="60"/>
        <v/>
      </c>
      <c r="I282" s="401">
        <f t="shared" si="61"/>
        <v>5650</v>
      </c>
      <c r="J282" s="981" t="str">
        <f t="shared" si="62"/>
        <v>Equipo de comunicación y telecomunicación</v>
      </c>
      <c r="K282" s="338">
        <f t="shared" si="51"/>
        <v>0</v>
      </c>
      <c r="L282" s="338">
        <f t="shared" si="52"/>
        <v>93663.739999999991</v>
      </c>
      <c r="M282" s="338">
        <f t="shared" si="53"/>
        <v>93663.739999999991</v>
      </c>
      <c r="N282" s="338">
        <f t="shared" si="54"/>
        <v>93663.739999999991</v>
      </c>
      <c r="O282" s="338">
        <f t="shared" si="55"/>
        <v>93663.739999999991</v>
      </c>
      <c r="P282" s="338">
        <f t="shared" si="56"/>
        <v>93663.739999999991</v>
      </c>
      <c r="Q282" s="338">
        <f t="shared" si="57"/>
        <v>93663.739999999991</v>
      </c>
      <c r="R282" s="338">
        <f t="shared" si="58"/>
        <v>0</v>
      </c>
    </row>
    <row r="283" spans="1:18" ht="12">
      <c r="A283" s="985">
        <v>5660</v>
      </c>
      <c r="B283" s="984" t="s">
        <v>2866</v>
      </c>
      <c r="C283" s="975" t="str">
        <f t="shared" si="63"/>
        <v>56600</v>
      </c>
      <c r="D283" s="401"/>
      <c r="E283" s="980"/>
      <c r="F283" s="980"/>
      <c r="G283" s="401" t="str">
        <f t="shared" si="59"/>
        <v/>
      </c>
      <c r="H283" s="401" t="str">
        <f t="shared" si="60"/>
        <v/>
      </c>
      <c r="I283" s="401">
        <f t="shared" si="61"/>
        <v>5660</v>
      </c>
      <c r="J283" s="981" t="str">
        <f t="shared" si="62"/>
        <v>Equipos de generación eléctrica, aparatos y accesorios eléctricos</v>
      </c>
      <c r="K283" s="338">
        <f t="shared" si="51"/>
        <v>0</v>
      </c>
      <c r="L283" s="338">
        <f t="shared" si="52"/>
        <v>0</v>
      </c>
      <c r="M283" s="338">
        <f t="shared" si="53"/>
        <v>0</v>
      </c>
      <c r="N283" s="338">
        <f t="shared" si="54"/>
        <v>0</v>
      </c>
      <c r="O283" s="338">
        <f t="shared" si="55"/>
        <v>0</v>
      </c>
      <c r="P283" s="338">
        <f t="shared" si="56"/>
        <v>0</v>
      </c>
      <c r="Q283" s="338">
        <f t="shared" si="57"/>
        <v>0</v>
      </c>
      <c r="R283" s="338">
        <f t="shared" si="58"/>
        <v>0</v>
      </c>
    </row>
    <row r="284" spans="1:18" ht="12">
      <c r="A284" s="985">
        <v>5670</v>
      </c>
      <c r="B284" s="984" t="s">
        <v>2867</v>
      </c>
      <c r="C284" s="975" t="str">
        <f t="shared" si="63"/>
        <v>56700</v>
      </c>
      <c r="D284" s="401"/>
      <c r="E284" s="980"/>
      <c r="F284" s="980"/>
      <c r="G284" s="401" t="str">
        <f t="shared" si="59"/>
        <v/>
      </c>
      <c r="H284" s="401" t="str">
        <f t="shared" si="60"/>
        <v/>
      </c>
      <c r="I284" s="401">
        <f t="shared" si="61"/>
        <v>5670</v>
      </c>
      <c r="J284" s="981" t="str">
        <f t="shared" si="62"/>
        <v>Herramientas y máquinas-herramienta</v>
      </c>
      <c r="K284" s="338">
        <f t="shared" si="51"/>
        <v>0</v>
      </c>
      <c r="L284" s="338">
        <f t="shared" si="52"/>
        <v>0</v>
      </c>
      <c r="M284" s="338">
        <f t="shared" si="53"/>
        <v>0</v>
      </c>
      <c r="N284" s="338">
        <f t="shared" si="54"/>
        <v>0</v>
      </c>
      <c r="O284" s="338">
        <f t="shared" si="55"/>
        <v>0</v>
      </c>
      <c r="P284" s="338">
        <f t="shared" si="56"/>
        <v>0</v>
      </c>
      <c r="Q284" s="338">
        <f t="shared" si="57"/>
        <v>0</v>
      </c>
      <c r="R284" s="338">
        <f t="shared" si="58"/>
        <v>0</v>
      </c>
    </row>
    <row r="285" spans="1:18" ht="12">
      <c r="A285" s="985">
        <v>5690</v>
      </c>
      <c r="B285" s="984" t="s">
        <v>2868</v>
      </c>
      <c r="C285" s="975" t="str">
        <f t="shared" si="63"/>
        <v>56900</v>
      </c>
      <c r="D285" s="401"/>
      <c r="E285" s="980"/>
      <c r="F285" s="980"/>
      <c r="G285" s="401" t="str">
        <f t="shared" si="59"/>
        <v/>
      </c>
      <c r="H285" s="401" t="str">
        <f t="shared" si="60"/>
        <v/>
      </c>
      <c r="I285" s="401">
        <f t="shared" si="61"/>
        <v>5690</v>
      </c>
      <c r="J285" s="981" t="str">
        <f t="shared" si="62"/>
        <v>Otros equipos</v>
      </c>
      <c r="K285" s="338">
        <f t="shared" si="51"/>
        <v>0</v>
      </c>
      <c r="L285" s="338">
        <f t="shared" si="52"/>
        <v>0</v>
      </c>
      <c r="M285" s="338">
        <f t="shared" si="53"/>
        <v>0</v>
      </c>
      <c r="N285" s="338">
        <f t="shared" si="54"/>
        <v>0</v>
      </c>
      <c r="O285" s="338">
        <f t="shared" si="55"/>
        <v>0</v>
      </c>
      <c r="P285" s="338">
        <f t="shared" si="56"/>
        <v>0</v>
      </c>
      <c r="Q285" s="338">
        <f t="shared" si="57"/>
        <v>0</v>
      </c>
      <c r="R285" s="338">
        <f t="shared" si="58"/>
        <v>0</v>
      </c>
    </row>
    <row r="286" spans="1:18">
      <c r="A286" s="229">
        <v>5700</v>
      </c>
      <c r="B286" s="230" t="s">
        <v>27</v>
      </c>
      <c r="C286" s="975" t="str">
        <f t="shared" si="63"/>
        <v>57000</v>
      </c>
      <c r="D286" s="401"/>
      <c r="E286" s="980"/>
      <c r="F286" s="980"/>
      <c r="G286" s="401" t="str">
        <f t="shared" si="59"/>
        <v/>
      </c>
      <c r="H286" s="401">
        <f t="shared" si="60"/>
        <v>5700</v>
      </c>
      <c r="I286" s="401" t="str">
        <f t="shared" si="61"/>
        <v/>
      </c>
      <c r="J286" s="981" t="str">
        <f t="shared" si="62"/>
        <v>Activos biológicos</v>
      </c>
      <c r="K286" s="338">
        <f t="shared" si="51"/>
        <v>0</v>
      </c>
      <c r="L286" s="338">
        <f t="shared" si="52"/>
        <v>0</v>
      </c>
      <c r="M286" s="338">
        <f t="shared" si="53"/>
        <v>0</v>
      </c>
      <c r="N286" s="338">
        <f t="shared" si="54"/>
        <v>0</v>
      </c>
      <c r="O286" s="338">
        <f t="shared" si="55"/>
        <v>0</v>
      </c>
      <c r="P286" s="338">
        <f t="shared" si="56"/>
        <v>0</v>
      </c>
      <c r="Q286" s="338">
        <f t="shared" si="57"/>
        <v>0</v>
      </c>
      <c r="R286" s="338">
        <f t="shared" si="58"/>
        <v>0</v>
      </c>
    </row>
    <row r="287" spans="1:18" ht="12">
      <c r="A287" s="985">
        <v>5710</v>
      </c>
      <c r="B287" s="984" t="s">
        <v>2869</v>
      </c>
      <c r="C287" s="975" t="str">
        <f t="shared" si="63"/>
        <v>57100</v>
      </c>
      <c r="D287" s="401"/>
      <c r="E287" s="980"/>
      <c r="F287" s="980"/>
      <c r="G287" s="401" t="str">
        <f t="shared" si="59"/>
        <v/>
      </c>
      <c r="H287" s="401" t="str">
        <f t="shared" si="60"/>
        <v/>
      </c>
      <c r="I287" s="401">
        <f t="shared" si="61"/>
        <v>5710</v>
      </c>
      <c r="J287" s="981" t="str">
        <f t="shared" si="62"/>
        <v>Bovinos</v>
      </c>
      <c r="K287" s="338">
        <f t="shared" si="51"/>
        <v>0</v>
      </c>
      <c r="L287" s="338">
        <f t="shared" si="52"/>
        <v>0</v>
      </c>
      <c r="M287" s="338">
        <f t="shared" si="53"/>
        <v>0</v>
      </c>
      <c r="N287" s="338">
        <f t="shared" si="54"/>
        <v>0</v>
      </c>
      <c r="O287" s="338">
        <f t="shared" si="55"/>
        <v>0</v>
      </c>
      <c r="P287" s="338">
        <f t="shared" si="56"/>
        <v>0</v>
      </c>
      <c r="Q287" s="338">
        <f t="shared" si="57"/>
        <v>0</v>
      </c>
      <c r="R287" s="338">
        <f t="shared" si="58"/>
        <v>0</v>
      </c>
    </row>
    <row r="288" spans="1:18" ht="12">
      <c r="A288" s="985">
        <v>5720</v>
      </c>
      <c r="B288" s="984" t="s">
        <v>2870</v>
      </c>
      <c r="C288" s="975" t="str">
        <f t="shared" si="63"/>
        <v>57200</v>
      </c>
      <c r="D288" s="401"/>
      <c r="E288" s="980"/>
      <c r="F288" s="980"/>
      <c r="G288" s="401" t="str">
        <f t="shared" si="59"/>
        <v/>
      </c>
      <c r="H288" s="401" t="str">
        <f t="shared" si="60"/>
        <v/>
      </c>
      <c r="I288" s="401">
        <f t="shared" si="61"/>
        <v>5720</v>
      </c>
      <c r="J288" s="981" t="str">
        <f t="shared" si="62"/>
        <v>Porcinos</v>
      </c>
      <c r="K288" s="338">
        <f t="shared" si="51"/>
        <v>0</v>
      </c>
      <c r="L288" s="338">
        <f t="shared" si="52"/>
        <v>0</v>
      </c>
      <c r="M288" s="338">
        <f t="shared" si="53"/>
        <v>0</v>
      </c>
      <c r="N288" s="338">
        <f t="shared" si="54"/>
        <v>0</v>
      </c>
      <c r="O288" s="338">
        <f t="shared" si="55"/>
        <v>0</v>
      </c>
      <c r="P288" s="338">
        <f t="shared" si="56"/>
        <v>0</v>
      </c>
      <c r="Q288" s="338">
        <f t="shared" si="57"/>
        <v>0</v>
      </c>
      <c r="R288" s="338">
        <f t="shared" si="58"/>
        <v>0</v>
      </c>
    </row>
    <row r="289" spans="1:18" ht="12">
      <c r="A289" s="985">
        <v>5730</v>
      </c>
      <c r="B289" s="984" t="s">
        <v>2871</v>
      </c>
      <c r="C289" s="975" t="str">
        <f t="shared" si="63"/>
        <v>57300</v>
      </c>
      <c r="D289" s="401"/>
      <c r="E289" s="980"/>
      <c r="F289" s="980"/>
      <c r="G289" s="401" t="str">
        <f t="shared" si="59"/>
        <v/>
      </c>
      <c r="H289" s="401" t="str">
        <f t="shared" si="60"/>
        <v/>
      </c>
      <c r="I289" s="401">
        <f t="shared" si="61"/>
        <v>5730</v>
      </c>
      <c r="J289" s="981" t="str">
        <f t="shared" si="62"/>
        <v>Aves</v>
      </c>
      <c r="K289" s="338">
        <f t="shared" si="51"/>
        <v>0</v>
      </c>
      <c r="L289" s="338">
        <f t="shared" si="52"/>
        <v>0</v>
      </c>
      <c r="M289" s="338">
        <f t="shared" si="53"/>
        <v>0</v>
      </c>
      <c r="N289" s="338">
        <f t="shared" si="54"/>
        <v>0</v>
      </c>
      <c r="O289" s="338">
        <f t="shared" si="55"/>
        <v>0</v>
      </c>
      <c r="P289" s="338">
        <f t="shared" si="56"/>
        <v>0</v>
      </c>
      <c r="Q289" s="338">
        <f t="shared" si="57"/>
        <v>0</v>
      </c>
      <c r="R289" s="338">
        <f t="shared" si="58"/>
        <v>0</v>
      </c>
    </row>
    <row r="290" spans="1:18" ht="12">
      <c r="A290" s="985">
        <v>5740</v>
      </c>
      <c r="B290" s="984" t="s">
        <v>2872</v>
      </c>
      <c r="C290" s="975" t="str">
        <f t="shared" si="63"/>
        <v>57400</v>
      </c>
      <c r="D290" s="401"/>
      <c r="E290" s="980"/>
      <c r="F290" s="980"/>
      <c r="G290" s="401" t="str">
        <f t="shared" si="59"/>
        <v/>
      </c>
      <c r="H290" s="401" t="str">
        <f t="shared" si="60"/>
        <v/>
      </c>
      <c r="I290" s="401">
        <f t="shared" si="61"/>
        <v>5740</v>
      </c>
      <c r="J290" s="981" t="str">
        <f t="shared" si="62"/>
        <v>Ovinos y caprinos</v>
      </c>
      <c r="K290" s="338">
        <f t="shared" si="51"/>
        <v>0</v>
      </c>
      <c r="L290" s="338">
        <f t="shared" si="52"/>
        <v>0</v>
      </c>
      <c r="M290" s="338">
        <f t="shared" si="53"/>
        <v>0</v>
      </c>
      <c r="N290" s="338">
        <f t="shared" si="54"/>
        <v>0</v>
      </c>
      <c r="O290" s="338">
        <f t="shared" si="55"/>
        <v>0</v>
      </c>
      <c r="P290" s="338">
        <f t="shared" si="56"/>
        <v>0</v>
      </c>
      <c r="Q290" s="338">
        <f t="shared" si="57"/>
        <v>0</v>
      </c>
      <c r="R290" s="338">
        <f t="shared" si="58"/>
        <v>0</v>
      </c>
    </row>
    <row r="291" spans="1:18" ht="12">
      <c r="A291" s="985">
        <v>5750</v>
      </c>
      <c r="B291" s="984" t="s">
        <v>2873</v>
      </c>
      <c r="C291" s="975" t="str">
        <f t="shared" si="63"/>
        <v>57500</v>
      </c>
      <c r="D291" s="401"/>
      <c r="E291" s="980"/>
      <c r="F291" s="980"/>
      <c r="G291" s="401" t="str">
        <f t="shared" si="59"/>
        <v/>
      </c>
      <c r="H291" s="401" t="str">
        <f t="shared" si="60"/>
        <v/>
      </c>
      <c r="I291" s="401">
        <f t="shared" si="61"/>
        <v>5750</v>
      </c>
      <c r="J291" s="981" t="str">
        <f t="shared" si="62"/>
        <v>Peces y acuicultura</v>
      </c>
      <c r="K291" s="338">
        <f t="shared" si="51"/>
        <v>0</v>
      </c>
      <c r="L291" s="338">
        <f t="shared" si="52"/>
        <v>0</v>
      </c>
      <c r="M291" s="338">
        <f t="shared" si="53"/>
        <v>0</v>
      </c>
      <c r="N291" s="338">
        <f t="shared" si="54"/>
        <v>0</v>
      </c>
      <c r="O291" s="338">
        <f t="shared" si="55"/>
        <v>0</v>
      </c>
      <c r="P291" s="338">
        <f t="shared" si="56"/>
        <v>0</v>
      </c>
      <c r="Q291" s="338">
        <f t="shared" si="57"/>
        <v>0</v>
      </c>
      <c r="R291" s="338">
        <f t="shared" si="58"/>
        <v>0</v>
      </c>
    </row>
    <row r="292" spans="1:18" ht="12">
      <c r="A292" s="985">
        <v>5760</v>
      </c>
      <c r="B292" s="984" t="s">
        <v>2874</v>
      </c>
      <c r="C292" s="975" t="str">
        <f t="shared" si="63"/>
        <v>57600</v>
      </c>
      <c r="D292" s="401"/>
      <c r="E292" s="980"/>
      <c r="F292" s="980"/>
      <c r="G292" s="401" t="str">
        <f t="shared" si="59"/>
        <v/>
      </c>
      <c r="H292" s="401" t="str">
        <f t="shared" si="60"/>
        <v/>
      </c>
      <c r="I292" s="401">
        <f t="shared" si="61"/>
        <v>5760</v>
      </c>
      <c r="J292" s="981" t="str">
        <f t="shared" si="62"/>
        <v>Equinos</v>
      </c>
      <c r="K292" s="338">
        <f t="shared" si="51"/>
        <v>0</v>
      </c>
      <c r="L292" s="338">
        <f t="shared" si="52"/>
        <v>0</v>
      </c>
      <c r="M292" s="338">
        <f t="shared" si="53"/>
        <v>0</v>
      </c>
      <c r="N292" s="338">
        <f t="shared" si="54"/>
        <v>0</v>
      </c>
      <c r="O292" s="338">
        <f t="shared" si="55"/>
        <v>0</v>
      </c>
      <c r="P292" s="338">
        <f t="shared" si="56"/>
        <v>0</v>
      </c>
      <c r="Q292" s="338">
        <f t="shared" si="57"/>
        <v>0</v>
      </c>
      <c r="R292" s="338">
        <f t="shared" si="58"/>
        <v>0</v>
      </c>
    </row>
    <row r="293" spans="1:18" ht="12">
      <c r="A293" s="985">
        <v>5770</v>
      </c>
      <c r="B293" s="984" t="s">
        <v>2875</v>
      </c>
      <c r="C293" s="975" t="str">
        <f t="shared" si="63"/>
        <v>57700</v>
      </c>
      <c r="D293" s="401"/>
      <c r="E293" s="980"/>
      <c r="F293" s="980"/>
      <c r="G293" s="401" t="str">
        <f t="shared" si="59"/>
        <v/>
      </c>
      <c r="H293" s="401" t="str">
        <f t="shared" si="60"/>
        <v/>
      </c>
      <c r="I293" s="401">
        <f t="shared" si="61"/>
        <v>5770</v>
      </c>
      <c r="J293" s="981" t="str">
        <f t="shared" si="62"/>
        <v>Especies menores y de zoológico</v>
      </c>
      <c r="K293" s="338">
        <f t="shared" si="51"/>
        <v>0</v>
      </c>
      <c r="L293" s="338">
        <f t="shared" si="52"/>
        <v>0</v>
      </c>
      <c r="M293" s="338">
        <f t="shared" si="53"/>
        <v>0</v>
      </c>
      <c r="N293" s="338">
        <f t="shared" si="54"/>
        <v>0</v>
      </c>
      <c r="O293" s="338">
        <f t="shared" si="55"/>
        <v>0</v>
      </c>
      <c r="P293" s="338">
        <f t="shared" si="56"/>
        <v>0</v>
      </c>
      <c r="Q293" s="338">
        <f t="shared" si="57"/>
        <v>0</v>
      </c>
      <c r="R293" s="338">
        <f t="shared" si="58"/>
        <v>0</v>
      </c>
    </row>
    <row r="294" spans="1:18" ht="12">
      <c r="A294" s="985">
        <v>5780</v>
      </c>
      <c r="B294" s="984" t="s">
        <v>2876</v>
      </c>
      <c r="C294" s="975" t="str">
        <f t="shared" si="63"/>
        <v>57800</v>
      </c>
      <c r="D294" s="401"/>
      <c r="E294" s="980"/>
      <c r="F294" s="980"/>
      <c r="G294" s="401" t="str">
        <f t="shared" si="59"/>
        <v/>
      </c>
      <c r="H294" s="401" t="str">
        <f t="shared" si="60"/>
        <v/>
      </c>
      <c r="I294" s="401">
        <f t="shared" si="61"/>
        <v>5780</v>
      </c>
      <c r="J294" s="981" t="str">
        <f t="shared" si="62"/>
        <v>Árboles y plantas</v>
      </c>
      <c r="K294" s="338">
        <f t="shared" si="51"/>
        <v>0</v>
      </c>
      <c r="L294" s="338">
        <f t="shared" si="52"/>
        <v>0</v>
      </c>
      <c r="M294" s="338">
        <f t="shared" si="53"/>
        <v>0</v>
      </c>
      <c r="N294" s="338">
        <f t="shared" si="54"/>
        <v>0</v>
      </c>
      <c r="O294" s="338">
        <f t="shared" si="55"/>
        <v>0</v>
      </c>
      <c r="P294" s="338">
        <f t="shared" si="56"/>
        <v>0</v>
      </c>
      <c r="Q294" s="338">
        <f t="shared" si="57"/>
        <v>0</v>
      </c>
      <c r="R294" s="338">
        <f t="shared" si="58"/>
        <v>0</v>
      </c>
    </row>
    <row r="295" spans="1:18" ht="12">
      <c r="A295" s="985">
        <v>5790</v>
      </c>
      <c r="B295" s="984" t="s">
        <v>2877</v>
      </c>
      <c r="C295" s="975" t="str">
        <f t="shared" si="63"/>
        <v>57900</v>
      </c>
      <c r="D295" s="401"/>
      <c r="E295" s="980"/>
      <c r="F295" s="980"/>
      <c r="G295" s="401" t="str">
        <f t="shared" si="59"/>
        <v/>
      </c>
      <c r="H295" s="401" t="str">
        <f t="shared" si="60"/>
        <v/>
      </c>
      <c r="I295" s="401">
        <f t="shared" si="61"/>
        <v>5790</v>
      </c>
      <c r="J295" s="981" t="str">
        <f t="shared" si="62"/>
        <v>Otros activos biológicos</v>
      </c>
      <c r="K295" s="338">
        <f t="shared" si="51"/>
        <v>0</v>
      </c>
      <c r="L295" s="338">
        <f t="shared" si="52"/>
        <v>0</v>
      </c>
      <c r="M295" s="338">
        <f t="shared" si="53"/>
        <v>0</v>
      </c>
      <c r="N295" s="338">
        <f t="shared" si="54"/>
        <v>0</v>
      </c>
      <c r="O295" s="338">
        <f t="shared" si="55"/>
        <v>0</v>
      </c>
      <c r="P295" s="338">
        <f t="shared" si="56"/>
        <v>0</v>
      </c>
      <c r="Q295" s="338">
        <f t="shared" si="57"/>
        <v>0</v>
      </c>
      <c r="R295" s="338">
        <f t="shared" si="58"/>
        <v>0</v>
      </c>
    </row>
    <row r="296" spans="1:18">
      <c r="A296" s="229">
        <v>5800</v>
      </c>
      <c r="B296" s="230" t="s">
        <v>266</v>
      </c>
      <c r="C296" s="975" t="str">
        <f t="shared" si="63"/>
        <v>58000</v>
      </c>
      <c r="D296" s="401"/>
      <c r="E296" s="980"/>
      <c r="F296" s="980"/>
      <c r="G296" s="401" t="str">
        <f t="shared" si="59"/>
        <v/>
      </c>
      <c r="H296" s="401">
        <f t="shared" si="60"/>
        <v>5800</v>
      </c>
      <c r="I296" s="401" t="str">
        <f t="shared" si="61"/>
        <v/>
      </c>
      <c r="J296" s="981" t="str">
        <f t="shared" si="62"/>
        <v>Bienes inmuebles</v>
      </c>
      <c r="K296" s="338">
        <f t="shared" si="51"/>
        <v>0</v>
      </c>
      <c r="L296" s="338">
        <f t="shared" si="52"/>
        <v>0</v>
      </c>
      <c r="M296" s="338">
        <f t="shared" si="53"/>
        <v>0</v>
      </c>
      <c r="N296" s="338">
        <f t="shared" si="54"/>
        <v>0</v>
      </c>
      <c r="O296" s="338">
        <f t="shared" si="55"/>
        <v>0</v>
      </c>
      <c r="P296" s="338">
        <f t="shared" si="56"/>
        <v>0</v>
      </c>
      <c r="Q296" s="338">
        <f t="shared" si="57"/>
        <v>0</v>
      </c>
      <c r="R296" s="338">
        <f t="shared" si="58"/>
        <v>0</v>
      </c>
    </row>
    <row r="297" spans="1:18" ht="12">
      <c r="A297" s="985">
        <v>5810</v>
      </c>
      <c r="B297" s="984" t="s">
        <v>441</v>
      </c>
      <c r="C297" s="975" t="str">
        <f t="shared" si="63"/>
        <v>58100</v>
      </c>
      <c r="D297" s="401"/>
      <c r="E297" s="980"/>
      <c r="F297" s="980"/>
      <c r="G297" s="401" t="str">
        <f t="shared" si="59"/>
        <v/>
      </c>
      <c r="H297" s="401" t="str">
        <f t="shared" si="60"/>
        <v/>
      </c>
      <c r="I297" s="401">
        <f t="shared" si="61"/>
        <v>5810</v>
      </c>
      <c r="J297" s="981" t="str">
        <f t="shared" si="62"/>
        <v>Terrenos</v>
      </c>
      <c r="K297" s="338">
        <f t="shared" si="51"/>
        <v>0</v>
      </c>
      <c r="L297" s="338">
        <f t="shared" si="52"/>
        <v>0</v>
      </c>
      <c r="M297" s="338">
        <f t="shared" si="53"/>
        <v>0</v>
      </c>
      <c r="N297" s="338">
        <f t="shared" si="54"/>
        <v>0</v>
      </c>
      <c r="O297" s="338">
        <f t="shared" si="55"/>
        <v>0</v>
      </c>
      <c r="P297" s="338">
        <f t="shared" si="56"/>
        <v>0</v>
      </c>
      <c r="Q297" s="338">
        <f t="shared" si="57"/>
        <v>0</v>
      </c>
      <c r="R297" s="338">
        <f t="shared" si="58"/>
        <v>0</v>
      </c>
    </row>
    <row r="298" spans="1:18" ht="12">
      <c r="A298" s="985">
        <v>5820</v>
      </c>
      <c r="B298" s="984" t="s">
        <v>442</v>
      </c>
      <c r="C298" s="975" t="str">
        <f t="shared" si="63"/>
        <v>58200</v>
      </c>
      <c r="D298" s="401"/>
      <c r="E298" s="980"/>
      <c r="F298" s="980"/>
      <c r="G298" s="401" t="str">
        <f t="shared" si="59"/>
        <v/>
      </c>
      <c r="H298" s="401" t="str">
        <f t="shared" si="60"/>
        <v/>
      </c>
      <c r="I298" s="401">
        <f t="shared" si="61"/>
        <v>5820</v>
      </c>
      <c r="J298" s="981" t="str">
        <f t="shared" si="62"/>
        <v>Viviendas</v>
      </c>
      <c r="K298" s="338">
        <f t="shared" si="51"/>
        <v>0</v>
      </c>
      <c r="L298" s="338">
        <f t="shared" si="52"/>
        <v>0</v>
      </c>
      <c r="M298" s="338">
        <f t="shared" si="53"/>
        <v>0</v>
      </c>
      <c r="N298" s="338">
        <f t="shared" si="54"/>
        <v>0</v>
      </c>
      <c r="O298" s="338">
        <f t="shared" si="55"/>
        <v>0</v>
      </c>
      <c r="P298" s="338">
        <f t="shared" si="56"/>
        <v>0</v>
      </c>
      <c r="Q298" s="338">
        <f t="shared" si="57"/>
        <v>0</v>
      </c>
      <c r="R298" s="338">
        <f t="shared" si="58"/>
        <v>0</v>
      </c>
    </row>
    <row r="299" spans="1:18" ht="12">
      <c r="A299" s="985">
        <v>5830</v>
      </c>
      <c r="B299" s="984" t="s">
        <v>2878</v>
      </c>
      <c r="C299" s="975" t="str">
        <f t="shared" si="63"/>
        <v>58300</v>
      </c>
      <c r="D299" s="401"/>
      <c r="E299" s="980"/>
      <c r="F299" s="980"/>
      <c r="G299" s="401" t="str">
        <f t="shared" si="59"/>
        <v/>
      </c>
      <c r="H299" s="401" t="str">
        <f t="shared" si="60"/>
        <v/>
      </c>
      <c r="I299" s="401">
        <f t="shared" si="61"/>
        <v>5830</v>
      </c>
      <c r="J299" s="981" t="str">
        <f t="shared" si="62"/>
        <v>Edificios no residenciales</v>
      </c>
      <c r="K299" s="338">
        <f t="shared" si="51"/>
        <v>0</v>
      </c>
      <c r="L299" s="338">
        <f t="shared" si="52"/>
        <v>0</v>
      </c>
      <c r="M299" s="338">
        <f t="shared" si="53"/>
        <v>0</v>
      </c>
      <c r="N299" s="338">
        <f t="shared" si="54"/>
        <v>0</v>
      </c>
      <c r="O299" s="338">
        <f t="shared" si="55"/>
        <v>0</v>
      </c>
      <c r="P299" s="338">
        <f t="shared" si="56"/>
        <v>0</v>
      </c>
      <c r="Q299" s="338">
        <f t="shared" si="57"/>
        <v>0</v>
      </c>
      <c r="R299" s="338">
        <f t="shared" si="58"/>
        <v>0</v>
      </c>
    </row>
    <row r="300" spans="1:18" ht="12">
      <c r="A300" s="985">
        <v>5890</v>
      </c>
      <c r="B300" s="984" t="s">
        <v>447</v>
      </c>
      <c r="C300" s="975" t="str">
        <f t="shared" si="63"/>
        <v>58900</v>
      </c>
      <c r="D300" s="401"/>
      <c r="E300" s="980"/>
      <c r="F300" s="980"/>
      <c r="G300" s="401" t="str">
        <f t="shared" si="59"/>
        <v/>
      </c>
      <c r="H300" s="401" t="str">
        <f t="shared" si="60"/>
        <v/>
      </c>
      <c r="I300" s="401">
        <f t="shared" si="61"/>
        <v>5890</v>
      </c>
      <c r="J300" s="981" t="str">
        <f t="shared" si="62"/>
        <v>Otros bienes inmuebles</v>
      </c>
      <c r="K300" s="338">
        <f t="shared" si="51"/>
        <v>0</v>
      </c>
      <c r="L300" s="338">
        <f t="shared" si="52"/>
        <v>0</v>
      </c>
      <c r="M300" s="338">
        <f t="shared" si="53"/>
        <v>0</v>
      </c>
      <c r="N300" s="338">
        <f t="shared" si="54"/>
        <v>0</v>
      </c>
      <c r="O300" s="338">
        <f t="shared" si="55"/>
        <v>0</v>
      </c>
      <c r="P300" s="338">
        <f t="shared" si="56"/>
        <v>0</v>
      </c>
      <c r="Q300" s="338">
        <f t="shared" si="57"/>
        <v>0</v>
      </c>
      <c r="R300" s="338">
        <f t="shared" si="58"/>
        <v>0</v>
      </c>
    </row>
    <row r="301" spans="1:18">
      <c r="A301" s="229">
        <v>5900</v>
      </c>
      <c r="B301" s="230" t="s">
        <v>28</v>
      </c>
      <c r="C301" s="975" t="str">
        <f t="shared" si="63"/>
        <v>59000</v>
      </c>
      <c r="D301" s="401"/>
      <c r="E301" s="980"/>
      <c r="F301" s="980"/>
      <c r="G301" s="401" t="str">
        <f t="shared" si="59"/>
        <v/>
      </c>
      <c r="H301" s="401">
        <f t="shared" si="60"/>
        <v>5900</v>
      </c>
      <c r="I301" s="401" t="str">
        <f t="shared" si="61"/>
        <v/>
      </c>
      <c r="J301" s="981" t="str">
        <f t="shared" si="62"/>
        <v>Activos intangibles</v>
      </c>
      <c r="K301" s="338">
        <f t="shared" si="51"/>
        <v>60070.94</v>
      </c>
      <c r="L301" s="338">
        <f t="shared" si="52"/>
        <v>65344.359999999986</v>
      </c>
      <c r="M301" s="338">
        <f t="shared" si="53"/>
        <v>125415.29999999999</v>
      </c>
      <c r="N301" s="338">
        <f t="shared" si="54"/>
        <v>125415.3</v>
      </c>
      <c r="O301" s="338">
        <f t="shared" si="55"/>
        <v>125415.3</v>
      </c>
      <c r="P301" s="338">
        <f t="shared" si="56"/>
        <v>125415.3</v>
      </c>
      <c r="Q301" s="338">
        <f t="shared" si="57"/>
        <v>125415.3</v>
      </c>
      <c r="R301" s="338">
        <f t="shared" si="58"/>
        <v>0</v>
      </c>
    </row>
    <row r="302" spans="1:18" ht="12">
      <c r="A302" s="985">
        <v>5910</v>
      </c>
      <c r="B302" s="984" t="s">
        <v>449</v>
      </c>
      <c r="C302" s="975" t="str">
        <f t="shared" si="63"/>
        <v>59100</v>
      </c>
      <c r="D302" s="401"/>
      <c r="E302" s="980"/>
      <c r="F302" s="980"/>
      <c r="G302" s="401" t="str">
        <f t="shared" si="59"/>
        <v/>
      </c>
      <c r="H302" s="401" t="str">
        <f t="shared" si="60"/>
        <v/>
      </c>
      <c r="I302" s="401">
        <f t="shared" si="61"/>
        <v>5910</v>
      </c>
      <c r="J302" s="981" t="str">
        <f t="shared" si="62"/>
        <v>Software</v>
      </c>
      <c r="K302" s="338">
        <f t="shared" si="51"/>
        <v>50000</v>
      </c>
      <c r="L302" s="338">
        <f t="shared" si="52"/>
        <v>-50000</v>
      </c>
      <c r="M302" s="338">
        <f t="shared" si="53"/>
        <v>0</v>
      </c>
      <c r="N302" s="338">
        <f t="shared" si="54"/>
        <v>0</v>
      </c>
      <c r="O302" s="338">
        <f t="shared" si="55"/>
        <v>0</v>
      </c>
      <c r="P302" s="338">
        <f t="shared" si="56"/>
        <v>0</v>
      </c>
      <c r="Q302" s="338">
        <f t="shared" si="57"/>
        <v>0</v>
      </c>
      <c r="R302" s="338">
        <f t="shared" si="58"/>
        <v>0</v>
      </c>
    </row>
    <row r="303" spans="1:18" ht="12">
      <c r="A303" s="985">
        <v>5920</v>
      </c>
      <c r="B303" s="984" t="s">
        <v>2879</v>
      </c>
      <c r="C303" s="975" t="str">
        <f t="shared" si="63"/>
        <v>59200</v>
      </c>
      <c r="D303" s="401"/>
      <c r="E303" s="980"/>
      <c r="F303" s="980"/>
      <c r="G303" s="401" t="str">
        <f t="shared" si="59"/>
        <v/>
      </c>
      <c r="H303" s="401" t="str">
        <f t="shared" si="60"/>
        <v/>
      </c>
      <c r="I303" s="401">
        <f t="shared" si="61"/>
        <v>5920</v>
      </c>
      <c r="J303" s="981" t="str">
        <f t="shared" si="62"/>
        <v>Patentes</v>
      </c>
      <c r="K303" s="338">
        <f t="shared" si="51"/>
        <v>0</v>
      </c>
      <c r="L303" s="338">
        <f t="shared" si="52"/>
        <v>0</v>
      </c>
      <c r="M303" s="338">
        <f t="shared" si="53"/>
        <v>0</v>
      </c>
      <c r="N303" s="338">
        <f t="shared" si="54"/>
        <v>0</v>
      </c>
      <c r="O303" s="338">
        <f t="shared" si="55"/>
        <v>0</v>
      </c>
      <c r="P303" s="338">
        <f t="shared" si="56"/>
        <v>0</v>
      </c>
      <c r="Q303" s="338">
        <f t="shared" si="57"/>
        <v>0</v>
      </c>
      <c r="R303" s="338">
        <f t="shared" si="58"/>
        <v>0</v>
      </c>
    </row>
    <row r="304" spans="1:18" ht="12">
      <c r="A304" s="985">
        <v>5930</v>
      </c>
      <c r="B304" s="984" t="s">
        <v>2880</v>
      </c>
      <c r="C304" s="975" t="str">
        <f t="shared" si="63"/>
        <v>59300</v>
      </c>
      <c r="D304" s="401"/>
      <c r="E304" s="980"/>
      <c r="F304" s="980"/>
      <c r="G304" s="401" t="str">
        <f t="shared" si="59"/>
        <v/>
      </c>
      <c r="H304" s="401" t="str">
        <f t="shared" si="60"/>
        <v/>
      </c>
      <c r="I304" s="401">
        <f t="shared" si="61"/>
        <v>5930</v>
      </c>
      <c r="J304" s="981" t="str">
        <f t="shared" si="62"/>
        <v>Marcas</v>
      </c>
      <c r="K304" s="338">
        <f t="shared" si="51"/>
        <v>0</v>
      </c>
      <c r="L304" s="338">
        <f t="shared" si="52"/>
        <v>0</v>
      </c>
      <c r="M304" s="338">
        <f t="shared" si="53"/>
        <v>0</v>
      </c>
      <c r="N304" s="338">
        <f t="shared" si="54"/>
        <v>0</v>
      </c>
      <c r="O304" s="338">
        <f t="shared" si="55"/>
        <v>0</v>
      </c>
      <c r="P304" s="338">
        <f t="shared" si="56"/>
        <v>0</v>
      </c>
      <c r="Q304" s="338">
        <f t="shared" si="57"/>
        <v>0</v>
      </c>
      <c r="R304" s="338">
        <f t="shared" si="58"/>
        <v>0</v>
      </c>
    </row>
    <row r="305" spans="1:18" ht="12">
      <c r="A305" s="985">
        <v>5940</v>
      </c>
      <c r="B305" s="984" t="s">
        <v>105</v>
      </c>
      <c r="C305" s="975" t="str">
        <f t="shared" si="63"/>
        <v>59400</v>
      </c>
      <c r="D305" s="401"/>
      <c r="E305" s="980"/>
      <c r="F305" s="980"/>
      <c r="G305" s="401" t="str">
        <f t="shared" si="59"/>
        <v/>
      </c>
      <c r="H305" s="401" t="str">
        <f t="shared" si="60"/>
        <v/>
      </c>
      <c r="I305" s="401">
        <f t="shared" si="61"/>
        <v>5940</v>
      </c>
      <c r="J305" s="981" t="str">
        <f t="shared" si="62"/>
        <v>Derechos</v>
      </c>
      <c r="K305" s="338">
        <f t="shared" si="51"/>
        <v>0</v>
      </c>
      <c r="L305" s="338">
        <f t="shared" si="52"/>
        <v>0</v>
      </c>
      <c r="M305" s="338">
        <f t="shared" si="53"/>
        <v>0</v>
      </c>
      <c r="N305" s="338">
        <f t="shared" si="54"/>
        <v>0</v>
      </c>
      <c r="O305" s="338">
        <f t="shared" si="55"/>
        <v>0</v>
      </c>
      <c r="P305" s="338">
        <f t="shared" si="56"/>
        <v>0</v>
      </c>
      <c r="Q305" s="338">
        <f t="shared" si="57"/>
        <v>0</v>
      </c>
      <c r="R305" s="338">
        <f t="shared" si="58"/>
        <v>0</v>
      </c>
    </row>
    <row r="306" spans="1:18" ht="12">
      <c r="A306" s="985">
        <v>5950</v>
      </c>
      <c r="B306" s="984" t="s">
        <v>2881</v>
      </c>
      <c r="C306" s="975" t="str">
        <f t="shared" si="63"/>
        <v>59500</v>
      </c>
      <c r="D306" s="401"/>
      <c r="E306" s="980"/>
      <c r="F306" s="980"/>
      <c r="G306" s="401" t="str">
        <f t="shared" si="59"/>
        <v/>
      </c>
      <c r="H306" s="401" t="str">
        <f t="shared" si="60"/>
        <v/>
      </c>
      <c r="I306" s="401">
        <f t="shared" si="61"/>
        <v>5950</v>
      </c>
      <c r="J306" s="981" t="str">
        <f t="shared" si="62"/>
        <v>Concesiones</v>
      </c>
      <c r="K306" s="338">
        <f t="shared" si="51"/>
        <v>0</v>
      </c>
      <c r="L306" s="338">
        <f t="shared" si="52"/>
        <v>0</v>
      </c>
      <c r="M306" s="338">
        <f t="shared" si="53"/>
        <v>0</v>
      </c>
      <c r="N306" s="338">
        <f t="shared" si="54"/>
        <v>0</v>
      </c>
      <c r="O306" s="338">
        <f t="shared" si="55"/>
        <v>0</v>
      </c>
      <c r="P306" s="338">
        <f t="shared" si="56"/>
        <v>0</v>
      </c>
      <c r="Q306" s="338">
        <f t="shared" si="57"/>
        <v>0</v>
      </c>
      <c r="R306" s="338">
        <f t="shared" si="58"/>
        <v>0</v>
      </c>
    </row>
    <row r="307" spans="1:18" ht="12">
      <c r="A307" s="985">
        <v>5960</v>
      </c>
      <c r="B307" s="984" t="s">
        <v>2882</v>
      </c>
      <c r="C307" s="975" t="str">
        <f t="shared" si="63"/>
        <v>59600</v>
      </c>
      <c r="D307" s="401"/>
      <c r="E307" s="980"/>
      <c r="F307" s="980"/>
      <c r="G307" s="401" t="str">
        <f t="shared" si="59"/>
        <v/>
      </c>
      <c r="H307" s="401" t="str">
        <f t="shared" si="60"/>
        <v/>
      </c>
      <c r="I307" s="401">
        <f t="shared" si="61"/>
        <v>5960</v>
      </c>
      <c r="J307" s="981" t="str">
        <f t="shared" si="62"/>
        <v>Franquicias</v>
      </c>
      <c r="K307" s="338">
        <f t="shared" si="51"/>
        <v>0</v>
      </c>
      <c r="L307" s="338">
        <f t="shared" si="52"/>
        <v>0</v>
      </c>
      <c r="M307" s="338">
        <f t="shared" si="53"/>
        <v>0</v>
      </c>
      <c r="N307" s="338">
        <f t="shared" si="54"/>
        <v>0</v>
      </c>
      <c r="O307" s="338">
        <f t="shared" si="55"/>
        <v>0</v>
      </c>
      <c r="P307" s="338">
        <f t="shared" si="56"/>
        <v>0</v>
      </c>
      <c r="Q307" s="338">
        <f t="shared" si="57"/>
        <v>0</v>
      </c>
      <c r="R307" s="338">
        <f t="shared" si="58"/>
        <v>0</v>
      </c>
    </row>
    <row r="308" spans="1:18" ht="12">
      <c r="A308" s="985">
        <v>5970</v>
      </c>
      <c r="B308" s="984" t="s">
        <v>2883</v>
      </c>
      <c r="C308" s="975" t="str">
        <f t="shared" si="63"/>
        <v>59700</v>
      </c>
      <c r="D308" s="401"/>
      <c r="E308" s="980"/>
      <c r="F308" s="980"/>
      <c r="G308" s="401" t="str">
        <f t="shared" si="59"/>
        <v/>
      </c>
      <c r="H308" s="401" t="str">
        <f t="shared" si="60"/>
        <v/>
      </c>
      <c r="I308" s="401">
        <f t="shared" si="61"/>
        <v>5970</v>
      </c>
      <c r="J308" s="981" t="str">
        <f t="shared" si="62"/>
        <v>Licencias informáticas e intelectuales</v>
      </c>
      <c r="K308" s="338">
        <f t="shared" si="51"/>
        <v>10070.94</v>
      </c>
      <c r="L308" s="338">
        <f t="shared" si="52"/>
        <v>115344.35999999999</v>
      </c>
      <c r="M308" s="338">
        <f t="shared" si="53"/>
        <v>125415.29999999999</v>
      </c>
      <c r="N308" s="338">
        <f t="shared" si="54"/>
        <v>125415.3</v>
      </c>
      <c r="O308" s="338">
        <f t="shared" si="55"/>
        <v>125415.3</v>
      </c>
      <c r="P308" s="338">
        <f t="shared" si="56"/>
        <v>125415.3</v>
      </c>
      <c r="Q308" s="338">
        <f t="shared" si="57"/>
        <v>125415.3</v>
      </c>
      <c r="R308" s="338">
        <f t="shared" si="58"/>
        <v>0</v>
      </c>
    </row>
    <row r="309" spans="1:18" ht="12">
      <c r="A309" s="985">
        <v>5980</v>
      </c>
      <c r="B309" s="984" t="s">
        <v>2884</v>
      </c>
      <c r="C309" s="975" t="str">
        <f t="shared" si="63"/>
        <v>59800</v>
      </c>
      <c r="D309" s="401"/>
      <c r="E309" s="980"/>
      <c r="F309" s="980"/>
      <c r="G309" s="401" t="str">
        <f t="shared" si="59"/>
        <v/>
      </c>
      <c r="H309" s="401" t="str">
        <f t="shared" si="60"/>
        <v/>
      </c>
      <c r="I309" s="401">
        <f t="shared" si="61"/>
        <v>5980</v>
      </c>
      <c r="J309" s="981" t="str">
        <f t="shared" si="62"/>
        <v>Licencias industriales, comerciales y otras</v>
      </c>
      <c r="K309" s="338">
        <f t="shared" si="51"/>
        <v>0</v>
      </c>
      <c r="L309" s="338">
        <f t="shared" si="52"/>
        <v>0</v>
      </c>
      <c r="M309" s="338">
        <f t="shared" si="53"/>
        <v>0</v>
      </c>
      <c r="N309" s="338">
        <f t="shared" si="54"/>
        <v>0</v>
      </c>
      <c r="O309" s="338">
        <f t="shared" si="55"/>
        <v>0</v>
      </c>
      <c r="P309" s="338">
        <f t="shared" si="56"/>
        <v>0</v>
      </c>
      <c r="Q309" s="338">
        <f t="shared" si="57"/>
        <v>0</v>
      </c>
      <c r="R309" s="338">
        <f t="shared" si="58"/>
        <v>0</v>
      </c>
    </row>
    <row r="310" spans="1:18" ht="12">
      <c r="A310" s="985">
        <v>5990</v>
      </c>
      <c r="B310" s="984" t="s">
        <v>453</v>
      </c>
      <c r="C310" s="975" t="str">
        <f t="shared" si="63"/>
        <v>59900</v>
      </c>
      <c r="D310" s="401"/>
      <c r="E310" s="980"/>
      <c r="F310" s="980"/>
      <c r="G310" s="401" t="str">
        <f t="shared" si="59"/>
        <v/>
      </c>
      <c r="H310" s="401" t="str">
        <f t="shared" si="60"/>
        <v/>
      </c>
      <c r="I310" s="401">
        <f t="shared" si="61"/>
        <v>5990</v>
      </c>
      <c r="J310" s="981" t="str">
        <f t="shared" si="62"/>
        <v>Otros activos intangibles</v>
      </c>
      <c r="K310" s="338">
        <f t="shared" si="51"/>
        <v>0</v>
      </c>
      <c r="L310" s="338">
        <f t="shared" si="52"/>
        <v>0</v>
      </c>
      <c r="M310" s="338">
        <f t="shared" si="53"/>
        <v>0</v>
      </c>
      <c r="N310" s="338">
        <f t="shared" si="54"/>
        <v>0</v>
      </c>
      <c r="O310" s="338">
        <f t="shared" si="55"/>
        <v>0</v>
      </c>
      <c r="P310" s="338">
        <f t="shared" si="56"/>
        <v>0</v>
      </c>
      <c r="Q310" s="338">
        <f t="shared" si="57"/>
        <v>0</v>
      </c>
      <c r="R310" s="338">
        <f t="shared" si="58"/>
        <v>0</v>
      </c>
    </row>
    <row r="311" spans="1:18">
      <c r="A311" s="229">
        <v>6000</v>
      </c>
      <c r="B311" s="230" t="s">
        <v>222</v>
      </c>
      <c r="C311" s="975" t="str">
        <f t="shared" si="63"/>
        <v>60000</v>
      </c>
      <c r="D311" s="401"/>
      <c r="E311" s="980"/>
      <c r="F311" s="980"/>
      <c r="G311" s="401">
        <f t="shared" si="59"/>
        <v>6000</v>
      </c>
      <c r="H311" s="401" t="str">
        <f t="shared" si="60"/>
        <v/>
      </c>
      <c r="I311" s="401" t="str">
        <f t="shared" si="61"/>
        <v/>
      </c>
      <c r="J311" s="981" t="str">
        <f t="shared" si="62"/>
        <v>INVERSIÓN PÚBLICA</v>
      </c>
      <c r="K311" s="338">
        <f t="shared" si="51"/>
        <v>0</v>
      </c>
      <c r="L311" s="338">
        <f t="shared" si="52"/>
        <v>0</v>
      </c>
      <c r="M311" s="338">
        <f t="shared" si="53"/>
        <v>0</v>
      </c>
      <c r="N311" s="338">
        <f t="shared" si="54"/>
        <v>0</v>
      </c>
      <c r="O311" s="338">
        <f t="shared" si="55"/>
        <v>0</v>
      </c>
      <c r="P311" s="338">
        <f t="shared" si="56"/>
        <v>0</v>
      </c>
      <c r="Q311" s="338">
        <f t="shared" si="57"/>
        <v>0</v>
      </c>
      <c r="R311" s="338">
        <f t="shared" si="58"/>
        <v>0</v>
      </c>
    </row>
    <row r="312" spans="1:18">
      <c r="A312" s="229">
        <v>6100</v>
      </c>
      <c r="B312" s="230" t="s">
        <v>267</v>
      </c>
      <c r="C312" s="975" t="str">
        <f t="shared" si="63"/>
        <v>61000</v>
      </c>
      <c r="D312" s="401"/>
      <c r="E312" s="980"/>
      <c r="F312" s="980"/>
      <c r="G312" s="401" t="str">
        <f t="shared" si="59"/>
        <v/>
      </c>
      <c r="H312" s="401">
        <f t="shared" si="60"/>
        <v>6100</v>
      </c>
      <c r="I312" s="401" t="str">
        <f t="shared" si="61"/>
        <v/>
      </c>
      <c r="J312" s="981" t="str">
        <f t="shared" si="62"/>
        <v>Obra pública en bienes de dominio público</v>
      </c>
      <c r="K312" s="338">
        <f t="shared" si="51"/>
        <v>0</v>
      </c>
      <c r="L312" s="338">
        <f t="shared" si="52"/>
        <v>0</v>
      </c>
      <c r="M312" s="338">
        <f t="shared" si="53"/>
        <v>0</v>
      </c>
      <c r="N312" s="338">
        <f t="shared" si="54"/>
        <v>0</v>
      </c>
      <c r="O312" s="338">
        <f t="shared" si="55"/>
        <v>0</v>
      </c>
      <c r="P312" s="338">
        <f t="shared" si="56"/>
        <v>0</v>
      </c>
      <c r="Q312" s="338">
        <f t="shared" si="57"/>
        <v>0</v>
      </c>
      <c r="R312" s="338">
        <f t="shared" si="58"/>
        <v>0</v>
      </c>
    </row>
    <row r="313" spans="1:18" ht="12">
      <c r="A313" s="985">
        <v>6110</v>
      </c>
      <c r="B313" s="984" t="s">
        <v>2885</v>
      </c>
      <c r="C313" s="975" t="str">
        <f t="shared" si="63"/>
        <v>61100</v>
      </c>
      <c r="D313" s="401"/>
      <c r="E313" s="980"/>
      <c r="F313" s="980"/>
      <c r="G313" s="401" t="str">
        <f t="shared" si="59"/>
        <v/>
      </c>
      <c r="H313" s="401" t="str">
        <f t="shared" si="60"/>
        <v/>
      </c>
      <c r="I313" s="401">
        <f t="shared" si="61"/>
        <v>6110</v>
      </c>
      <c r="J313" s="981" t="str">
        <f t="shared" si="62"/>
        <v>Edificación habitacional</v>
      </c>
      <c r="K313" s="338">
        <f t="shared" si="51"/>
        <v>0</v>
      </c>
      <c r="L313" s="338">
        <f t="shared" si="52"/>
        <v>0</v>
      </c>
      <c r="M313" s="338">
        <f t="shared" si="53"/>
        <v>0</v>
      </c>
      <c r="N313" s="338">
        <f t="shared" si="54"/>
        <v>0</v>
      </c>
      <c r="O313" s="338">
        <f t="shared" si="55"/>
        <v>0</v>
      </c>
      <c r="P313" s="338">
        <f t="shared" si="56"/>
        <v>0</v>
      </c>
      <c r="Q313" s="338">
        <f t="shared" si="57"/>
        <v>0</v>
      </c>
      <c r="R313" s="338">
        <f t="shared" si="58"/>
        <v>0</v>
      </c>
    </row>
    <row r="314" spans="1:18" ht="12">
      <c r="A314" s="985">
        <v>6120</v>
      </c>
      <c r="B314" s="984" t="s">
        <v>2886</v>
      </c>
      <c r="C314" s="975" t="str">
        <f t="shared" si="63"/>
        <v>61200</v>
      </c>
      <c r="D314" s="401"/>
      <c r="E314" s="980"/>
      <c r="F314" s="980"/>
      <c r="G314" s="401" t="str">
        <f t="shared" si="59"/>
        <v/>
      </c>
      <c r="H314" s="401" t="str">
        <f t="shared" si="60"/>
        <v/>
      </c>
      <c r="I314" s="401">
        <f t="shared" si="61"/>
        <v>6120</v>
      </c>
      <c r="J314" s="981" t="str">
        <f t="shared" si="62"/>
        <v>Edificación no habitacional</v>
      </c>
      <c r="K314" s="338">
        <f t="shared" si="51"/>
        <v>0</v>
      </c>
      <c r="L314" s="338">
        <f t="shared" si="52"/>
        <v>0</v>
      </c>
      <c r="M314" s="338">
        <f t="shared" si="53"/>
        <v>0</v>
      </c>
      <c r="N314" s="338">
        <f t="shared" si="54"/>
        <v>0</v>
      </c>
      <c r="O314" s="338">
        <f t="shared" si="55"/>
        <v>0</v>
      </c>
      <c r="P314" s="338">
        <f t="shared" si="56"/>
        <v>0</v>
      </c>
      <c r="Q314" s="338">
        <f t="shared" si="57"/>
        <v>0</v>
      </c>
      <c r="R314" s="338">
        <f t="shared" si="58"/>
        <v>0</v>
      </c>
    </row>
    <row r="315" spans="1:18" ht="12">
      <c r="A315" s="985">
        <v>6130</v>
      </c>
      <c r="B315" s="984" t="s">
        <v>2887</v>
      </c>
      <c r="C315" s="975" t="str">
        <f t="shared" si="63"/>
        <v>61300</v>
      </c>
      <c r="D315" s="401"/>
      <c r="E315" s="980"/>
      <c r="F315" s="980"/>
      <c r="G315" s="401" t="str">
        <f t="shared" si="59"/>
        <v/>
      </c>
      <c r="H315" s="401" t="str">
        <f t="shared" si="60"/>
        <v/>
      </c>
      <c r="I315" s="401">
        <f t="shared" si="61"/>
        <v>6130</v>
      </c>
      <c r="J315" s="981" t="str">
        <f t="shared" si="62"/>
        <v>Construcción de obras para el abastecimiento de agua, petróleo, gas, electricidad y telecomunicaciones</v>
      </c>
      <c r="K315" s="338">
        <f t="shared" si="51"/>
        <v>0</v>
      </c>
      <c r="L315" s="338">
        <f t="shared" si="52"/>
        <v>0</v>
      </c>
      <c r="M315" s="338">
        <f t="shared" si="53"/>
        <v>0</v>
      </c>
      <c r="N315" s="338">
        <f t="shared" si="54"/>
        <v>0</v>
      </c>
      <c r="O315" s="338">
        <f t="shared" si="55"/>
        <v>0</v>
      </c>
      <c r="P315" s="338">
        <f t="shared" si="56"/>
        <v>0</v>
      </c>
      <c r="Q315" s="338">
        <f t="shared" si="57"/>
        <v>0</v>
      </c>
      <c r="R315" s="338">
        <f t="shared" si="58"/>
        <v>0</v>
      </c>
    </row>
    <row r="316" spans="1:18" ht="12">
      <c r="A316" s="985">
        <v>6140</v>
      </c>
      <c r="B316" s="984" t="s">
        <v>2888</v>
      </c>
      <c r="C316" s="975" t="str">
        <f t="shared" si="63"/>
        <v>61400</v>
      </c>
      <c r="D316" s="401"/>
      <c r="E316" s="980"/>
      <c r="F316" s="980"/>
      <c r="G316" s="401" t="str">
        <f t="shared" si="59"/>
        <v/>
      </c>
      <c r="H316" s="401" t="str">
        <f t="shared" si="60"/>
        <v/>
      </c>
      <c r="I316" s="401">
        <f t="shared" si="61"/>
        <v>6140</v>
      </c>
      <c r="J316" s="981" t="str">
        <f t="shared" si="62"/>
        <v>División de terrenos y construcción de obras de urbanización</v>
      </c>
      <c r="K316" s="338">
        <f t="shared" si="51"/>
        <v>0</v>
      </c>
      <c r="L316" s="338">
        <f t="shared" si="52"/>
        <v>0</v>
      </c>
      <c r="M316" s="338">
        <f t="shared" si="53"/>
        <v>0</v>
      </c>
      <c r="N316" s="338">
        <f t="shared" si="54"/>
        <v>0</v>
      </c>
      <c r="O316" s="338">
        <f t="shared" si="55"/>
        <v>0</v>
      </c>
      <c r="P316" s="338">
        <f t="shared" si="56"/>
        <v>0</v>
      </c>
      <c r="Q316" s="338">
        <f t="shared" si="57"/>
        <v>0</v>
      </c>
      <c r="R316" s="338">
        <f t="shared" si="58"/>
        <v>0</v>
      </c>
    </row>
    <row r="317" spans="1:18" ht="12">
      <c r="A317" s="985">
        <v>6150</v>
      </c>
      <c r="B317" s="984" t="s">
        <v>2889</v>
      </c>
      <c r="C317" s="975" t="str">
        <f t="shared" si="63"/>
        <v>61500</v>
      </c>
      <c r="D317" s="401"/>
      <c r="E317" s="980"/>
      <c r="F317" s="980"/>
      <c r="G317" s="401" t="str">
        <f t="shared" si="59"/>
        <v/>
      </c>
      <c r="H317" s="401" t="str">
        <f t="shared" si="60"/>
        <v/>
      </c>
      <c r="I317" s="401">
        <f t="shared" si="61"/>
        <v>6150</v>
      </c>
      <c r="J317" s="981" t="str">
        <f t="shared" si="62"/>
        <v>Construcción de vías de comunicación</v>
      </c>
      <c r="K317" s="338">
        <f t="shared" si="51"/>
        <v>0</v>
      </c>
      <c r="L317" s="338">
        <f t="shared" si="52"/>
        <v>0</v>
      </c>
      <c r="M317" s="338">
        <f t="shared" si="53"/>
        <v>0</v>
      </c>
      <c r="N317" s="338">
        <f t="shared" si="54"/>
        <v>0</v>
      </c>
      <c r="O317" s="338">
        <f t="shared" si="55"/>
        <v>0</v>
      </c>
      <c r="P317" s="338">
        <f t="shared" si="56"/>
        <v>0</v>
      </c>
      <c r="Q317" s="338">
        <f t="shared" si="57"/>
        <v>0</v>
      </c>
      <c r="R317" s="338">
        <f t="shared" si="58"/>
        <v>0</v>
      </c>
    </row>
    <row r="318" spans="1:18" ht="12">
      <c r="A318" s="985">
        <v>6160</v>
      </c>
      <c r="B318" s="984" t="s">
        <v>2890</v>
      </c>
      <c r="C318" s="975" t="str">
        <f t="shared" si="63"/>
        <v>61600</v>
      </c>
      <c r="D318" s="401"/>
      <c r="E318" s="980"/>
      <c r="F318" s="980"/>
      <c r="G318" s="401" t="str">
        <f t="shared" si="59"/>
        <v/>
      </c>
      <c r="H318" s="401" t="str">
        <f t="shared" si="60"/>
        <v/>
      </c>
      <c r="I318" s="401">
        <f t="shared" si="61"/>
        <v>6160</v>
      </c>
      <c r="J318" s="981" t="str">
        <f t="shared" si="62"/>
        <v>Otras construcciones de ingeniería civil u obra pesada</v>
      </c>
      <c r="K318" s="338">
        <f t="shared" si="51"/>
        <v>0</v>
      </c>
      <c r="L318" s="338">
        <f t="shared" si="52"/>
        <v>0</v>
      </c>
      <c r="M318" s="338">
        <f t="shared" si="53"/>
        <v>0</v>
      </c>
      <c r="N318" s="338">
        <f t="shared" si="54"/>
        <v>0</v>
      </c>
      <c r="O318" s="338">
        <f t="shared" si="55"/>
        <v>0</v>
      </c>
      <c r="P318" s="338">
        <f t="shared" si="56"/>
        <v>0</v>
      </c>
      <c r="Q318" s="338">
        <f t="shared" si="57"/>
        <v>0</v>
      </c>
      <c r="R318" s="338">
        <f t="shared" si="58"/>
        <v>0</v>
      </c>
    </row>
    <row r="319" spans="1:18" ht="12">
      <c r="A319" s="985">
        <v>6170</v>
      </c>
      <c r="B319" s="984" t="s">
        <v>2891</v>
      </c>
      <c r="C319" s="975" t="str">
        <f t="shared" si="63"/>
        <v>61700</v>
      </c>
      <c r="D319" s="401"/>
      <c r="E319" s="980"/>
      <c r="F319" s="980"/>
      <c r="G319" s="401" t="str">
        <f t="shared" si="59"/>
        <v/>
      </c>
      <c r="H319" s="401" t="str">
        <f t="shared" si="60"/>
        <v/>
      </c>
      <c r="I319" s="401">
        <f t="shared" si="61"/>
        <v>6170</v>
      </c>
      <c r="J319" s="981" t="str">
        <f t="shared" si="62"/>
        <v>Instalaciones y equipamiento en construcciones</v>
      </c>
      <c r="K319" s="338">
        <f t="shared" si="51"/>
        <v>0</v>
      </c>
      <c r="L319" s="338">
        <f t="shared" si="52"/>
        <v>0</v>
      </c>
      <c r="M319" s="338">
        <f t="shared" si="53"/>
        <v>0</v>
      </c>
      <c r="N319" s="338">
        <f t="shared" si="54"/>
        <v>0</v>
      </c>
      <c r="O319" s="338">
        <f t="shared" si="55"/>
        <v>0</v>
      </c>
      <c r="P319" s="338">
        <f t="shared" si="56"/>
        <v>0</v>
      </c>
      <c r="Q319" s="338">
        <f t="shared" si="57"/>
        <v>0</v>
      </c>
      <c r="R319" s="338">
        <f t="shared" si="58"/>
        <v>0</v>
      </c>
    </row>
    <row r="320" spans="1:18" ht="12">
      <c r="A320" s="985">
        <v>6190</v>
      </c>
      <c r="B320" s="984" t="s">
        <v>2892</v>
      </c>
      <c r="C320" s="975" t="str">
        <f t="shared" si="63"/>
        <v>61900</v>
      </c>
      <c r="D320" s="401"/>
      <c r="E320" s="980"/>
      <c r="F320" s="980"/>
      <c r="G320" s="401" t="str">
        <f t="shared" si="59"/>
        <v/>
      </c>
      <c r="H320" s="401" t="str">
        <f t="shared" si="60"/>
        <v/>
      </c>
      <c r="I320" s="401">
        <f t="shared" si="61"/>
        <v>6190</v>
      </c>
      <c r="J320" s="981" t="str">
        <f t="shared" si="62"/>
        <v>Trabajos de acabados en edificaciones y otros trabajos especializados</v>
      </c>
      <c r="K320" s="338">
        <f t="shared" si="51"/>
        <v>0</v>
      </c>
      <c r="L320" s="338">
        <f t="shared" si="52"/>
        <v>0</v>
      </c>
      <c r="M320" s="338">
        <f t="shared" si="53"/>
        <v>0</v>
      </c>
      <c r="N320" s="338">
        <f t="shared" si="54"/>
        <v>0</v>
      </c>
      <c r="O320" s="338">
        <f t="shared" si="55"/>
        <v>0</v>
      </c>
      <c r="P320" s="338">
        <f t="shared" si="56"/>
        <v>0</v>
      </c>
      <c r="Q320" s="338">
        <f t="shared" si="57"/>
        <v>0</v>
      </c>
      <c r="R320" s="338">
        <f t="shared" si="58"/>
        <v>0</v>
      </c>
    </row>
    <row r="321" spans="1:18">
      <c r="A321" s="229">
        <v>6200</v>
      </c>
      <c r="B321" s="230" t="s">
        <v>268</v>
      </c>
      <c r="C321" s="975" t="str">
        <f t="shared" si="63"/>
        <v>62000</v>
      </c>
      <c r="D321" s="401"/>
      <c r="E321" s="980"/>
      <c r="F321" s="980"/>
      <c r="G321" s="401" t="str">
        <f t="shared" si="59"/>
        <v/>
      </c>
      <c r="H321" s="401">
        <f t="shared" si="60"/>
        <v>6200</v>
      </c>
      <c r="I321" s="401" t="str">
        <f t="shared" si="61"/>
        <v/>
      </c>
      <c r="J321" s="981" t="str">
        <f t="shared" si="62"/>
        <v>Obra pública en bienes propios</v>
      </c>
      <c r="K321" s="338">
        <f t="shared" si="51"/>
        <v>0</v>
      </c>
      <c r="L321" s="338">
        <f t="shared" si="52"/>
        <v>0</v>
      </c>
      <c r="M321" s="338">
        <f t="shared" si="53"/>
        <v>0</v>
      </c>
      <c r="N321" s="338">
        <f t="shared" si="54"/>
        <v>0</v>
      </c>
      <c r="O321" s="338">
        <f t="shared" si="55"/>
        <v>0</v>
      </c>
      <c r="P321" s="338">
        <f t="shared" si="56"/>
        <v>0</v>
      </c>
      <c r="Q321" s="338">
        <f t="shared" si="57"/>
        <v>0</v>
      </c>
      <c r="R321" s="338">
        <f t="shared" si="58"/>
        <v>0</v>
      </c>
    </row>
    <row r="322" spans="1:18" ht="12">
      <c r="A322" s="985">
        <v>6210</v>
      </c>
      <c r="B322" s="984" t="s">
        <v>2885</v>
      </c>
      <c r="C322" s="975" t="str">
        <f t="shared" si="63"/>
        <v>62100</v>
      </c>
      <c r="D322" s="401"/>
      <c r="E322" s="980"/>
      <c r="F322" s="980"/>
      <c r="G322" s="401" t="str">
        <f t="shared" si="59"/>
        <v/>
      </c>
      <c r="H322" s="401" t="str">
        <f t="shared" si="60"/>
        <v/>
      </c>
      <c r="I322" s="401">
        <f t="shared" si="61"/>
        <v>6210</v>
      </c>
      <c r="J322" s="981" t="str">
        <f t="shared" si="62"/>
        <v>Edificación habitacional</v>
      </c>
      <c r="K322" s="338">
        <f t="shared" si="51"/>
        <v>0</v>
      </c>
      <c r="L322" s="338">
        <f t="shared" si="52"/>
        <v>0</v>
      </c>
      <c r="M322" s="338">
        <f t="shared" si="53"/>
        <v>0</v>
      </c>
      <c r="N322" s="338">
        <f t="shared" si="54"/>
        <v>0</v>
      </c>
      <c r="O322" s="338">
        <f t="shared" si="55"/>
        <v>0</v>
      </c>
      <c r="P322" s="338">
        <f t="shared" si="56"/>
        <v>0</v>
      </c>
      <c r="Q322" s="338">
        <f t="shared" si="57"/>
        <v>0</v>
      </c>
      <c r="R322" s="338">
        <f t="shared" si="58"/>
        <v>0</v>
      </c>
    </row>
    <row r="323" spans="1:18" ht="12">
      <c r="A323" s="985">
        <v>6220</v>
      </c>
      <c r="B323" s="984" t="s">
        <v>2886</v>
      </c>
      <c r="C323" s="975" t="str">
        <f t="shared" si="63"/>
        <v>62200</v>
      </c>
      <c r="D323" s="401"/>
      <c r="E323" s="980"/>
      <c r="F323" s="980"/>
      <c r="G323" s="401" t="str">
        <f t="shared" si="59"/>
        <v/>
      </c>
      <c r="H323" s="401" t="str">
        <f t="shared" si="60"/>
        <v/>
      </c>
      <c r="I323" s="401">
        <f t="shared" si="61"/>
        <v>6220</v>
      </c>
      <c r="J323" s="981" t="str">
        <f t="shared" si="62"/>
        <v>Edificación no habitacional</v>
      </c>
      <c r="K323" s="338">
        <f t="shared" si="51"/>
        <v>0</v>
      </c>
      <c r="L323" s="338">
        <f t="shared" si="52"/>
        <v>0</v>
      </c>
      <c r="M323" s="338">
        <f t="shared" si="53"/>
        <v>0</v>
      </c>
      <c r="N323" s="338">
        <f t="shared" si="54"/>
        <v>0</v>
      </c>
      <c r="O323" s="338">
        <f t="shared" si="55"/>
        <v>0</v>
      </c>
      <c r="P323" s="338">
        <f t="shared" si="56"/>
        <v>0</v>
      </c>
      <c r="Q323" s="338">
        <f t="shared" si="57"/>
        <v>0</v>
      </c>
      <c r="R323" s="338">
        <f t="shared" si="58"/>
        <v>0</v>
      </c>
    </row>
    <row r="324" spans="1:18" ht="12">
      <c r="A324" s="985">
        <v>6230</v>
      </c>
      <c r="B324" s="984" t="s">
        <v>2887</v>
      </c>
      <c r="C324" s="975" t="str">
        <f t="shared" si="63"/>
        <v>62300</v>
      </c>
      <c r="D324" s="401"/>
      <c r="E324" s="980"/>
      <c r="F324" s="980"/>
      <c r="G324" s="401" t="str">
        <f t="shared" si="59"/>
        <v/>
      </c>
      <c r="H324" s="401" t="str">
        <f t="shared" si="60"/>
        <v/>
      </c>
      <c r="I324" s="401">
        <f t="shared" si="61"/>
        <v>6230</v>
      </c>
      <c r="J324" s="981" t="str">
        <f t="shared" si="62"/>
        <v>Construcción de obras para el abastecimiento de agua, petróleo, gas, electricidad y telecomunicaciones</v>
      </c>
      <c r="K324" s="338">
        <f t="shared" si="51"/>
        <v>0</v>
      </c>
      <c r="L324" s="338">
        <f t="shared" si="52"/>
        <v>0</v>
      </c>
      <c r="M324" s="338">
        <f t="shared" si="53"/>
        <v>0</v>
      </c>
      <c r="N324" s="338">
        <f t="shared" si="54"/>
        <v>0</v>
      </c>
      <c r="O324" s="338">
        <f t="shared" si="55"/>
        <v>0</v>
      </c>
      <c r="P324" s="338">
        <f t="shared" si="56"/>
        <v>0</v>
      </c>
      <c r="Q324" s="338">
        <f t="shared" si="57"/>
        <v>0</v>
      </c>
      <c r="R324" s="338">
        <f t="shared" si="58"/>
        <v>0</v>
      </c>
    </row>
    <row r="325" spans="1:18" ht="12">
      <c r="A325" s="985">
        <v>6240</v>
      </c>
      <c r="B325" s="984" t="s">
        <v>2888</v>
      </c>
      <c r="C325" s="975" t="str">
        <f t="shared" si="63"/>
        <v>62400</v>
      </c>
      <c r="D325" s="401"/>
      <c r="E325" s="980"/>
      <c r="F325" s="980"/>
      <c r="G325" s="401" t="str">
        <f t="shared" si="59"/>
        <v/>
      </c>
      <c r="H325" s="401" t="str">
        <f t="shared" si="60"/>
        <v/>
      </c>
      <c r="I325" s="401">
        <f t="shared" si="61"/>
        <v>6240</v>
      </c>
      <c r="J325" s="981" t="str">
        <f t="shared" si="62"/>
        <v>División de terrenos y construcción de obras de urbanización</v>
      </c>
      <c r="K325" s="338">
        <f t="shared" ref="K325:K388" si="64">IF(MID(A325,2,1)="0",SUMIF(PE_COG,MID(A325,1,1)&amp;"*",PE_A),
IF(AND(MID(A325,2,1)&gt;"0",MID(A325,3,1)="0"),SUMIF(PE_COG,MID(A325,1,2)&amp;"*",PE_A),
IF(MID(A325,3,1)&gt;"0",SUMIF(PE_COG,MID(A325,1,3)&amp;"*",PE_A),"")))</f>
        <v>0</v>
      </c>
      <c r="L325" s="338">
        <f t="shared" ref="L325:L388" si="65">IF(MID(A325,2,1)="0",SUMIF(PE_COG,MID(A325,1,1)&amp;"*",PE_M),
IF(AND(MID(A325,2,1)&gt;"0",MID(A325,3,1)="0"),SUMIF(PE_COG,MID(A325,1,2)&amp;"*",PE_M),
IF(MID(A325,3,1)&gt;"0",SUMIF(PE_COG,MID(A325,1,3)&amp;"*",PE_M),"")))</f>
        <v>0</v>
      </c>
      <c r="M325" s="338">
        <f t="shared" ref="M325:M388" si="66">IF(MID(A325,2,1)="0",SUMIF(PE_COG,MID(A325,1,1)&amp;"*",PE_A),
IF(AND(MID(A325,2,1)&gt;"0",MID(A325,3,1)="0"),SUMIF(PE_COG,MID(A325,1,2)&amp;"*",PE_A),
IF(MID(A325,3,1)&gt;"0",SUMIF(PE_COG,MID(A325,1,3)&amp;"*",PE_A),"")))
+IF(MID(A325,2,1)="0",SUMIF(PE_COG,MID(A325,1,1)&amp;"*",PE_M),
IF(AND(MID(A325,2,1)&gt;"0",MID(A325,3,1)="0"),SUMIF(PE_COG,MID(A325,1,2)&amp;"*",PE_M),
IF(MID(A325,3,1)&gt;"0",SUMIF(PE_COG,MID(A325,1,3)&amp;"*",PE_M),"")))</f>
        <v>0</v>
      </c>
      <c r="N325" s="338">
        <f t="shared" ref="N325:N388" si="67">IF(MID(A325,2,1)="0",SUMIF(PE_COG,MID(A325,1,1)&amp;"*",PE_C),
IF(AND(MID(A325,2,1)&gt;"0",MID(A325,3,1)="0"),SUMIF(PE_COG,MID(A325,1,2)&amp;"*",PE_C),
IF(MID(A325,3,1)&gt;"0",SUMIF(PE_COG,MID(A325,1,3)&amp;"*",PE_C),"")))</f>
        <v>0</v>
      </c>
      <c r="O325" s="338">
        <f t="shared" ref="O325:O388" si="68">IF(MID(A325,2,1)="0",SUMIF(PE_COG,MID(A325,1,1)&amp;"*",PE_D),
IF(AND(MID(A325,2,1)&gt;"0",MID(A325,3,1)="0"),SUMIF(PE_COG,MID(A325,1,2)&amp;"*",PE_D),
IF(MID(A325,3,1)&gt;"0",SUMIF(PE_COG,MID(A325,1,3)&amp;"*",PE_D),"")))</f>
        <v>0</v>
      </c>
      <c r="P325" s="338">
        <f t="shared" ref="P325:P388" si="69">IF(MID(A325,2,1)="0",SUMIF(PE_COG,MID(A325,1,1)&amp;"*",PE_E),
IF(AND(MID(A325,2,1)&gt;"0",MID(A325,3,1)="0"),SUMIF(PE_COG,MID(A325,1,2)&amp;"*",PE_E),
IF(MID(A325,3,1)&gt;"0",SUMIF(PE_COG,MID(A325,1,3)&amp;"*",PE_E),"")))</f>
        <v>0</v>
      </c>
      <c r="Q325" s="338">
        <f t="shared" ref="Q325:Q388" si="70">IF(MID(A325,2,1)="0",SUMIF(PE_COG,MID(A325,1,1)&amp;"*",PE_P),
IF(AND(MID(A325,2,1)&gt;"0",MID(A325,3,1)="0"),SUMIF(PE_COG,MID(A325,1,2)&amp;"*",PE_P),
IF(MID(A325,3,1)&gt;"0",SUMIF(PE_COG,MID(A325,1,3)&amp;"*",PE_P),"")))</f>
        <v>0</v>
      </c>
      <c r="R325" s="338">
        <f t="shared" ref="R325:R388" si="71">IF(MID(A325,2,1)="0",SUMIF(PE_COG,MID(A325,1,1)&amp;"*",PE_A),
IF(AND(MID(A325,2,1)&gt;"0",MID(A325,3,1)="0"),SUMIF(PE_COG,MID(A325,1,2)&amp;"*",PE_A),
IF(MID(A325,3,1)&gt;"0",SUMIF(PE_COG,MID(A325,1,3)&amp;"*",PE_A),"")))
+IF(MID(A325,2,1)="0",SUMIF(PE_COG,MID(A325,1,1)&amp;"*",PE_M),
IF(AND(MID(A325,2,1)&gt;"0",MID(A325,3,1)="0"),SUMIF(PE_COG,MID(A325,1,2)&amp;"*",PE_M),
IF(MID(A325,3,1)&gt;"0",SUMIF(PE_COG,MID(A325,1,3)&amp;"*",PE_M),"")))
-IF(MID(A325,2,1)="0",SUMIF(PE_COG,MID(A325,1,1)&amp;"*",PE_D),
IF(AND(MID(A325,2,1)&gt;"0",MID(A325,3,1)="0"),SUMIF(PE_COG,MID(A325,1,2)&amp;"*",PE_D),
IF(MID(A325,3,1)&gt;"0",SUMIF(PE_COG,MID(A325,1,3)&amp;"*",PE_D),"")))</f>
        <v>0</v>
      </c>
    </row>
    <row r="326" spans="1:18" ht="12">
      <c r="A326" s="985">
        <v>6250</v>
      </c>
      <c r="B326" s="984" t="s">
        <v>2889</v>
      </c>
      <c r="C326" s="975" t="str">
        <f t="shared" si="63"/>
        <v>62500</v>
      </c>
      <c r="D326" s="401"/>
      <c r="E326" s="980"/>
      <c r="F326" s="980"/>
      <c r="G326" s="401" t="str">
        <f t="shared" ref="G326:G389" si="72">IF(MID(A326,2,1)="0",A326,"")</f>
        <v/>
      </c>
      <c r="H326" s="401" t="str">
        <f t="shared" ref="H326:H389" si="73">IF(AND(MID(A326,2,1)&gt;"0",MID(A326,3,1)="0"),A326,"")</f>
        <v/>
      </c>
      <c r="I326" s="401">
        <f t="shared" ref="I326:I389" si="74">IF(MID(A326,3,1)&gt;"0",A326,"")</f>
        <v>6250</v>
      </c>
      <c r="J326" s="981" t="str">
        <f t="shared" ref="J326:J389" si="75">+B326</f>
        <v>Construcción de vías de comunicación</v>
      </c>
      <c r="K326" s="338">
        <f t="shared" si="64"/>
        <v>0</v>
      </c>
      <c r="L326" s="338">
        <f t="shared" si="65"/>
        <v>0</v>
      </c>
      <c r="M326" s="338">
        <f t="shared" si="66"/>
        <v>0</v>
      </c>
      <c r="N326" s="338">
        <f t="shared" si="67"/>
        <v>0</v>
      </c>
      <c r="O326" s="338">
        <f t="shared" si="68"/>
        <v>0</v>
      </c>
      <c r="P326" s="338">
        <f t="shared" si="69"/>
        <v>0</v>
      </c>
      <c r="Q326" s="338">
        <f t="shared" si="70"/>
        <v>0</v>
      </c>
      <c r="R326" s="338">
        <f t="shared" si="71"/>
        <v>0</v>
      </c>
    </row>
    <row r="327" spans="1:18" ht="12">
      <c r="A327" s="985">
        <v>6260</v>
      </c>
      <c r="B327" s="984" t="s">
        <v>2890</v>
      </c>
      <c r="C327" s="975" t="str">
        <f t="shared" si="63"/>
        <v>62600</v>
      </c>
      <c r="D327" s="401"/>
      <c r="E327" s="980"/>
      <c r="F327" s="980"/>
      <c r="G327" s="401" t="str">
        <f t="shared" si="72"/>
        <v/>
      </c>
      <c r="H327" s="401" t="str">
        <f t="shared" si="73"/>
        <v/>
      </c>
      <c r="I327" s="401">
        <f t="shared" si="74"/>
        <v>6260</v>
      </c>
      <c r="J327" s="981" t="str">
        <f t="shared" si="75"/>
        <v>Otras construcciones de ingeniería civil u obra pesada</v>
      </c>
      <c r="K327" s="338">
        <f t="shared" si="64"/>
        <v>0</v>
      </c>
      <c r="L327" s="338">
        <f t="shared" si="65"/>
        <v>0</v>
      </c>
      <c r="M327" s="338">
        <f t="shared" si="66"/>
        <v>0</v>
      </c>
      <c r="N327" s="338">
        <f t="shared" si="67"/>
        <v>0</v>
      </c>
      <c r="O327" s="338">
        <f t="shared" si="68"/>
        <v>0</v>
      </c>
      <c r="P327" s="338">
        <f t="shared" si="69"/>
        <v>0</v>
      </c>
      <c r="Q327" s="338">
        <f t="shared" si="70"/>
        <v>0</v>
      </c>
      <c r="R327" s="338">
        <f t="shared" si="71"/>
        <v>0</v>
      </c>
    </row>
    <row r="328" spans="1:18" ht="12">
      <c r="A328" s="985">
        <v>6270</v>
      </c>
      <c r="B328" s="984" t="s">
        <v>2891</v>
      </c>
      <c r="C328" s="975" t="str">
        <f t="shared" si="63"/>
        <v>62700</v>
      </c>
      <c r="D328" s="401"/>
      <c r="E328" s="980"/>
      <c r="F328" s="980"/>
      <c r="G328" s="401" t="str">
        <f t="shared" si="72"/>
        <v/>
      </c>
      <c r="H328" s="401" t="str">
        <f t="shared" si="73"/>
        <v/>
      </c>
      <c r="I328" s="401">
        <f t="shared" si="74"/>
        <v>6270</v>
      </c>
      <c r="J328" s="981" t="str">
        <f t="shared" si="75"/>
        <v>Instalaciones y equipamiento en construcciones</v>
      </c>
      <c r="K328" s="338">
        <f t="shared" si="64"/>
        <v>0</v>
      </c>
      <c r="L328" s="338">
        <f t="shared" si="65"/>
        <v>0</v>
      </c>
      <c r="M328" s="338">
        <f t="shared" si="66"/>
        <v>0</v>
      </c>
      <c r="N328" s="338">
        <f t="shared" si="67"/>
        <v>0</v>
      </c>
      <c r="O328" s="338">
        <f t="shared" si="68"/>
        <v>0</v>
      </c>
      <c r="P328" s="338">
        <f t="shared" si="69"/>
        <v>0</v>
      </c>
      <c r="Q328" s="338">
        <f t="shared" si="70"/>
        <v>0</v>
      </c>
      <c r="R328" s="338">
        <f t="shared" si="71"/>
        <v>0</v>
      </c>
    </row>
    <row r="329" spans="1:18" ht="12">
      <c r="A329" s="985">
        <v>6290</v>
      </c>
      <c r="B329" s="984" t="s">
        <v>2892</v>
      </c>
      <c r="C329" s="975" t="str">
        <f t="shared" si="63"/>
        <v>62900</v>
      </c>
      <c r="D329" s="401"/>
      <c r="E329" s="980"/>
      <c r="F329" s="980"/>
      <c r="G329" s="401" t="str">
        <f t="shared" si="72"/>
        <v/>
      </c>
      <c r="H329" s="401" t="str">
        <f t="shared" si="73"/>
        <v/>
      </c>
      <c r="I329" s="401">
        <f t="shared" si="74"/>
        <v>6290</v>
      </c>
      <c r="J329" s="981" t="str">
        <f t="shared" si="75"/>
        <v>Trabajos de acabados en edificaciones y otros trabajos especializados</v>
      </c>
      <c r="K329" s="338">
        <f t="shared" si="64"/>
        <v>0</v>
      </c>
      <c r="L329" s="338">
        <f t="shared" si="65"/>
        <v>0</v>
      </c>
      <c r="M329" s="338">
        <f t="shared" si="66"/>
        <v>0</v>
      </c>
      <c r="N329" s="338">
        <f t="shared" si="67"/>
        <v>0</v>
      </c>
      <c r="O329" s="338">
        <f t="shared" si="68"/>
        <v>0</v>
      </c>
      <c r="P329" s="338">
        <f t="shared" si="69"/>
        <v>0</v>
      </c>
      <c r="Q329" s="338">
        <f t="shared" si="70"/>
        <v>0</v>
      </c>
      <c r="R329" s="338">
        <f t="shared" si="71"/>
        <v>0</v>
      </c>
    </row>
    <row r="330" spans="1:18">
      <c r="A330" s="229">
        <v>6300</v>
      </c>
      <c r="B330" s="230" t="s">
        <v>269</v>
      </c>
      <c r="C330" s="975" t="str">
        <f t="shared" si="63"/>
        <v>63000</v>
      </c>
      <c r="D330" s="401"/>
      <c r="E330" s="980"/>
      <c r="F330" s="980"/>
      <c r="G330" s="401" t="str">
        <f t="shared" si="72"/>
        <v/>
      </c>
      <c r="H330" s="401">
        <f t="shared" si="73"/>
        <v>6300</v>
      </c>
      <c r="I330" s="401" t="str">
        <f t="shared" si="74"/>
        <v/>
      </c>
      <c r="J330" s="981" t="str">
        <f t="shared" si="75"/>
        <v>Proyectos productivos y acciones de fomento</v>
      </c>
      <c r="K330" s="338">
        <f t="shared" si="64"/>
        <v>0</v>
      </c>
      <c r="L330" s="338">
        <f t="shared" si="65"/>
        <v>0</v>
      </c>
      <c r="M330" s="338">
        <f t="shared" si="66"/>
        <v>0</v>
      </c>
      <c r="N330" s="338">
        <f t="shared" si="67"/>
        <v>0</v>
      </c>
      <c r="O330" s="338">
        <f t="shared" si="68"/>
        <v>0</v>
      </c>
      <c r="P330" s="338">
        <f t="shared" si="69"/>
        <v>0</v>
      </c>
      <c r="Q330" s="338">
        <f t="shared" si="70"/>
        <v>0</v>
      </c>
      <c r="R330" s="338">
        <f t="shared" si="71"/>
        <v>0</v>
      </c>
    </row>
    <row r="331" spans="1:18" ht="12">
      <c r="A331" s="985">
        <v>6310</v>
      </c>
      <c r="B331" s="984" t="s">
        <v>2893</v>
      </c>
      <c r="C331" s="975" t="str">
        <f t="shared" si="63"/>
        <v>63100</v>
      </c>
      <c r="D331" s="401"/>
      <c r="E331" s="980"/>
      <c r="F331" s="980"/>
      <c r="G331" s="401" t="str">
        <f t="shared" si="72"/>
        <v/>
      </c>
      <c r="H331" s="401" t="str">
        <f t="shared" si="73"/>
        <v/>
      </c>
      <c r="I331" s="401">
        <f t="shared" si="74"/>
        <v>6310</v>
      </c>
      <c r="J331" s="981" t="str">
        <f t="shared" si="75"/>
        <v>Estudios, formulación y evaluación de proyectos productivos no incluidos en conceptos anteriores de este capítulo</v>
      </c>
      <c r="K331" s="338">
        <f t="shared" si="64"/>
        <v>0</v>
      </c>
      <c r="L331" s="338">
        <f t="shared" si="65"/>
        <v>0</v>
      </c>
      <c r="M331" s="338">
        <f t="shared" si="66"/>
        <v>0</v>
      </c>
      <c r="N331" s="338">
        <f t="shared" si="67"/>
        <v>0</v>
      </c>
      <c r="O331" s="338">
        <f t="shared" si="68"/>
        <v>0</v>
      </c>
      <c r="P331" s="338">
        <f t="shared" si="69"/>
        <v>0</v>
      </c>
      <c r="Q331" s="338">
        <f t="shared" si="70"/>
        <v>0</v>
      </c>
      <c r="R331" s="338">
        <f t="shared" si="71"/>
        <v>0</v>
      </c>
    </row>
    <row r="332" spans="1:18" ht="12">
      <c r="A332" s="985">
        <v>6320</v>
      </c>
      <c r="B332" s="984" t="s">
        <v>2894</v>
      </c>
      <c r="C332" s="975" t="str">
        <f t="shared" si="63"/>
        <v>63200</v>
      </c>
      <c r="D332" s="401"/>
      <c r="E332" s="980"/>
      <c r="F332" s="980"/>
      <c r="G332" s="401" t="str">
        <f t="shared" si="72"/>
        <v/>
      </c>
      <c r="H332" s="401" t="str">
        <f t="shared" si="73"/>
        <v/>
      </c>
      <c r="I332" s="401">
        <f t="shared" si="74"/>
        <v>6320</v>
      </c>
      <c r="J332" s="981" t="str">
        <f t="shared" si="75"/>
        <v>Ejecución de proyectos productivos no incluidos en conceptos anteriores de este capítulo</v>
      </c>
      <c r="K332" s="338">
        <f t="shared" si="64"/>
        <v>0</v>
      </c>
      <c r="L332" s="338">
        <f t="shared" si="65"/>
        <v>0</v>
      </c>
      <c r="M332" s="338">
        <f t="shared" si="66"/>
        <v>0</v>
      </c>
      <c r="N332" s="338">
        <f t="shared" si="67"/>
        <v>0</v>
      </c>
      <c r="O332" s="338">
        <f t="shared" si="68"/>
        <v>0</v>
      </c>
      <c r="P332" s="338">
        <f t="shared" si="69"/>
        <v>0</v>
      </c>
      <c r="Q332" s="338">
        <f t="shared" si="70"/>
        <v>0</v>
      </c>
      <c r="R332" s="338">
        <f t="shared" si="71"/>
        <v>0</v>
      </c>
    </row>
    <row r="333" spans="1:18">
      <c r="A333" s="229">
        <v>7000</v>
      </c>
      <c r="B333" s="230" t="s">
        <v>270</v>
      </c>
      <c r="C333" s="975" t="str">
        <f t="shared" si="63"/>
        <v>70000</v>
      </c>
      <c r="D333" s="401"/>
      <c r="E333" s="980"/>
      <c r="F333" s="980"/>
      <c r="G333" s="401">
        <f t="shared" si="72"/>
        <v>7000</v>
      </c>
      <c r="H333" s="401" t="str">
        <f t="shared" si="73"/>
        <v/>
      </c>
      <c r="I333" s="401" t="str">
        <f t="shared" si="74"/>
        <v/>
      </c>
      <c r="J333" s="981" t="str">
        <f t="shared" si="75"/>
        <v>INVERSIONES FINANCIERAS Y OTRAS PROVISIONES</v>
      </c>
      <c r="K333" s="338">
        <f t="shared" si="64"/>
        <v>1937510.53</v>
      </c>
      <c r="L333" s="338">
        <f t="shared" si="65"/>
        <v>733023.78</v>
      </c>
      <c r="M333" s="338">
        <f t="shared" si="66"/>
        <v>2670534.31</v>
      </c>
      <c r="N333" s="338">
        <f t="shared" si="67"/>
        <v>0</v>
      </c>
      <c r="O333" s="338">
        <f t="shared" si="68"/>
        <v>0</v>
      </c>
      <c r="P333" s="338">
        <f t="shared" si="69"/>
        <v>0</v>
      </c>
      <c r="Q333" s="338">
        <f t="shared" si="70"/>
        <v>0</v>
      </c>
      <c r="R333" s="338">
        <f t="shared" si="71"/>
        <v>2670534.31</v>
      </c>
    </row>
    <row r="334" spans="1:18">
      <c r="A334" s="229">
        <v>7100</v>
      </c>
      <c r="B334" s="230" t="s">
        <v>271</v>
      </c>
      <c r="C334" s="975" t="str">
        <f t="shared" ref="C334:C397" si="76">+A334&amp;0</f>
        <v>71000</v>
      </c>
      <c r="D334" s="401"/>
      <c r="E334" s="980"/>
      <c r="F334" s="980"/>
      <c r="G334" s="401" t="str">
        <f t="shared" si="72"/>
        <v/>
      </c>
      <c r="H334" s="401">
        <f t="shared" si="73"/>
        <v>7100</v>
      </c>
      <c r="I334" s="401" t="str">
        <f t="shared" si="74"/>
        <v/>
      </c>
      <c r="J334" s="981" t="str">
        <f t="shared" si="75"/>
        <v>Inversiones para el fomento de actividades productivas</v>
      </c>
      <c r="K334" s="338">
        <f t="shared" si="64"/>
        <v>0</v>
      </c>
      <c r="L334" s="338">
        <f t="shared" si="65"/>
        <v>0</v>
      </c>
      <c r="M334" s="338">
        <f t="shared" si="66"/>
        <v>0</v>
      </c>
      <c r="N334" s="338">
        <f t="shared" si="67"/>
        <v>0</v>
      </c>
      <c r="O334" s="338">
        <f t="shared" si="68"/>
        <v>0</v>
      </c>
      <c r="P334" s="338">
        <f t="shared" si="69"/>
        <v>0</v>
      </c>
      <c r="Q334" s="338">
        <f t="shared" si="70"/>
        <v>0</v>
      </c>
      <c r="R334" s="338">
        <f t="shared" si="71"/>
        <v>0</v>
      </c>
    </row>
    <row r="335" spans="1:18" ht="12">
      <c r="A335" s="985">
        <v>7110</v>
      </c>
      <c r="B335" s="984" t="s">
        <v>2895</v>
      </c>
      <c r="C335" s="975" t="str">
        <f t="shared" si="76"/>
        <v>71100</v>
      </c>
      <c r="D335" s="401"/>
      <c r="E335" s="980"/>
      <c r="F335" s="980"/>
      <c r="G335" s="401" t="str">
        <f t="shared" si="72"/>
        <v/>
      </c>
      <c r="H335" s="401" t="str">
        <f t="shared" si="73"/>
        <v/>
      </c>
      <c r="I335" s="401">
        <f t="shared" si="74"/>
        <v>7110</v>
      </c>
      <c r="J335" s="981" t="str">
        <f t="shared" si="75"/>
        <v>Créditos otorgados por entidades federativas y municipios al sector social y privado para el fomento de actividades productivas</v>
      </c>
      <c r="K335" s="338">
        <f t="shared" si="64"/>
        <v>0</v>
      </c>
      <c r="L335" s="338">
        <f t="shared" si="65"/>
        <v>0</v>
      </c>
      <c r="M335" s="338">
        <f t="shared" si="66"/>
        <v>0</v>
      </c>
      <c r="N335" s="338">
        <f t="shared" si="67"/>
        <v>0</v>
      </c>
      <c r="O335" s="338">
        <f t="shared" si="68"/>
        <v>0</v>
      </c>
      <c r="P335" s="338">
        <f t="shared" si="69"/>
        <v>0</v>
      </c>
      <c r="Q335" s="338">
        <f t="shared" si="70"/>
        <v>0</v>
      </c>
      <c r="R335" s="338">
        <f t="shared" si="71"/>
        <v>0</v>
      </c>
    </row>
    <row r="336" spans="1:18" ht="12">
      <c r="A336" s="985">
        <v>7120</v>
      </c>
      <c r="B336" s="984" t="s">
        <v>2896</v>
      </c>
      <c r="C336" s="975" t="str">
        <f t="shared" si="76"/>
        <v>71200</v>
      </c>
      <c r="D336" s="401"/>
      <c r="E336" s="980"/>
      <c r="F336" s="980"/>
      <c r="G336" s="401" t="str">
        <f t="shared" si="72"/>
        <v/>
      </c>
      <c r="H336" s="401" t="str">
        <f t="shared" si="73"/>
        <v/>
      </c>
      <c r="I336" s="401">
        <f t="shared" si="74"/>
        <v>7120</v>
      </c>
      <c r="J336" s="981" t="str">
        <f t="shared" si="75"/>
        <v>Créditos otorgados por las entidades federativas a municipios para el fomento de actividades productivas</v>
      </c>
      <c r="K336" s="338">
        <f t="shared" si="64"/>
        <v>0</v>
      </c>
      <c r="L336" s="338">
        <f t="shared" si="65"/>
        <v>0</v>
      </c>
      <c r="M336" s="338">
        <f t="shared" si="66"/>
        <v>0</v>
      </c>
      <c r="N336" s="338">
        <f t="shared" si="67"/>
        <v>0</v>
      </c>
      <c r="O336" s="338">
        <f t="shared" si="68"/>
        <v>0</v>
      </c>
      <c r="P336" s="338">
        <f t="shared" si="69"/>
        <v>0</v>
      </c>
      <c r="Q336" s="338">
        <f t="shared" si="70"/>
        <v>0</v>
      </c>
      <c r="R336" s="338">
        <f t="shared" si="71"/>
        <v>0</v>
      </c>
    </row>
    <row r="337" spans="1:18">
      <c r="A337" s="229">
        <v>7200</v>
      </c>
      <c r="B337" s="230" t="s">
        <v>272</v>
      </c>
      <c r="C337" s="975" t="str">
        <f t="shared" si="76"/>
        <v>72000</v>
      </c>
      <c r="D337" s="401"/>
      <c r="E337" s="980"/>
      <c r="F337" s="980"/>
      <c r="G337" s="401" t="str">
        <f t="shared" si="72"/>
        <v/>
      </c>
      <c r="H337" s="401">
        <f t="shared" si="73"/>
        <v>7200</v>
      </c>
      <c r="I337" s="401" t="str">
        <f t="shared" si="74"/>
        <v/>
      </c>
      <c r="J337" s="981" t="str">
        <f t="shared" si="75"/>
        <v>Acciones y participaciones de capital</v>
      </c>
      <c r="K337" s="338">
        <f t="shared" si="64"/>
        <v>0</v>
      </c>
      <c r="L337" s="338">
        <f t="shared" si="65"/>
        <v>0</v>
      </c>
      <c r="M337" s="338">
        <f t="shared" si="66"/>
        <v>0</v>
      </c>
      <c r="N337" s="338">
        <f t="shared" si="67"/>
        <v>0</v>
      </c>
      <c r="O337" s="338">
        <f t="shared" si="68"/>
        <v>0</v>
      </c>
      <c r="P337" s="338">
        <f t="shared" si="69"/>
        <v>0</v>
      </c>
      <c r="Q337" s="338">
        <f t="shared" si="70"/>
        <v>0</v>
      </c>
      <c r="R337" s="338">
        <f t="shared" si="71"/>
        <v>0</v>
      </c>
    </row>
    <row r="338" spans="1:18" ht="12">
      <c r="A338" s="985">
        <v>7210</v>
      </c>
      <c r="B338" s="984" t="s">
        <v>2897</v>
      </c>
      <c r="C338" s="975" t="str">
        <f t="shared" si="76"/>
        <v>72100</v>
      </c>
      <c r="D338" s="401"/>
      <c r="E338" s="980"/>
      <c r="F338" s="980"/>
      <c r="G338" s="401" t="str">
        <f t="shared" si="72"/>
        <v/>
      </c>
      <c r="H338" s="401" t="str">
        <f t="shared" si="73"/>
        <v/>
      </c>
      <c r="I338" s="401">
        <f t="shared" si="74"/>
        <v>7210</v>
      </c>
      <c r="J338" s="981" t="str">
        <f t="shared" si="75"/>
        <v>Acciones y participaciones de capital en entidades paraestatales no empresariales y no financieras con fines de política económica</v>
      </c>
      <c r="K338" s="338">
        <f t="shared" si="64"/>
        <v>0</v>
      </c>
      <c r="L338" s="338">
        <f t="shared" si="65"/>
        <v>0</v>
      </c>
      <c r="M338" s="338">
        <f t="shared" si="66"/>
        <v>0</v>
      </c>
      <c r="N338" s="338">
        <f t="shared" si="67"/>
        <v>0</v>
      </c>
      <c r="O338" s="338">
        <f t="shared" si="68"/>
        <v>0</v>
      </c>
      <c r="P338" s="338">
        <f t="shared" si="69"/>
        <v>0</v>
      </c>
      <c r="Q338" s="338">
        <f t="shared" si="70"/>
        <v>0</v>
      </c>
      <c r="R338" s="338">
        <f t="shared" si="71"/>
        <v>0</v>
      </c>
    </row>
    <row r="339" spans="1:18" ht="12">
      <c r="A339" s="985">
        <v>7220</v>
      </c>
      <c r="B339" s="984" t="s">
        <v>2898</v>
      </c>
      <c r="C339" s="975" t="str">
        <f t="shared" si="76"/>
        <v>72200</v>
      </c>
      <c r="D339" s="401"/>
      <c r="E339" s="980"/>
      <c r="F339" s="980"/>
      <c r="G339" s="401" t="str">
        <f t="shared" si="72"/>
        <v/>
      </c>
      <c r="H339" s="401" t="str">
        <f t="shared" si="73"/>
        <v/>
      </c>
      <c r="I339" s="401">
        <f t="shared" si="74"/>
        <v>7220</v>
      </c>
      <c r="J339" s="981" t="str">
        <f t="shared" si="75"/>
        <v>Acciones y participaciones de capital en entidades paraestatales empresariales y no financieras con fines de política económica</v>
      </c>
      <c r="K339" s="338">
        <f t="shared" si="64"/>
        <v>0</v>
      </c>
      <c r="L339" s="338">
        <f t="shared" si="65"/>
        <v>0</v>
      </c>
      <c r="M339" s="338">
        <f t="shared" si="66"/>
        <v>0</v>
      </c>
      <c r="N339" s="338">
        <f t="shared" si="67"/>
        <v>0</v>
      </c>
      <c r="O339" s="338">
        <f t="shared" si="68"/>
        <v>0</v>
      </c>
      <c r="P339" s="338">
        <f t="shared" si="69"/>
        <v>0</v>
      </c>
      <c r="Q339" s="338">
        <f t="shared" si="70"/>
        <v>0</v>
      </c>
      <c r="R339" s="338">
        <f t="shared" si="71"/>
        <v>0</v>
      </c>
    </row>
    <row r="340" spans="1:18" ht="12">
      <c r="A340" s="985">
        <v>7230</v>
      </c>
      <c r="B340" s="984" t="s">
        <v>2899</v>
      </c>
      <c r="C340" s="975" t="str">
        <f t="shared" si="76"/>
        <v>72300</v>
      </c>
      <c r="D340" s="401"/>
      <c r="E340" s="980"/>
      <c r="F340" s="980"/>
      <c r="G340" s="401" t="str">
        <f t="shared" si="72"/>
        <v/>
      </c>
      <c r="H340" s="401" t="str">
        <f t="shared" si="73"/>
        <v/>
      </c>
      <c r="I340" s="401">
        <f t="shared" si="74"/>
        <v>7230</v>
      </c>
      <c r="J340" s="981" t="str">
        <f t="shared" si="75"/>
        <v>Acciones y participaciones de capital en instituciones paraestatales públicas financieras con fines de política económica</v>
      </c>
      <c r="K340" s="338">
        <f t="shared" si="64"/>
        <v>0</v>
      </c>
      <c r="L340" s="338">
        <f t="shared" si="65"/>
        <v>0</v>
      </c>
      <c r="M340" s="338">
        <f t="shared" si="66"/>
        <v>0</v>
      </c>
      <c r="N340" s="338">
        <f t="shared" si="67"/>
        <v>0</v>
      </c>
      <c r="O340" s="338">
        <f t="shared" si="68"/>
        <v>0</v>
      </c>
      <c r="P340" s="338">
        <f t="shared" si="69"/>
        <v>0</v>
      </c>
      <c r="Q340" s="338">
        <f t="shared" si="70"/>
        <v>0</v>
      </c>
      <c r="R340" s="338">
        <f t="shared" si="71"/>
        <v>0</v>
      </c>
    </row>
    <row r="341" spans="1:18" ht="12">
      <c r="A341" s="985">
        <v>7240</v>
      </c>
      <c r="B341" s="984" t="s">
        <v>2900</v>
      </c>
      <c r="C341" s="975" t="str">
        <f t="shared" si="76"/>
        <v>72400</v>
      </c>
      <c r="D341" s="401"/>
      <c r="E341" s="980"/>
      <c r="F341" s="980"/>
      <c r="G341" s="401" t="str">
        <f t="shared" si="72"/>
        <v/>
      </c>
      <c r="H341" s="401" t="str">
        <f t="shared" si="73"/>
        <v/>
      </c>
      <c r="I341" s="401">
        <f t="shared" si="74"/>
        <v>7240</v>
      </c>
      <c r="J341" s="981" t="str">
        <f t="shared" si="75"/>
        <v>Acciones y participaciones de capital en el sector privado con fines de política económica</v>
      </c>
      <c r="K341" s="338">
        <f t="shared" si="64"/>
        <v>0</v>
      </c>
      <c r="L341" s="338">
        <f t="shared" si="65"/>
        <v>0</v>
      </c>
      <c r="M341" s="338">
        <f t="shared" si="66"/>
        <v>0</v>
      </c>
      <c r="N341" s="338">
        <f t="shared" si="67"/>
        <v>0</v>
      </c>
      <c r="O341" s="338">
        <f t="shared" si="68"/>
        <v>0</v>
      </c>
      <c r="P341" s="338">
        <f t="shared" si="69"/>
        <v>0</v>
      </c>
      <c r="Q341" s="338">
        <f t="shared" si="70"/>
        <v>0</v>
      </c>
      <c r="R341" s="338">
        <f t="shared" si="71"/>
        <v>0</v>
      </c>
    </row>
    <row r="342" spans="1:18" ht="12">
      <c r="A342" s="985">
        <v>7250</v>
      </c>
      <c r="B342" s="984" t="s">
        <v>2901</v>
      </c>
      <c r="C342" s="975" t="str">
        <f t="shared" si="76"/>
        <v>72500</v>
      </c>
      <c r="D342" s="401"/>
      <c r="E342" s="980"/>
      <c r="F342" s="980"/>
      <c r="G342" s="401" t="str">
        <f t="shared" si="72"/>
        <v/>
      </c>
      <c r="H342" s="401" t="str">
        <f t="shared" si="73"/>
        <v/>
      </c>
      <c r="I342" s="401">
        <f t="shared" si="74"/>
        <v>7250</v>
      </c>
      <c r="J342" s="981" t="str">
        <f t="shared" si="75"/>
        <v>Acciones y participaciones de capital en organismos internacionales con fines de política económica</v>
      </c>
      <c r="K342" s="338">
        <f t="shared" si="64"/>
        <v>0</v>
      </c>
      <c r="L342" s="338">
        <f t="shared" si="65"/>
        <v>0</v>
      </c>
      <c r="M342" s="338">
        <f t="shared" si="66"/>
        <v>0</v>
      </c>
      <c r="N342" s="338">
        <f t="shared" si="67"/>
        <v>0</v>
      </c>
      <c r="O342" s="338">
        <f t="shared" si="68"/>
        <v>0</v>
      </c>
      <c r="P342" s="338">
        <f t="shared" si="69"/>
        <v>0</v>
      </c>
      <c r="Q342" s="338">
        <f t="shared" si="70"/>
        <v>0</v>
      </c>
      <c r="R342" s="338">
        <f t="shared" si="71"/>
        <v>0</v>
      </c>
    </row>
    <row r="343" spans="1:18" ht="12">
      <c r="A343" s="985">
        <v>7260</v>
      </c>
      <c r="B343" s="984" t="s">
        <v>2902</v>
      </c>
      <c r="C343" s="975" t="str">
        <f t="shared" si="76"/>
        <v>72600</v>
      </c>
      <c r="D343" s="401"/>
      <c r="E343" s="980"/>
      <c r="F343" s="980"/>
      <c r="G343" s="401" t="str">
        <f t="shared" si="72"/>
        <v/>
      </c>
      <c r="H343" s="401" t="str">
        <f t="shared" si="73"/>
        <v/>
      </c>
      <c r="I343" s="401">
        <f t="shared" si="74"/>
        <v>7260</v>
      </c>
      <c r="J343" s="981" t="str">
        <f t="shared" si="75"/>
        <v>Acciones y participaciones de capital en el sector externo con fines de política económica</v>
      </c>
      <c r="K343" s="338">
        <f t="shared" si="64"/>
        <v>0</v>
      </c>
      <c r="L343" s="338">
        <f t="shared" si="65"/>
        <v>0</v>
      </c>
      <c r="M343" s="338">
        <f t="shared" si="66"/>
        <v>0</v>
      </c>
      <c r="N343" s="338">
        <f t="shared" si="67"/>
        <v>0</v>
      </c>
      <c r="O343" s="338">
        <f t="shared" si="68"/>
        <v>0</v>
      </c>
      <c r="P343" s="338">
        <f t="shared" si="69"/>
        <v>0</v>
      </c>
      <c r="Q343" s="338">
        <f t="shared" si="70"/>
        <v>0</v>
      </c>
      <c r="R343" s="338">
        <f t="shared" si="71"/>
        <v>0</v>
      </c>
    </row>
    <row r="344" spans="1:18" ht="12">
      <c r="A344" s="985">
        <v>7270</v>
      </c>
      <c r="B344" s="984" t="s">
        <v>2903</v>
      </c>
      <c r="C344" s="975" t="str">
        <f t="shared" si="76"/>
        <v>72700</v>
      </c>
      <c r="D344" s="401"/>
      <c r="E344" s="980"/>
      <c r="F344" s="980"/>
      <c r="G344" s="401" t="str">
        <f t="shared" si="72"/>
        <v/>
      </c>
      <c r="H344" s="401" t="str">
        <f t="shared" si="73"/>
        <v/>
      </c>
      <c r="I344" s="401">
        <f t="shared" si="74"/>
        <v>7270</v>
      </c>
      <c r="J344" s="981" t="str">
        <f t="shared" si="75"/>
        <v>Acciones y participaciones de capital en el sector público con fines de gestión de liquidez</v>
      </c>
      <c r="K344" s="338">
        <f t="shared" si="64"/>
        <v>0</v>
      </c>
      <c r="L344" s="338">
        <f t="shared" si="65"/>
        <v>0</v>
      </c>
      <c r="M344" s="338">
        <f t="shared" si="66"/>
        <v>0</v>
      </c>
      <c r="N344" s="338">
        <f t="shared" si="67"/>
        <v>0</v>
      </c>
      <c r="O344" s="338">
        <f t="shared" si="68"/>
        <v>0</v>
      </c>
      <c r="P344" s="338">
        <f t="shared" si="69"/>
        <v>0</v>
      </c>
      <c r="Q344" s="338">
        <f t="shared" si="70"/>
        <v>0</v>
      </c>
      <c r="R344" s="338">
        <f t="shared" si="71"/>
        <v>0</v>
      </c>
    </row>
    <row r="345" spans="1:18" ht="12">
      <c r="A345" s="985">
        <v>7280</v>
      </c>
      <c r="B345" s="984" t="s">
        <v>2904</v>
      </c>
      <c r="C345" s="975" t="str">
        <f t="shared" si="76"/>
        <v>72800</v>
      </c>
      <c r="D345" s="401"/>
      <c r="E345" s="980"/>
      <c r="F345" s="980"/>
      <c r="G345" s="401" t="str">
        <f t="shared" si="72"/>
        <v/>
      </c>
      <c r="H345" s="401" t="str">
        <f t="shared" si="73"/>
        <v/>
      </c>
      <c r="I345" s="401">
        <f t="shared" si="74"/>
        <v>7280</v>
      </c>
      <c r="J345" s="981" t="str">
        <f t="shared" si="75"/>
        <v>Acciones y participaciones de capital en el sector privado con fines de gestión de liquidez</v>
      </c>
      <c r="K345" s="338">
        <f t="shared" si="64"/>
        <v>0</v>
      </c>
      <c r="L345" s="338">
        <f t="shared" si="65"/>
        <v>0</v>
      </c>
      <c r="M345" s="338">
        <f t="shared" si="66"/>
        <v>0</v>
      </c>
      <c r="N345" s="338">
        <f t="shared" si="67"/>
        <v>0</v>
      </c>
      <c r="O345" s="338">
        <f t="shared" si="68"/>
        <v>0</v>
      </c>
      <c r="P345" s="338">
        <f t="shared" si="69"/>
        <v>0</v>
      </c>
      <c r="Q345" s="338">
        <f t="shared" si="70"/>
        <v>0</v>
      </c>
      <c r="R345" s="338">
        <f t="shared" si="71"/>
        <v>0</v>
      </c>
    </row>
    <row r="346" spans="1:18" ht="12">
      <c r="A346" s="985">
        <v>7290</v>
      </c>
      <c r="B346" s="984" t="s">
        <v>2905</v>
      </c>
      <c r="C346" s="975" t="str">
        <f t="shared" si="76"/>
        <v>72900</v>
      </c>
      <c r="D346" s="401"/>
      <c r="E346" s="980"/>
      <c r="F346" s="980"/>
      <c r="G346" s="401" t="str">
        <f t="shared" si="72"/>
        <v/>
      </c>
      <c r="H346" s="401" t="str">
        <f t="shared" si="73"/>
        <v/>
      </c>
      <c r="I346" s="401">
        <f t="shared" si="74"/>
        <v>7290</v>
      </c>
      <c r="J346" s="981" t="str">
        <f t="shared" si="75"/>
        <v>Acciones y participaciones de capital en el sector externo con fines de gestión de liquidez</v>
      </c>
      <c r="K346" s="338">
        <f t="shared" si="64"/>
        <v>0</v>
      </c>
      <c r="L346" s="338">
        <f t="shared" si="65"/>
        <v>0</v>
      </c>
      <c r="M346" s="338">
        <f t="shared" si="66"/>
        <v>0</v>
      </c>
      <c r="N346" s="338">
        <f t="shared" si="67"/>
        <v>0</v>
      </c>
      <c r="O346" s="338">
        <f t="shared" si="68"/>
        <v>0</v>
      </c>
      <c r="P346" s="338">
        <f t="shared" si="69"/>
        <v>0</v>
      </c>
      <c r="Q346" s="338">
        <f t="shared" si="70"/>
        <v>0</v>
      </c>
      <c r="R346" s="338">
        <f t="shared" si="71"/>
        <v>0</v>
      </c>
    </row>
    <row r="347" spans="1:18">
      <c r="A347" s="229">
        <v>7300</v>
      </c>
      <c r="B347" s="230" t="s">
        <v>273</v>
      </c>
      <c r="C347" s="975" t="str">
        <f t="shared" si="76"/>
        <v>73000</v>
      </c>
      <c r="D347" s="401"/>
      <c r="E347" s="980"/>
      <c r="F347" s="980"/>
      <c r="G347" s="401" t="str">
        <f t="shared" si="72"/>
        <v/>
      </c>
      <c r="H347" s="401">
        <f t="shared" si="73"/>
        <v>7300</v>
      </c>
      <c r="I347" s="401" t="str">
        <f t="shared" si="74"/>
        <v/>
      </c>
      <c r="J347" s="981" t="str">
        <f t="shared" si="75"/>
        <v>Compra de títulos y valores</v>
      </c>
      <c r="K347" s="338">
        <f t="shared" si="64"/>
        <v>0</v>
      </c>
      <c r="L347" s="338">
        <f t="shared" si="65"/>
        <v>0</v>
      </c>
      <c r="M347" s="338">
        <f t="shared" si="66"/>
        <v>0</v>
      </c>
      <c r="N347" s="338">
        <f t="shared" si="67"/>
        <v>0</v>
      </c>
      <c r="O347" s="338">
        <f t="shared" si="68"/>
        <v>0</v>
      </c>
      <c r="P347" s="338">
        <f t="shared" si="69"/>
        <v>0</v>
      </c>
      <c r="Q347" s="338">
        <f t="shared" si="70"/>
        <v>0</v>
      </c>
      <c r="R347" s="338">
        <f t="shared" si="71"/>
        <v>0</v>
      </c>
    </row>
    <row r="348" spans="1:18" ht="12">
      <c r="A348" s="985">
        <v>7310</v>
      </c>
      <c r="B348" s="984" t="s">
        <v>2906</v>
      </c>
      <c r="C348" s="975" t="str">
        <f t="shared" si="76"/>
        <v>73100</v>
      </c>
      <c r="D348" s="401"/>
      <c r="E348" s="980"/>
      <c r="F348" s="980"/>
      <c r="G348" s="401" t="str">
        <f t="shared" si="72"/>
        <v/>
      </c>
      <c r="H348" s="401" t="str">
        <f t="shared" si="73"/>
        <v/>
      </c>
      <c r="I348" s="401">
        <f t="shared" si="74"/>
        <v>7310</v>
      </c>
      <c r="J348" s="981" t="str">
        <f t="shared" si="75"/>
        <v>Bonos</v>
      </c>
      <c r="K348" s="338">
        <f t="shared" si="64"/>
        <v>0</v>
      </c>
      <c r="L348" s="338">
        <f t="shared" si="65"/>
        <v>0</v>
      </c>
      <c r="M348" s="338">
        <f t="shared" si="66"/>
        <v>0</v>
      </c>
      <c r="N348" s="338">
        <f t="shared" si="67"/>
        <v>0</v>
      </c>
      <c r="O348" s="338">
        <f t="shared" si="68"/>
        <v>0</v>
      </c>
      <c r="P348" s="338">
        <f t="shared" si="69"/>
        <v>0</v>
      </c>
      <c r="Q348" s="338">
        <f t="shared" si="70"/>
        <v>0</v>
      </c>
      <c r="R348" s="338">
        <f t="shared" si="71"/>
        <v>0</v>
      </c>
    </row>
    <row r="349" spans="1:18" ht="12">
      <c r="A349" s="985">
        <v>7320</v>
      </c>
      <c r="B349" s="984" t="s">
        <v>2907</v>
      </c>
      <c r="C349" s="975" t="str">
        <f t="shared" si="76"/>
        <v>73200</v>
      </c>
      <c r="D349" s="401"/>
      <c r="E349" s="980"/>
      <c r="F349" s="980"/>
      <c r="G349" s="401" t="str">
        <f t="shared" si="72"/>
        <v/>
      </c>
      <c r="H349" s="401" t="str">
        <f t="shared" si="73"/>
        <v/>
      </c>
      <c r="I349" s="401">
        <f t="shared" si="74"/>
        <v>7320</v>
      </c>
      <c r="J349" s="981" t="str">
        <f t="shared" si="75"/>
        <v>Valores representativos de deuda adquiridos con fines de política económica</v>
      </c>
      <c r="K349" s="338">
        <f t="shared" si="64"/>
        <v>0</v>
      </c>
      <c r="L349" s="338">
        <f t="shared" si="65"/>
        <v>0</v>
      </c>
      <c r="M349" s="338">
        <f t="shared" si="66"/>
        <v>0</v>
      </c>
      <c r="N349" s="338">
        <f t="shared" si="67"/>
        <v>0</v>
      </c>
      <c r="O349" s="338">
        <f t="shared" si="68"/>
        <v>0</v>
      </c>
      <c r="P349" s="338">
        <f t="shared" si="69"/>
        <v>0</v>
      </c>
      <c r="Q349" s="338">
        <f t="shared" si="70"/>
        <v>0</v>
      </c>
      <c r="R349" s="338">
        <f t="shared" si="71"/>
        <v>0</v>
      </c>
    </row>
    <row r="350" spans="1:18" ht="12">
      <c r="A350" s="985">
        <v>7330</v>
      </c>
      <c r="B350" s="984" t="s">
        <v>2908</v>
      </c>
      <c r="C350" s="975" t="str">
        <f t="shared" si="76"/>
        <v>73300</v>
      </c>
      <c r="D350" s="401"/>
      <c r="E350" s="980"/>
      <c r="F350" s="980"/>
      <c r="G350" s="401" t="str">
        <f t="shared" si="72"/>
        <v/>
      </c>
      <c r="H350" s="401" t="str">
        <f t="shared" si="73"/>
        <v/>
      </c>
      <c r="I350" s="401">
        <f t="shared" si="74"/>
        <v>7330</v>
      </c>
      <c r="J350" s="981" t="str">
        <f t="shared" si="75"/>
        <v>Valores representativos de deuda adquiridos con fines de gestión de liquidez</v>
      </c>
      <c r="K350" s="338">
        <f t="shared" si="64"/>
        <v>0</v>
      </c>
      <c r="L350" s="338">
        <f t="shared" si="65"/>
        <v>0</v>
      </c>
      <c r="M350" s="338">
        <f t="shared" si="66"/>
        <v>0</v>
      </c>
      <c r="N350" s="338">
        <f t="shared" si="67"/>
        <v>0</v>
      </c>
      <c r="O350" s="338">
        <f t="shared" si="68"/>
        <v>0</v>
      </c>
      <c r="P350" s="338">
        <f t="shared" si="69"/>
        <v>0</v>
      </c>
      <c r="Q350" s="338">
        <f t="shared" si="70"/>
        <v>0</v>
      </c>
      <c r="R350" s="338">
        <f t="shared" si="71"/>
        <v>0</v>
      </c>
    </row>
    <row r="351" spans="1:18" ht="12">
      <c r="A351" s="985">
        <v>7340</v>
      </c>
      <c r="B351" s="984" t="s">
        <v>2909</v>
      </c>
      <c r="C351" s="975" t="str">
        <f t="shared" si="76"/>
        <v>73400</v>
      </c>
      <c r="D351" s="401"/>
      <c r="E351" s="980"/>
      <c r="F351" s="980"/>
      <c r="G351" s="401" t="str">
        <f t="shared" si="72"/>
        <v/>
      </c>
      <c r="H351" s="401" t="str">
        <f t="shared" si="73"/>
        <v/>
      </c>
      <c r="I351" s="401">
        <f t="shared" si="74"/>
        <v>7340</v>
      </c>
      <c r="J351" s="981" t="str">
        <f t="shared" si="75"/>
        <v>Obligaciones negociables adquiridas con fines de política económica</v>
      </c>
      <c r="K351" s="338">
        <f t="shared" si="64"/>
        <v>0</v>
      </c>
      <c r="L351" s="338">
        <f t="shared" si="65"/>
        <v>0</v>
      </c>
      <c r="M351" s="338">
        <f t="shared" si="66"/>
        <v>0</v>
      </c>
      <c r="N351" s="338">
        <f t="shared" si="67"/>
        <v>0</v>
      </c>
      <c r="O351" s="338">
        <f t="shared" si="68"/>
        <v>0</v>
      </c>
      <c r="P351" s="338">
        <f t="shared" si="69"/>
        <v>0</v>
      </c>
      <c r="Q351" s="338">
        <f t="shared" si="70"/>
        <v>0</v>
      </c>
      <c r="R351" s="338">
        <f t="shared" si="71"/>
        <v>0</v>
      </c>
    </row>
    <row r="352" spans="1:18" ht="12">
      <c r="A352" s="985">
        <v>7350</v>
      </c>
      <c r="B352" s="984" t="s">
        <v>2910</v>
      </c>
      <c r="C352" s="975" t="str">
        <f t="shared" si="76"/>
        <v>73500</v>
      </c>
      <c r="D352" s="401"/>
      <c r="E352" s="980"/>
      <c r="F352" s="980"/>
      <c r="G352" s="401" t="str">
        <f t="shared" si="72"/>
        <v/>
      </c>
      <c r="H352" s="401" t="str">
        <f t="shared" si="73"/>
        <v/>
      </c>
      <c r="I352" s="401">
        <f t="shared" si="74"/>
        <v>7350</v>
      </c>
      <c r="J352" s="981" t="str">
        <f t="shared" si="75"/>
        <v>Obligaciones negociables adquiridas con fines de gestión de liquidez</v>
      </c>
      <c r="K352" s="338">
        <f t="shared" si="64"/>
        <v>0</v>
      </c>
      <c r="L352" s="338">
        <f t="shared" si="65"/>
        <v>0</v>
      </c>
      <c r="M352" s="338">
        <f t="shared" si="66"/>
        <v>0</v>
      </c>
      <c r="N352" s="338">
        <f t="shared" si="67"/>
        <v>0</v>
      </c>
      <c r="O352" s="338">
        <f t="shared" si="68"/>
        <v>0</v>
      </c>
      <c r="P352" s="338">
        <f t="shared" si="69"/>
        <v>0</v>
      </c>
      <c r="Q352" s="338">
        <f t="shared" si="70"/>
        <v>0</v>
      </c>
      <c r="R352" s="338">
        <f t="shared" si="71"/>
        <v>0</v>
      </c>
    </row>
    <row r="353" spans="1:18" ht="12">
      <c r="A353" s="985">
        <v>7390</v>
      </c>
      <c r="B353" s="984" t="s">
        <v>2911</v>
      </c>
      <c r="C353" s="975" t="str">
        <f t="shared" si="76"/>
        <v>73900</v>
      </c>
      <c r="D353" s="401"/>
      <c r="E353" s="980"/>
      <c r="F353" s="980"/>
      <c r="G353" s="401" t="str">
        <f t="shared" si="72"/>
        <v/>
      </c>
      <c r="H353" s="401" t="str">
        <f t="shared" si="73"/>
        <v/>
      </c>
      <c r="I353" s="401">
        <f t="shared" si="74"/>
        <v>7390</v>
      </c>
      <c r="J353" s="981" t="str">
        <f t="shared" si="75"/>
        <v>Otros valores</v>
      </c>
      <c r="K353" s="338">
        <f t="shared" si="64"/>
        <v>0</v>
      </c>
      <c r="L353" s="338">
        <f t="shared" si="65"/>
        <v>0</v>
      </c>
      <c r="M353" s="338">
        <f t="shared" si="66"/>
        <v>0</v>
      </c>
      <c r="N353" s="338">
        <f t="shared" si="67"/>
        <v>0</v>
      </c>
      <c r="O353" s="338">
        <f t="shared" si="68"/>
        <v>0</v>
      </c>
      <c r="P353" s="338">
        <f t="shared" si="69"/>
        <v>0</v>
      </c>
      <c r="Q353" s="338">
        <f t="shared" si="70"/>
        <v>0</v>
      </c>
      <c r="R353" s="338">
        <f t="shared" si="71"/>
        <v>0</v>
      </c>
    </row>
    <row r="354" spans="1:18">
      <c r="A354" s="229">
        <v>7400</v>
      </c>
      <c r="B354" s="230" t="s">
        <v>274</v>
      </c>
      <c r="C354" s="975" t="str">
        <f t="shared" si="76"/>
        <v>74000</v>
      </c>
      <c r="D354" s="401"/>
      <c r="E354" s="980"/>
      <c r="F354" s="980"/>
      <c r="G354" s="401" t="str">
        <f t="shared" si="72"/>
        <v/>
      </c>
      <c r="H354" s="401">
        <f t="shared" si="73"/>
        <v>7400</v>
      </c>
      <c r="I354" s="401" t="str">
        <f t="shared" si="74"/>
        <v/>
      </c>
      <c r="J354" s="981" t="str">
        <f t="shared" si="75"/>
        <v>Concesión de préstamos</v>
      </c>
      <c r="K354" s="338">
        <f t="shared" si="64"/>
        <v>0</v>
      </c>
      <c r="L354" s="338">
        <f t="shared" si="65"/>
        <v>0</v>
      </c>
      <c r="M354" s="338">
        <f t="shared" si="66"/>
        <v>0</v>
      </c>
      <c r="N354" s="338">
        <f t="shared" si="67"/>
        <v>0</v>
      </c>
      <c r="O354" s="338">
        <f t="shared" si="68"/>
        <v>0</v>
      </c>
      <c r="P354" s="338">
        <f t="shared" si="69"/>
        <v>0</v>
      </c>
      <c r="Q354" s="338">
        <f t="shared" si="70"/>
        <v>0</v>
      </c>
      <c r="R354" s="338">
        <f t="shared" si="71"/>
        <v>0</v>
      </c>
    </row>
    <row r="355" spans="1:18" ht="12">
      <c r="A355" s="985">
        <v>7410</v>
      </c>
      <c r="B355" s="984" t="s">
        <v>2912</v>
      </c>
      <c r="C355" s="975" t="str">
        <f t="shared" si="76"/>
        <v>74100</v>
      </c>
      <c r="D355" s="401"/>
      <c r="E355" s="980"/>
      <c r="F355" s="980"/>
      <c r="G355" s="401" t="str">
        <f t="shared" si="72"/>
        <v/>
      </c>
      <c r="H355" s="401" t="str">
        <f t="shared" si="73"/>
        <v/>
      </c>
      <c r="I355" s="401">
        <f t="shared" si="74"/>
        <v>7410</v>
      </c>
      <c r="J355" s="981" t="str">
        <f t="shared" si="75"/>
        <v>Concesión de préstamos a entidades paraestatales no empresariales y no financieras con fines de política económica</v>
      </c>
      <c r="K355" s="338">
        <f t="shared" si="64"/>
        <v>0</v>
      </c>
      <c r="L355" s="338">
        <f t="shared" si="65"/>
        <v>0</v>
      </c>
      <c r="M355" s="338">
        <f t="shared" si="66"/>
        <v>0</v>
      </c>
      <c r="N355" s="338">
        <f t="shared" si="67"/>
        <v>0</v>
      </c>
      <c r="O355" s="338">
        <f t="shared" si="68"/>
        <v>0</v>
      </c>
      <c r="P355" s="338">
        <f t="shared" si="69"/>
        <v>0</v>
      </c>
      <c r="Q355" s="338">
        <f t="shared" si="70"/>
        <v>0</v>
      </c>
      <c r="R355" s="338">
        <f t="shared" si="71"/>
        <v>0</v>
      </c>
    </row>
    <row r="356" spans="1:18" ht="12">
      <c r="A356" s="985">
        <v>7420</v>
      </c>
      <c r="B356" s="984" t="s">
        <v>2913</v>
      </c>
      <c r="C356" s="975" t="str">
        <f t="shared" si="76"/>
        <v>74200</v>
      </c>
      <c r="D356" s="401"/>
      <c r="E356" s="980"/>
      <c r="F356" s="980"/>
      <c r="G356" s="401" t="str">
        <f t="shared" si="72"/>
        <v/>
      </c>
      <c r="H356" s="401" t="str">
        <f t="shared" si="73"/>
        <v/>
      </c>
      <c r="I356" s="401">
        <f t="shared" si="74"/>
        <v>7420</v>
      </c>
      <c r="J356" s="981" t="str">
        <f t="shared" si="75"/>
        <v>Concesión de préstamos a entidades paraestatales empresariales y no financieras con fines de política económica</v>
      </c>
      <c r="K356" s="338">
        <f t="shared" si="64"/>
        <v>0</v>
      </c>
      <c r="L356" s="338">
        <f t="shared" si="65"/>
        <v>0</v>
      </c>
      <c r="M356" s="338">
        <f t="shared" si="66"/>
        <v>0</v>
      </c>
      <c r="N356" s="338">
        <f t="shared" si="67"/>
        <v>0</v>
      </c>
      <c r="O356" s="338">
        <f t="shared" si="68"/>
        <v>0</v>
      </c>
      <c r="P356" s="338">
        <f t="shared" si="69"/>
        <v>0</v>
      </c>
      <c r="Q356" s="338">
        <f t="shared" si="70"/>
        <v>0</v>
      </c>
      <c r="R356" s="338">
        <f t="shared" si="71"/>
        <v>0</v>
      </c>
    </row>
    <row r="357" spans="1:18" ht="12">
      <c r="A357" s="985">
        <v>7430</v>
      </c>
      <c r="B357" s="984" t="s">
        <v>2914</v>
      </c>
      <c r="C357" s="975" t="str">
        <f t="shared" si="76"/>
        <v>74300</v>
      </c>
      <c r="D357" s="401"/>
      <c r="E357" s="980"/>
      <c r="F357" s="980"/>
      <c r="G357" s="401" t="str">
        <f t="shared" si="72"/>
        <v/>
      </c>
      <c r="H357" s="401" t="str">
        <f t="shared" si="73"/>
        <v/>
      </c>
      <c r="I357" s="401">
        <f t="shared" si="74"/>
        <v>7430</v>
      </c>
      <c r="J357" s="981" t="str">
        <f t="shared" si="75"/>
        <v>Concesión de préstamos a instituciones paraestatales públicas financieras con fines de política económica</v>
      </c>
      <c r="K357" s="338">
        <f t="shared" si="64"/>
        <v>0</v>
      </c>
      <c r="L357" s="338">
        <f t="shared" si="65"/>
        <v>0</v>
      </c>
      <c r="M357" s="338">
        <f t="shared" si="66"/>
        <v>0</v>
      </c>
      <c r="N357" s="338">
        <f t="shared" si="67"/>
        <v>0</v>
      </c>
      <c r="O357" s="338">
        <f t="shared" si="68"/>
        <v>0</v>
      </c>
      <c r="P357" s="338">
        <f t="shared" si="69"/>
        <v>0</v>
      </c>
      <c r="Q357" s="338">
        <f t="shared" si="70"/>
        <v>0</v>
      </c>
      <c r="R357" s="338">
        <f t="shared" si="71"/>
        <v>0</v>
      </c>
    </row>
    <row r="358" spans="1:18" ht="12">
      <c r="A358" s="985">
        <v>7440</v>
      </c>
      <c r="B358" s="984" t="s">
        <v>2915</v>
      </c>
      <c r="C358" s="975" t="str">
        <f t="shared" si="76"/>
        <v>74400</v>
      </c>
      <c r="D358" s="401"/>
      <c r="E358" s="980"/>
      <c r="F358" s="980"/>
      <c r="G358" s="401" t="str">
        <f t="shared" si="72"/>
        <v/>
      </c>
      <c r="H358" s="401" t="str">
        <f t="shared" si="73"/>
        <v/>
      </c>
      <c r="I358" s="401">
        <f t="shared" si="74"/>
        <v>7440</v>
      </c>
      <c r="J358" s="981" t="str">
        <f t="shared" si="75"/>
        <v>Concesión de préstamos a entidades federativas y municipios con fines de política económica</v>
      </c>
      <c r="K358" s="338">
        <f t="shared" si="64"/>
        <v>0</v>
      </c>
      <c r="L358" s="338">
        <f t="shared" si="65"/>
        <v>0</v>
      </c>
      <c r="M358" s="338">
        <f t="shared" si="66"/>
        <v>0</v>
      </c>
      <c r="N358" s="338">
        <f t="shared" si="67"/>
        <v>0</v>
      </c>
      <c r="O358" s="338">
        <f t="shared" si="68"/>
        <v>0</v>
      </c>
      <c r="P358" s="338">
        <f t="shared" si="69"/>
        <v>0</v>
      </c>
      <c r="Q358" s="338">
        <f t="shared" si="70"/>
        <v>0</v>
      </c>
      <c r="R358" s="338">
        <f t="shared" si="71"/>
        <v>0</v>
      </c>
    </row>
    <row r="359" spans="1:18" ht="12">
      <c r="A359" s="985">
        <v>7450</v>
      </c>
      <c r="B359" s="984" t="s">
        <v>2916</v>
      </c>
      <c r="C359" s="975" t="str">
        <f t="shared" si="76"/>
        <v>74500</v>
      </c>
      <c r="D359" s="401"/>
      <c r="E359" s="980"/>
      <c r="F359" s="980"/>
      <c r="G359" s="401" t="str">
        <f t="shared" si="72"/>
        <v/>
      </c>
      <c r="H359" s="401" t="str">
        <f t="shared" si="73"/>
        <v/>
      </c>
      <c r="I359" s="401">
        <f t="shared" si="74"/>
        <v>7450</v>
      </c>
      <c r="J359" s="981" t="str">
        <f t="shared" si="75"/>
        <v>Concesión de préstamos al sector privado con fines de política económica</v>
      </c>
      <c r="K359" s="338">
        <f t="shared" si="64"/>
        <v>0</v>
      </c>
      <c r="L359" s="338">
        <f t="shared" si="65"/>
        <v>0</v>
      </c>
      <c r="M359" s="338">
        <f t="shared" si="66"/>
        <v>0</v>
      </c>
      <c r="N359" s="338">
        <f t="shared" si="67"/>
        <v>0</v>
      </c>
      <c r="O359" s="338">
        <f t="shared" si="68"/>
        <v>0</v>
      </c>
      <c r="P359" s="338">
        <f t="shared" si="69"/>
        <v>0</v>
      </c>
      <c r="Q359" s="338">
        <f t="shared" si="70"/>
        <v>0</v>
      </c>
      <c r="R359" s="338">
        <f t="shared" si="71"/>
        <v>0</v>
      </c>
    </row>
    <row r="360" spans="1:18" ht="12">
      <c r="A360" s="985">
        <v>7460</v>
      </c>
      <c r="B360" s="984" t="s">
        <v>2917</v>
      </c>
      <c r="C360" s="975" t="str">
        <f t="shared" si="76"/>
        <v>74600</v>
      </c>
      <c r="D360" s="401"/>
      <c r="E360" s="980"/>
      <c r="F360" s="980"/>
      <c r="G360" s="401" t="str">
        <f t="shared" si="72"/>
        <v/>
      </c>
      <c r="H360" s="401" t="str">
        <f t="shared" si="73"/>
        <v/>
      </c>
      <c r="I360" s="401">
        <f t="shared" si="74"/>
        <v>7460</v>
      </c>
      <c r="J360" s="981" t="str">
        <f t="shared" si="75"/>
        <v>Concesión de préstamos al sector externo con fines de política económica</v>
      </c>
      <c r="K360" s="338">
        <f t="shared" si="64"/>
        <v>0</v>
      </c>
      <c r="L360" s="338">
        <f t="shared" si="65"/>
        <v>0</v>
      </c>
      <c r="M360" s="338">
        <f t="shared" si="66"/>
        <v>0</v>
      </c>
      <c r="N360" s="338">
        <f t="shared" si="67"/>
        <v>0</v>
      </c>
      <c r="O360" s="338">
        <f t="shared" si="68"/>
        <v>0</v>
      </c>
      <c r="P360" s="338">
        <f t="shared" si="69"/>
        <v>0</v>
      </c>
      <c r="Q360" s="338">
        <f t="shared" si="70"/>
        <v>0</v>
      </c>
      <c r="R360" s="338">
        <f t="shared" si="71"/>
        <v>0</v>
      </c>
    </row>
    <row r="361" spans="1:18" ht="12">
      <c r="A361" s="985">
        <v>7470</v>
      </c>
      <c r="B361" s="984" t="s">
        <v>2918</v>
      </c>
      <c r="C361" s="975" t="str">
        <f t="shared" si="76"/>
        <v>74700</v>
      </c>
      <c r="D361" s="401"/>
      <c r="E361" s="980"/>
      <c r="F361" s="980"/>
      <c r="G361" s="401" t="str">
        <f t="shared" si="72"/>
        <v/>
      </c>
      <c r="H361" s="401" t="str">
        <f t="shared" si="73"/>
        <v/>
      </c>
      <c r="I361" s="401">
        <f t="shared" si="74"/>
        <v>7470</v>
      </c>
      <c r="J361" s="981" t="str">
        <f t="shared" si="75"/>
        <v>Concesión de préstamos al sector público con fines de gestión de liquidez</v>
      </c>
      <c r="K361" s="338">
        <f t="shared" si="64"/>
        <v>0</v>
      </c>
      <c r="L361" s="338">
        <f t="shared" si="65"/>
        <v>0</v>
      </c>
      <c r="M361" s="338">
        <f t="shared" si="66"/>
        <v>0</v>
      </c>
      <c r="N361" s="338">
        <f t="shared" si="67"/>
        <v>0</v>
      </c>
      <c r="O361" s="338">
        <f t="shared" si="68"/>
        <v>0</v>
      </c>
      <c r="P361" s="338">
        <f t="shared" si="69"/>
        <v>0</v>
      </c>
      <c r="Q361" s="338">
        <f t="shared" si="70"/>
        <v>0</v>
      </c>
      <c r="R361" s="338">
        <f t="shared" si="71"/>
        <v>0</v>
      </c>
    </row>
    <row r="362" spans="1:18" ht="12">
      <c r="A362" s="985">
        <v>7480</v>
      </c>
      <c r="B362" s="984" t="s">
        <v>2919</v>
      </c>
      <c r="C362" s="975" t="str">
        <f t="shared" si="76"/>
        <v>74800</v>
      </c>
      <c r="D362" s="401"/>
      <c r="E362" s="980"/>
      <c r="F362" s="980"/>
      <c r="G362" s="401" t="str">
        <f t="shared" si="72"/>
        <v/>
      </c>
      <c r="H362" s="401" t="str">
        <f t="shared" si="73"/>
        <v/>
      </c>
      <c r="I362" s="401">
        <f t="shared" si="74"/>
        <v>7480</v>
      </c>
      <c r="J362" s="981" t="str">
        <f t="shared" si="75"/>
        <v>Concesión de préstamos al sector privado con fines de gestión de liquidez</v>
      </c>
      <c r="K362" s="338">
        <f t="shared" si="64"/>
        <v>0</v>
      </c>
      <c r="L362" s="338">
        <f t="shared" si="65"/>
        <v>0</v>
      </c>
      <c r="M362" s="338">
        <f t="shared" si="66"/>
        <v>0</v>
      </c>
      <c r="N362" s="338">
        <f t="shared" si="67"/>
        <v>0</v>
      </c>
      <c r="O362" s="338">
        <f t="shared" si="68"/>
        <v>0</v>
      </c>
      <c r="P362" s="338">
        <f t="shared" si="69"/>
        <v>0</v>
      </c>
      <c r="Q362" s="338">
        <f t="shared" si="70"/>
        <v>0</v>
      </c>
      <c r="R362" s="338">
        <f t="shared" si="71"/>
        <v>0</v>
      </c>
    </row>
    <row r="363" spans="1:18" ht="12">
      <c r="A363" s="985">
        <v>7490</v>
      </c>
      <c r="B363" s="984" t="s">
        <v>2920</v>
      </c>
      <c r="C363" s="975" t="str">
        <f t="shared" si="76"/>
        <v>74900</v>
      </c>
      <c r="D363" s="401"/>
      <c r="E363" s="980"/>
      <c r="F363" s="980"/>
      <c r="G363" s="401" t="str">
        <f t="shared" si="72"/>
        <v/>
      </c>
      <c r="H363" s="401" t="str">
        <f t="shared" si="73"/>
        <v/>
      </c>
      <c r="I363" s="401">
        <f t="shared" si="74"/>
        <v>7490</v>
      </c>
      <c r="J363" s="981" t="str">
        <f t="shared" si="75"/>
        <v>Concesión de préstamos al sector externo con fines de gestión de liquidez</v>
      </c>
      <c r="K363" s="338">
        <f t="shared" si="64"/>
        <v>0</v>
      </c>
      <c r="L363" s="338">
        <f t="shared" si="65"/>
        <v>0</v>
      </c>
      <c r="M363" s="338">
        <f t="shared" si="66"/>
        <v>0</v>
      </c>
      <c r="N363" s="338">
        <f t="shared" si="67"/>
        <v>0</v>
      </c>
      <c r="O363" s="338">
        <f t="shared" si="68"/>
        <v>0</v>
      </c>
      <c r="P363" s="338">
        <f t="shared" si="69"/>
        <v>0</v>
      </c>
      <c r="Q363" s="338">
        <f t="shared" si="70"/>
        <v>0</v>
      </c>
      <c r="R363" s="338">
        <f t="shared" si="71"/>
        <v>0</v>
      </c>
    </row>
    <row r="364" spans="1:18">
      <c r="A364" s="229">
        <v>7500</v>
      </c>
      <c r="B364" s="230" t="s">
        <v>275</v>
      </c>
      <c r="C364" s="975" t="str">
        <f t="shared" si="76"/>
        <v>75000</v>
      </c>
      <c r="D364" s="401"/>
      <c r="E364" s="980"/>
      <c r="F364" s="980"/>
      <c r="G364" s="401" t="str">
        <f t="shared" si="72"/>
        <v/>
      </c>
      <c r="H364" s="401">
        <f t="shared" si="73"/>
        <v>7500</v>
      </c>
      <c r="I364" s="401" t="str">
        <f t="shared" si="74"/>
        <v/>
      </c>
      <c r="J364" s="981" t="str">
        <f t="shared" si="75"/>
        <v>Inversiones en fideicomisos, mandatos y otros análogos</v>
      </c>
      <c r="K364" s="338">
        <f t="shared" si="64"/>
        <v>0</v>
      </c>
      <c r="L364" s="338">
        <f t="shared" si="65"/>
        <v>0</v>
      </c>
      <c r="M364" s="338">
        <f t="shared" si="66"/>
        <v>0</v>
      </c>
      <c r="N364" s="338">
        <f t="shared" si="67"/>
        <v>0</v>
      </c>
      <c r="O364" s="338">
        <f t="shared" si="68"/>
        <v>0</v>
      </c>
      <c r="P364" s="338">
        <f t="shared" si="69"/>
        <v>0</v>
      </c>
      <c r="Q364" s="338">
        <f t="shared" si="70"/>
        <v>0</v>
      </c>
      <c r="R364" s="338">
        <f t="shared" si="71"/>
        <v>0</v>
      </c>
    </row>
    <row r="365" spans="1:18" ht="12">
      <c r="A365" s="985">
        <v>7510</v>
      </c>
      <c r="B365" s="984" t="s">
        <v>2921</v>
      </c>
      <c r="C365" s="975" t="str">
        <f t="shared" si="76"/>
        <v>75100</v>
      </c>
      <c r="D365" s="401"/>
      <c r="E365" s="980"/>
      <c r="F365" s="980"/>
      <c r="G365" s="401" t="str">
        <f t="shared" si="72"/>
        <v/>
      </c>
      <c r="H365" s="401" t="str">
        <f t="shared" si="73"/>
        <v/>
      </c>
      <c r="I365" s="401">
        <f t="shared" si="74"/>
        <v>7510</v>
      </c>
      <c r="J365" s="981" t="str">
        <f t="shared" si="75"/>
        <v>Inversiones en fideicomisos del Poder Ejecutivo</v>
      </c>
      <c r="K365" s="338">
        <f t="shared" si="64"/>
        <v>0</v>
      </c>
      <c r="L365" s="338">
        <f t="shared" si="65"/>
        <v>0</v>
      </c>
      <c r="M365" s="338">
        <f t="shared" si="66"/>
        <v>0</v>
      </c>
      <c r="N365" s="338">
        <f t="shared" si="67"/>
        <v>0</v>
      </c>
      <c r="O365" s="338">
        <f t="shared" si="68"/>
        <v>0</v>
      </c>
      <c r="P365" s="338">
        <f t="shared" si="69"/>
        <v>0</v>
      </c>
      <c r="Q365" s="338">
        <f t="shared" si="70"/>
        <v>0</v>
      </c>
      <c r="R365" s="338">
        <f t="shared" si="71"/>
        <v>0</v>
      </c>
    </row>
    <row r="366" spans="1:18" ht="12">
      <c r="A366" s="985">
        <v>7520</v>
      </c>
      <c r="B366" s="984" t="s">
        <v>2922</v>
      </c>
      <c r="C366" s="975" t="str">
        <f t="shared" si="76"/>
        <v>75200</v>
      </c>
      <c r="D366" s="401"/>
      <c r="E366" s="980"/>
      <c r="F366" s="980"/>
      <c r="G366" s="401" t="str">
        <f t="shared" si="72"/>
        <v/>
      </c>
      <c r="H366" s="401" t="str">
        <f t="shared" si="73"/>
        <v/>
      </c>
      <c r="I366" s="401">
        <f t="shared" si="74"/>
        <v>7520</v>
      </c>
      <c r="J366" s="981" t="str">
        <f t="shared" si="75"/>
        <v>Inversiones en fideicomisos del Poder Legislativo</v>
      </c>
      <c r="K366" s="338">
        <f t="shared" si="64"/>
        <v>0</v>
      </c>
      <c r="L366" s="338">
        <f t="shared" si="65"/>
        <v>0</v>
      </c>
      <c r="M366" s="338">
        <f t="shared" si="66"/>
        <v>0</v>
      </c>
      <c r="N366" s="338">
        <f t="shared" si="67"/>
        <v>0</v>
      </c>
      <c r="O366" s="338">
        <f t="shared" si="68"/>
        <v>0</v>
      </c>
      <c r="P366" s="338">
        <f t="shared" si="69"/>
        <v>0</v>
      </c>
      <c r="Q366" s="338">
        <f t="shared" si="70"/>
        <v>0</v>
      </c>
      <c r="R366" s="338">
        <f t="shared" si="71"/>
        <v>0</v>
      </c>
    </row>
    <row r="367" spans="1:18" ht="12">
      <c r="A367" s="985">
        <v>7530</v>
      </c>
      <c r="B367" s="984" t="s">
        <v>2923</v>
      </c>
      <c r="C367" s="975" t="str">
        <f t="shared" si="76"/>
        <v>75300</v>
      </c>
      <c r="D367" s="401"/>
      <c r="E367" s="980"/>
      <c r="F367" s="980"/>
      <c r="G367" s="401" t="str">
        <f t="shared" si="72"/>
        <v/>
      </c>
      <c r="H367" s="401" t="str">
        <f t="shared" si="73"/>
        <v/>
      </c>
      <c r="I367" s="401">
        <f t="shared" si="74"/>
        <v>7530</v>
      </c>
      <c r="J367" s="981" t="str">
        <f t="shared" si="75"/>
        <v>Inversiones en fideicomisos del Poder Judicial</v>
      </c>
      <c r="K367" s="338">
        <f t="shared" si="64"/>
        <v>0</v>
      </c>
      <c r="L367" s="338">
        <f t="shared" si="65"/>
        <v>0</v>
      </c>
      <c r="M367" s="338">
        <f t="shared" si="66"/>
        <v>0</v>
      </c>
      <c r="N367" s="338">
        <f t="shared" si="67"/>
        <v>0</v>
      </c>
      <c r="O367" s="338">
        <f t="shared" si="68"/>
        <v>0</v>
      </c>
      <c r="P367" s="338">
        <f t="shared" si="69"/>
        <v>0</v>
      </c>
      <c r="Q367" s="338">
        <f t="shared" si="70"/>
        <v>0</v>
      </c>
      <c r="R367" s="338">
        <f t="shared" si="71"/>
        <v>0</v>
      </c>
    </row>
    <row r="368" spans="1:18" ht="12">
      <c r="A368" s="985">
        <v>7540</v>
      </c>
      <c r="B368" s="984" t="s">
        <v>2924</v>
      </c>
      <c r="C368" s="975" t="str">
        <f t="shared" si="76"/>
        <v>75400</v>
      </c>
      <c r="D368" s="401"/>
      <c r="E368" s="980"/>
      <c r="F368" s="980"/>
      <c r="G368" s="401" t="str">
        <f t="shared" si="72"/>
        <v/>
      </c>
      <c r="H368" s="401" t="str">
        <f t="shared" si="73"/>
        <v/>
      </c>
      <c r="I368" s="401">
        <f t="shared" si="74"/>
        <v>7540</v>
      </c>
      <c r="J368" s="981" t="str">
        <f t="shared" si="75"/>
        <v>Inversiones en fideicomisos públicos no empresariales y no financieros</v>
      </c>
      <c r="K368" s="338">
        <f t="shared" si="64"/>
        <v>0</v>
      </c>
      <c r="L368" s="338">
        <f t="shared" si="65"/>
        <v>0</v>
      </c>
      <c r="M368" s="338">
        <f t="shared" si="66"/>
        <v>0</v>
      </c>
      <c r="N368" s="338">
        <f t="shared" si="67"/>
        <v>0</v>
      </c>
      <c r="O368" s="338">
        <f t="shared" si="68"/>
        <v>0</v>
      </c>
      <c r="P368" s="338">
        <f t="shared" si="69"/>
        <v>0</v>
      </c>
      <c r="Q368" s="338">
        <f t="shared" si="70"/>
        <v>0</v>
      </c>
      <c r="R368" s="338">
        <f t="shared" si="71"/>
        <v>0</v>
      </c>
    </row>
    <row r="369" spans="1:18" ht="12">
      <c r="A369" s="985">
        <v>7550</v>
      </c>
      <c r="B369" s="984" t="s">
        <v>2925</v>
      </c>
      <c r="C369" s="975" t="str">
        <f t="shared" si="76"/>
        <v>75500</v>
      </c>
      <c r="D369" s="401"/>
      <c r="E369" s="980"/>
      <c r="F369" s="980"/>
      <c r="G369" s="401" t="str">
        <f t="shared" si="72"/>
        <v/>
      </c>
      <c r="H369" s="401" t="str">
        <f t="shared" si="73"/>
        <v/>
      </c>
      <c r="I369" s="401">
        <f t="shared" si="74"/>
        <v>7550</v>
      </c>
      <c r="J369" s="981" t="str">
        <f t="shared" si="75"/>
        <v>Inversiones en fideicomisos públicos empresariales y no financieros</v>
      </c>
      <c r="K369" s="338">
        <f t="shared" si="64"/>
        <v>0</v>
      </c>
      <c r="L369" s="338">
        <f t="shared" si="65"/>
        <v>0</v>
      </c>
      <c r="M369" s="338">
        <f t="shared" si="66"/>
        <v>0</v>
      </c>
      <c r="N369" s="338">
        <f t="shared" si="67"/>
        <v>0</v>
      </c>
      <c r="O369" s="338">
        <f t="shared" si="68"/>
        <v>0</v>
      </c>
      <c r="P369" s="338">
        <f t="shared" si="69"/>
        <v>0</v>
      </c>
      <c r="Q369" s="338">
        <f t="shared" si="70"/>
        <v>0</v>
      </c>
      <c r="R369" s="338">
        <f t="shared" si="71"/>
        <v>0</v>
      </c>
    </row>
    <row r="370" spans="1:18" ht="12">
      <c r="A370" s="985">
        <v>7560</v>
      </c>
      <c r="B370" s="984" t="s">
        <v>2926</v>
      </c>
      <c r="C370" s="975" t="str">
        <f t="shared" si="76"/>
        <v>75600</v>
      </c>
      <c r="D370" s="401"/>
      <c r="E370" s="980"/>
      <c r="F370" s="980"/>
      <c r="G370" s="401" t="str">
        <f t="shared" si="72"/>
        <v/>
      </c>
      <c r="H370" s="401" t="str">
        <f t="shared" si="73"/>
        <v/>
      </c>
      <c r="I370" s="401">
        <f t="shared" si="74"/>
        <v>7560</v>
      </c>
      <c r="J370" s="981" t="str">
        <f t="shared" si="75"/>
        <v>Inversiones en fideicomisos públicos financieros</v>
      </c>
      <c r="K370" s="338">
        <f t="shared" si="64"/>
        <v>0</v>
      </c>
      <c r="L370" s="338">
        <f t="shared" si="65"/>
        <v>0</v>
      </c>
      <c r="M370" s="338">
        <f t="shared" si="66"/>
        <v>0</v>
      </c>
      <c r="N370" s="338">
        <f t="shared" si="67"/>
        <v>0</v>
      </c>
      <c r="O370" s="338">
        <f t="shared" si="68"/>
        <v>0</v>
      </c>
      <c r="P370" s="338">
        <f t="shared" si="69"/>
        <v>0</v>
      </c>
      <c r="Q370" s="338">
        <f t="shared" si="70"/>
        <v>0</v>
      </c>
      <c r="R370" s="338">
        <f t="shared" si="71"/>
        <v>0</v>
      </c>
    </row>
    <row r="371" spans="1:18" ht="12">
      <c r="A371" s="985">
        <v>7570</v>
      </c>
      <c r="B371" s="984" t="s">
        <v>2927</v>
      </c>
      <c r="C371" s="975" t="str">
        <f t="shared" si="76"/>
        <v>75700</v>
      </c>
      <c r="D371" s="401"/>
      <c r="E371" s="980"/>
      <c r="F371" s="980"/>
      <c r="G371" s="401" t="str">
        <f t="shared" si="72"/>
        <v/>
      </c>
      <c r="H371" s="401" t="str">
        <f t="shared" si="73"/>
        <v/>
      </c>
      <c r="I371" s="401">
        <f t="shared" si="74"/>
        <v>7570</v>
      </c>
      <c r="J371" s="981" t="str">
        <f t="shared" si="75"/>
        <v>Inversiones en fideicomisos de entidades federativas</v>
      </c>
      <c r="K371" s="338">
        <f t="shared" si="64"/>
        <v>0</v>
      </c>
      <c r="L371" s="338">
        <f t="shared" si="65"/>
        <v>0</v>
      </c>
      <c r="M371" s="338">
        <f t="shared" si="66"/>
        <v>0</v>
      </c>
      <c r="N371" s="338">
        <f t="shared" si="67"/>
        <v>0</v>
      </c>
      <c r="O371" s="338">
        <f t="shared" si="68"/>
        <v>0</v>
      </c>
      <c r="P371" s="338">
        <f t="shared" si="69"/>
        <v>0</v>
      </c>
      <c r="Q371" s="338">
        <f t="shared" si="70"/>
        <v>0</v>
      </c>
      <c r="R371" s="338">
        <f t="shared" si="71"/>
        <v>0</v>
      </c>
    </row>
    <row r="372" spans="1:18" ht="12">
      <c r="A372" s="985">
        <v>7580</v>
      </c>
      <c r="B372" s="984" t="s">
        <v>2928</v>
      </c>
      <c r="C372" s="975" t="str">
        <f t="shared" si="76"/>
        <v>75800</v>
      </c>
      <c r="D372" s="401"/>
      <c r="E372" s="980"/>
      <c r="F372" s="980"/>
      <c r="G372" s="401" t="str">
        <f t="shared" si="72"/>
        <v/>
      </c>
      <c r="H372" s="401" t="str">
        <f t="shared" si="73"/>
        <v/>
      </c>
      <c r="I372" s="401">
        <f t="shared" si="74"/>
        <v>7580</v>
      </c>
      <c r="J372" s="981" t="str">
        <f t="shared" si="75"/>
        <v>Inversiones en fideicomisos de municipios</v>
      </c>
      <c r="K372" s="338">
        <f t="shared" si="64"/>
        <v>0</v>
      </c>
      <c r="L372" s="338">
        <f t="shared" si="65"/>
        <v>0</v>
      </c>
      <c r="M372" s="338">
        <f t="shared" si="66"/>
        <v>0</v>
      </c>
      <c r="N372" s="338">
        <f t="shared" si="67"/>
        <v>0</v>
      </c>
      <c r="O372" s="338">
        <f t="shared" si="68"/>
        <v>0</v>
      </c>
      <c r="P372" s="338">
        <f t="shared" si="69"/>
        <v>0</v>
      </c>
      <c r="Q372" s="338">
        <f t="shared" si="70"/>
        <v>0</v>
      </c>
      <c r="R372" s="338">
        <f t="shared" si="71"/>
        <v>0</v>
      </c>
    </row>
    <row r="373" spans="1:18" ht="12">
      <c r="A373" s="985">
        <v>7590</v>
      </c>
      <c r="B373" s="984" t="s">
        <v>2929</v>
      </c>
      <c r="C373" s="975" t="str">
        <f t="shared" si="76"/>
        <v>75900</v>
      </c>
      <c r="D373" s="401"/>
      <c r="E373" s="980"/>
      <c r="F373" s="980"/>
      <c r="G373" s="401" t="str">
        <f t="shared" si="72"/>
        <v/>
      </c>
      <c r="H373" s="401" t="str">
        <f t="shared" si="73"/>
        <v/>
      </c>
      <c r="I373" s="401">
        <f t="shared" si="74"/>
        <v>7590</v>
      </c>
      <c r="J373" s="981" t="str">
        <f t="shared" si="75"/>
        <v>Otras inversiones en fideicomisos</v>
      </c>
      <c r="K373" s="338">
        <f t="shared" si="64"/>
        <v>0</v>
      </c>
      <c r="L373" s="338">
        <f t="shared" si="65"/>
        <v>0</v>
      </c>
      <c r="M373" s="338">
        <f t="shared" si="66"/>
        <v>0</v>
      </c>
      <c r="N373" s="338">
        <f t="shared" si="67"/>
        <v>0</v>
      </c>
      <c r="O373" s="338">
        <f t="shared" si="68"/>
        <v>0</v>
      </c>
      <c r="P373" s="338">
        <f t="shared" si="69"/>
        <v>0</v>
      </c>
      <c r="Q373" s="338">
        <f t="shared" si="70"/>
        <v>0</v>
      </c>
      <c r="R373" s="338">
        <f t="shared" si="71"/>
        <v>0</v>
      </c>
    </row>
    <row r="374" spans="1:18">
      <c r="A374" s="229">
        <v>7600</v>
      </c>
      <c r="B374" s="230" t="s">
        <v>276</v>
      </c>
      <c r="C374" s="975" t="str">
        <f t="shared" si="76"/>
        <v>76000</v>
      </c>
      <c r="D374" s="401"/>
      <c r="E374" s="980"/>
      <c r="F374" s="980"/>
      <c r="G374" s="401" t="str">
        <f t="shared" si="72"/>
        <v/>
      </c>
      <c r="H374" s="401">
        <f t="shared" si="73"/>
        <v>7600</v>
      </c>
      <c r="I374" s="401" t="str">
        <f t="shared" si="74"/>
        <v/>
      </c>
      <c r="J374" s="981" t="str">
        <f t="shared" si="75"/>
        <v>Otras inversiones financieras</v>
      </c>
      <c r="K374" s="338">
        <f t="shared" si="64"/>
        <v>0</v>
      </c>
      <c r="L374" s="338">
        <f t="shared" si="65"/>
        <v>0</v>
      </c>
      <c r="M374" s="338">
        <f t="shared" si="66"/>
        <v>0</v>
      </c>
      <c r="N374" s="338">
        <f t="shared" si="67"/>
        <v>0</v>
      </c>
      <c r="O374" s="338">
        <f t="shared" si="68"/>
        <v>0</v>
      </c>
      <c r="P374" s="338">
        <f t="shared" si="69"/>
        <v>0</v>
      </c>
      <c r="Q374" s="338">
        <f t="shared" si="70"/>
        <v>0</v>
      </c>
      <c r="R374" s="338">
        <f t="shared" si="71"/>
        <v>0</v>
      </c>
    </row>
    <row r="375" spans="1:18" ht="12">
      <c r="A375" s="985">
        <v>7610</v>
      </c>
      <c r="B375" s="984" t="s">
        <v>2930</v>
      </c>
      <c r="C375" s="975" t="str">
        <f t="shared" si="76"/>
        <v>76100</v>
      </c>
      <c r="D375" s="401"/>
      <c r="E375" s="980"/>
      <c r="F375" s="980"/>
      <c r="G375" s="401" t="str">
        <f t="shared" si="72"/>
        <v/>
      </c>
      <c r="H375" s="401" t="str">
        <f t="shared" si="73"/>
        <v/>
      </c>
      <c r="I375" s="401">
        <f t="shared" si="74"/>
        <v>7610</v>
      </c>
      <c r="J375" s="981" t="str">
        <f t="shared" si="75"/>
        <v>Depósitos a largo plazo en moneda nacional</v>
      </c>
      <c r="K375" s="338">
        <f t="shared" si="64"/>
        <v>0</v>
      </c>
      <c r="L375" s="338">
        <f t="shared" si="65"/>
        <v>0</v>
      </c>
      <c r="M375" s="338">
        <f t="shared" si="66"/>
        <v>0</v>
      </c>
      <c r="N375" s="338">
        <f t="shared" si="67"/>
        <v>0</v>
      </c>
      <c r="O375" s="338">
        <f t="shared" si="68"/>
        <v>0</v>
      </c>
      <c r="P375" s="338">
        <f t="shared" si="69"/>
        <v>0</v>
      </c>
      <c r="Q375" s="338">
        <f t="shared" si="70"/>
        <v>0</v>
      </c>
      <c r="R375" s="338">
        <f t="shared" si="71"/>
        <v>0</v>
      </c>
    </row>
    <row r="376" spans="1:18" ht="12">
      <c r="A376" s="985">
        <v>7620</v>
      </c>
      <c r="B376" s="984" t="s">
        <v>2931</v>
      </c>
      <c r="C376" s="975" t="str">
        <f t="shared" si="76"/>
        <v>76200</v>
      </c>
      <c r="D376" s="401"/>
      <c r="E376" s="980"/>
      <c r="F376" s="980"/>
      <c r="G376" s="401" t="str">
        <f t="shared" si="72"/>
        <v/>
      </c>
      <c r="H376" s="401" t="str">
        <f t="shared" si="73"/>
        <v/>
      </c>
      <c r="I376" s="401">
        <f t="shared" si="74"/>
        <v>7620</v>
      </c>
      <c r="J376" s="981" t="str">
        <f t="shared" si="75"/>
        <v>Depósitos a largo plazo en moneda extranjera</v>
      </c>
      <c r="K376" s="338">
        <f t="shared" si="64"/>
        <v>0</v>
      </c>
      <c r="L376" s="338">
        <f t="shared" si="65"/>
        <v>0</v>
      </c>
      <c r="M376" s="338">
        <f t="shared" si="66"/>
        <v>0</v>
      </c>
      <c r="N376" s="338">
        <f t="shared" si="67"/>
        <v>0</v>
      </c>
      <c r="O376" s="338">
        <f t="shared" si="68"/>
        <v>0</v>
      </c>
      <c r="P376" s="338">
        <f t="shared" si="69"/>
        <v>0</v>
      </c>
      <c r="Q376" s="338">
        <f t="shared" si="70"/>
        <v>0</v>
      </c>
      <c r="R376" s="338">
        <f t="shared" si="71"/>
        <v>0</v>
      </c>
    </row>
    <row r="377" spans="1:18">
      <c r="A377" s="229">
        <v>7900</v>
      </c>
      <c r="B377" s="230" t="s">
        <v>277</v>
      </c>
      <c r="C377" s="975" t="str">
        <f t="shared" si="76"/>
        <v>79000</v>
      </c>
      <c r="D377" s="401"/>
      <c r="E377" s="980"/>
      <c r="F377" s="980"/>
      <c r="G377" s="401" t="str">
        <f t="shared" si="72"/>
        <v/>
      </c>
      <c r="H377" s="401">
        <f t="shared" si="73"/>
        <v>7900</v>
      </c>
      <c r="I377" s="401" t="str">
        <f t="shared" si="74"/>
        <v/>
      </c>
      <c r="J377" s="981" t="str">
        <f t="shared" si="75"/>
        <v>Provisiones para contingencias y otras erogaciones especiales</v>
      </c>
      <c r="K377" s="338">
        <f t="shared" si="64"/>
        <v>1937510.53</v>
      </c>
      <c r="L377" s="338">
        <f t="shared" si="65"/>
        <v>733023.78</v>
      </c>
      <c r="M377" s="338">
        <f t="shared" si="66"/>
        <v>2670534.31</v>
      </c>
      <c r="N377" s="338">
        <f t="shared" si="67"/>
        <v>0</v>
      </c>
      <c r="O377" s="338">
        <f t="shared" si="68"/>
        <v>0</v>
      </c>
      <c r="P377" s="338">
        <f t="shared" si="69"/>
        <v>0</v>
      </c>
      <c r="Q377" s="338">
        <f t="shared" si="70"/>
        <v>0</v>
      </c>
      <c r="R377" s="338">
        <f t="shared" si="71"/>
        <v>2670534.31</v>
      </c>
    </row>
    <row r="378" spans="1:18" ht="12">
      <c r="A378" s="985">
        <v>7910</v>
      </c>
      <c r="B378" s="984" t="s">
        <v>2932</v>
      </c>
      <c r="C378" s="975" t="str">
        <f t="shared" si="76"/>
        <v>79100</v>
      </c>
      <c r="D378" s="401"/>
      <c r="E378" s="980"/>
      <c r="F378" s="980"/>
      <c r="G378" s="401" t="str">
        <f t="shared" si="72"/>
        <v/>
      </c>
      <c r="H378" s="401" t="str">
        <f t="shared" si="73"/>
        <v/>
      </c>
      <c r="I378" s="401">
        <f t="shared" si="74"/>
        <v>7910</v>
      </c>
      <c r="J378" s="981" t="str">
        <f t="shared" si="75"/>
        <v>Contingencias por fenómenos naturales</v>
      </c>
      <c r="K378" s="338">
        <f t="shared" si="64"/>
        <v>0</v>
      </c>
      <c r="L378" s="338">
        <f t="shared" si="65"/>
        <v>0</v>
      </c>
      <c r="M378" s="338">
        <f t="shared" si="66"/>
        <v>0</v>
      </c>
      <c r="N378" s="338">
        <f t="shared" si="67"/>
        <v>0</v>
      </c>
      <c r="O378" s="338">
        <f t="shared" si="68"/>
        <v>0</v>
      </c>
      <c r="P378" s="338">
        <f t="shared" si="69"/>
        <v>0</v>
      </c>
      <c r="Q378" s="338">
        <f t="shared" si="70"/>
        <v>0</v>
      </c>
      <c r="R378" s="338">
        <f t="shared" si="71"/>
        <v>0</v>
      </c>
    </row>
    <row r="379" spans="1:18" ht="12">
      <c r="A379" s="985">
        <v>7920</v>
      </c>
      <c r="B379" s="984" t="s">
        <v>2933</v>
      </c>
      <c r="C379" s="975" t="str">
        <f t="shared" si="76"/>
        <v>79200</v>
      </c>
      <c r="D379" s="401"/>
      <c r="E379" s="980"/>
      <c r="F379" s="980"/>
      <c r="G379" s="401" t="str">
        <f t="shared" si="72"/>
        <v/>
      </c>
      <c r="H379" s="401" t="str">
        <f t="shared" si="73"/>
        <v/>
      </c>
      <c r="I379" s="401">
        <f t="shared" si="74"/>
        <v>7920</v>
      </c>
      <c r="J379" s="981" t="str">
        <f t="shared" si="75"/>
        <v>Contingencias socioeconómicas</v>
      </c>
      <c r="K379" s="338">
        <f t="shared" si="64"/>
        <v>0</v>
      </c>
      <c r="L379" s="338">
        <f t="shared" si="65"/>
        <v>0</v>
      </c>
      <c r="M379" s="338">
        <f t="shared" si="66"/>
        <v>0</v>
      </c>
      <c r="N379" s="338">
        <f t="shared" si="67"/>
        <v>0</v>
      </c>
      <c r="O379" s="338">
        <f t="shared" si="68"/>
        <v>0</v>
      </c>
      <c r="P379" s="338">
        <f t="shared" si="69"/>
        <v>0</v>
      </c>
      <c r="Q379" s="338">
        <f t="shared" si="70"/>
        <v>0</v>
      </c>
      <c r="R379" s="338">
        <f t="shared" si="71"/>
        <v>0</v>
      </c>
    </row>
    <row r="380" spans="1:18" ht="12">
      <c r="A380" s="985">
        <v>7990</v>
      </c>
      <c r="B380" s="984" t="s">
        <v>2934</v>
      </c>
      <c r="C380" s="975" t="str">
        <f t="shared" si="76"/>
        <v>79900</v>
      </c>
      <c r="D380" s="401"/>
      <c r="E380" s="980"/>
      <c r="F380" s="980"/>
      <c r="G380" s="401" t="str">
        <f t="shared" si="72"/>
        <v/>
      </c>
      <c r="H380" s="401" t="str">
        <f t="shared" si="73"/>
        <v/>
      </c>
      <c r="I380" s="401">
        <f t="shared" si="74"/>
        <v>7990</v>
      </c>
      <c r="J380" s="981" t="str">
        <f t="shared" si="75"/>
        <v>Otras erogaciones especiales</v>
      </c>
      <c r="K380" s="338">
        <f t="shared" si="64"/>
        <v>1937510.53</v>
      </c>
      <c r="L380" s="338">
        <f t="shared" si="65"/>
        <v>733023.78</v>
      </c>
      <c r="M380" s="338">
        <f t="shared" si="66"/>
        <v>2670534.31</v>
      </c>
      <c r="N380" s="338">
        <f t="shared" si="67"/>
        <v>0</v>
      </c>
      <c r="O380" s="338">
        <f t="shared" si="68"/>
        <v>0</v>
      </c>
      <c r="P380" s="338">
        <f t="shared" si="69"/>
        <v>0</v>
      </c>
      <c r="Q380" s="338">
        <f t="shared" si="70"/>
        <v>0</v>
      </c>
      <c r="R380" s="338">
        <f t="shared" si="71"/>
        <v>2670534.31</v>
      </c>
    </row>
    <row r="381" spans="1:18">
      <c r="A381" s="229">
        <v>8000</v>
      </c>
      <c r="B381" s="230" t="s">
        <v>208</v>
      </c>
      <c r="C381" s="975" t="str">
        <f t="shared" si="76"/>
        <v>80000</v>
      </c>
      <c r="D381" s="401"/>
      <c r="E381" s="980"/>
      <c r="F381" s="980"/>
      <c r="G381" s="401">
        <f t="shared" si="72"/>
        <v>8000</v>
      </c>
      <c r="H381" s="401" t="str">
        <f t="shared" si="73"/>
        <v/>
      </c>
      <c r="I381" s="401" t="str">
        <f t="shared" si="74"/>
        <v/>
      </c>
      <c r="J381" s="981" t="str">
        <f t="shared" si="75"/>
        <v>PARTICIPACIONES Y APORTACIONES</v>
      </c>
      <c r="K381" s="338">
        <f t="shared" si="64"/>
        <v>0</v>
      </c>
      <c r="L381" s="338">
        <f t="shared" si="65"/>
        <v>0</v>
      </c>
      <c r="M381" s="338">
        <f t="shared" si="66"/>
        <v>0</v>
      </c>
      <c r="N381" s="338">
        <f t="shared" si="67"/>
        <v>0</v>
      </c>
      <c r="O381" s="338">
        <f t="shared" si="68"/>
        <v>0</v>
      </c>
      <c r="P381" s="338">
        <f t="shared" si="69"/>
        <v>0</v>
      </c>
      <c r="Q381" s="338">
        <f t="shared" si="70"/>
        <v>0</v>
      </c>
      <c r="R381" s="338">
        <f t="shared" si="71"/>
        <v>0</v>
      </c>
    </row>
    <row r="382" spans="1:18">
      <c r="A382" s="229">
        <v>8100</v>
      </c>
      <c r="B382" s="230" t="s">
        <v>126</v>
      </c>
      <c r="C382" s="975" t="str">
        <f t="shared" si="76"/>
        <v>81000</v>
      </c>
      <c r="D382" s="401"/>
      <c r="E382" s="980"/>
      <c r="F382" s="980"/>
      <c r="G382" s="401" t="str">
        <f t="shared" si="72"/>
        <v/>
      </c>
      <c r="H382" s="401">
        <f t="shared" si="73"/>
        <v>8100</v>
      </c>
      <c r="I382" s="401" t="str">
        <f t="shared" si="74"/>
        <v/>
      </c>
      <c r="J382" s="981" t="str">
        <f t="shared" si="75"/>
        <v>Participaciones</v>
      </c>
      <c r="K382" s="338">
        <f t="shared" si="64"/>
        <v>0</v>
      </c>
      <c r="L382" s="338">
        <f t="shared" si="65"/>
        <v>0</v>
      </c>
      <c r="M382" s="338">
        <f t="shared" si="66"/>
        <v>0</v>
      </c>
      <c r="N382" s="338">
        <f t="shared" si="67"/>
        <v>0</v>
      </c>
      <c r="O382" s="338">
        <f t="shared" si="68"/>
        <v>0</v>
      </c>
      <c r="P382" s="338">
        <f t="shared" si="69"/>
        <v>0</v>
      </c>
      <c r="Q382" s="338">
        <f t="shared" si="70"/>
        <v>0</v>
      </c>
      <c r="R382" s="338">
        <f t="shared" si="71"/>
        <v>0</v>
      </c>
    </row>
    <row r="383" spans="1:18" ht="12">
      <c r="A383" s="985">
        <v>8110</v>
      </c>
      <c r="B383" s="984" t="s">
        <v>2935</v>
      </c>
      <c r="C383" s="975" t="str">
        <f t="shared" si="76"/>
        <v>81100</v>
      </c>
      <c r="D383" s="401"/>
      <c r="E383" s="980"/>
      <c r="F383" s="980"/>
      <c r="G383" s="401" t="str">
        <f t="shared" si="72"/>
        <v/>
      </c>
      <c r="H383" s="401" t="str">
        <f t="shared" si="73"/>
        <v/>
      </c>
      <c r="I383" s="401">
        <f t="shared" si="74"/>
        <v>8110</v>
      </c>
      <c r="J383" s="981" t="str">
        <f t="shared" si="75"/>
        <v>Fondo general de participaciones</v>
      </c>
      <c r="K383" s="338">
        <f t="shared" si="64"/>
        <v>0</v>
      </c>
      <c r="L383" s="338">
        <f t="shared" si="65"/>
        <v>0</v>
      </c>
      <c r="M383" s="338">
        <f t="shared" si="66"/>
        <v>0</v>
      </c>
      <c r="N383" s="338">
        <f t="shared" si="67"/>
        <v>0</v>
      </c>
      <c r="O383" s="338">
        <f t="shared" si="68"/>
        <v>0</v>
      </c>
      <c r="P383" s="338">
        <f t="shared" si="69"/>
        <v>0</v>
      </c>
      <c r="Q383" s="338">
        <f t="shared" si="70"/>
        <v>0</v>
      </c>
      <c r="R383" s="338">
        <f t="shared" si="71"/>
        <v>0</v>
      </c>
    </row>
    <row r="384" spans="1:18" ht="12">
      <c r="A384" s="985">
        <v>8120</v>
      </c>
      <c r="B384" s="984" t="s">
        <v>2936</v>
      </c>
      <c r="C384" s="975" t="str">
        <f t="shared" si="76"/>
        <v>81200</v>
      </c>
      <c r="D384" s="401"/>
      <c r="E384" s="980"/>
      <c r="F384" s="980"/>
      <c r="G384" s="401" t="str">
        <f t="shared" si="72"/>
        <v/>
      </c>
      <c r="H384" s="401" t="str">
        <f t="shared" si="73"/>
        <v/>
      </c>
      <c r="I384" s="401">
        <f t="shared" si="74"/>
        <v>8120</v>
      </c>
      <c r="J384" s="981" t="str">
        <f t="shared" si="75"/>
        <v>Fondo de fomento municipal</v>
      </c>
      <c r="K384" s="338">
        <f t="shared" si="64"/>
        <v>0</v>
      </c>
      <c r="L384" s="338">
        <f t="shared" si="65"/>
        <v>0</v>
      </c>
      <c r="M384" s="338">
        <f t="shared" si="66"/>
        <v>0</v>
      </c>
      <c r="N384" s="338">
        <f t="shared" si="67"/>
        <v>0</v>
      </c>
      <c r="O384" s="338">
        <f t="shared" si="68"/>
        <v>0</v>
      </c>
      <c r="P384" s="338">
        <f t="shared" si="69"/>
        <v>0</v>
      </c>
      <c r="Q384" s="338">
        <f t="shared" si="70"/>
        <v>0</v>
      </c>
      <c r="R384" s="338">
        <f t="shared" si="71"/>
        <v>0</v>
      </c>
    </row>
    <row r="385" spans="1:18" ht="12">
      <c r="A385" s="985">
        <v>8130</v>
      </c>
      <c r="B385" s="984" t="s">
        <v>618</v>
      </c>
      <c r="C385" s="975" t="str">
        <f t="shared" si="76"/>
        <v>81300</v>
      </c>
      <c r="D385" s="401"/>
      <c r="E385" s="980"/>
      <c r="F385" s="980"/>
      <c r="G385" s="401" t="str">
        <f t="shared" si="72"/>
        <v/>
      </c>
      <c r="H385" s="401" t="str">
        <f t="shared" si="73"/>
        <v/>
      </c>
      <c r="I385" s="401">
        <f t="shared" si="74"/>
        <v>8130</v>
      </c>
      <c r="J385" s="981" t="str">
        <f t="shared" si="75"/>
        <v>Participaciones de las entidades federativas a los municipios</v>
      </c>
      <c r="K385" s="338">
        <f t="shared" si="64"/>
        <v>0</v>
      </c>
      <c r="L385" s="338">
        <f t="shared" si="65"/>
        <v>0</v>
      </c>
      <c r="M385" s="338">
        <f t="shared" si="66"/>
        <v>0</v>
      </c>
      <c r="N385" s="338">
        <f t="shared" si="67"/>
        <v>0</v>
      </c>
      <c r="O385" s="338">
        <f t="shared" si="68"/>
        <v>0</v>
      </c>
      <c r="P385" s="338">
        <f t="shared" si="69"/>
        <v>0</v>
      </c>
      <c r="Q385" s="338">
        <f t="shared" si="70"/>
        <v>0</v>
      </c>
      <c r="R385" s="338">
        <f t="shared" si="71"/>
        <v>0</v>
      </c>
    </row>
    <row r="386" spans="1:18" ht="12">
      <c r="A386" s="985">
        <v>8140</v>
      </c>
      <c r="B386" s="984" t="s">
        <v>2937</v>
      </c>
      <c r="C386" s="975" t="str">
        <f t="shared" si="76"/>
        <v>81400</v>
      </c>
      <c r="D386" s="401"/>
      <c r="E386" s="980"/>
      <c r="F386" s="980"/>
      <c r="G386" s="401" t="str">
        <f t="shared" si="72"/>
        <v/>
      </c>
      <c r="H386" s="401" t="str">
        <f t="shared" si="73"/>
        <v/>
      </c>
      <c r="I386" s="401">
        <f t="shared" si="74"/>
        <v>8140</v>
      </c>
      <c r="J386" s="981" t="str">
        <f t="shared" si="75"/>
        <v>Otros conceptos participables de la Federación a entidades federativas</v>
      </c>
      <c r="K386" s="338">
        <f t="shared" si="64"/>
        <v>0</v>
      </c>
      <c r="L386" s="338">
        <f t="shared" si="65"/>
        <v>0</v>
      </c>
      <c r="M386" s="338">
        <f t="shared" si="66"/>
        <v>0</v>
      </c>
      <c r="N386" s="338">
        <f t="shared" si="67"/>
        <v>0</v>
      </c>
      <c r="O386" s="338">
        <f t="shared" si="68"/>
        <v>0</v>
      </c>
      <c r="P386" s="338">
        <f t="shared" si="69"/>
        <v>0</v>
      </c>
      <c r="Q386" s="338">
        <f t="shared" si="70"/>
        <v>0</v>
      </c>
      <c r="R386" s="338">
        <f t="shared" si="71"/>
        <v>0</v>
      </c>
    </row>
    <row r="387" spans="1:18" ht="12">
      <c r="A387" s="985">
        <v>8150</v>
      </c>
      <c r="B387" s="984" t="s">
        <v>2938</v>
      </c>
      <c r="C387" s="975" t="str">
        <f t="shared" si="76"/>
        <v>81500</v>
      </c>
      <c r="D387" s="401"/>
      <c r="E387" s="980"/>
      <c r="F387" s="980"/>
      <c r="G387" s="401" t="str">
        <f t="shared" si="72"/>
        <v/>
      </c>
      <c r="H387" s="401" t="str">
        <f t="shared" si="73"/>
        <v/>
      </c>
      <c r="I387" s="401">
        <f t="shared" si="74"/>
        <v>8150</v>
      </c>
      <c r="J387" s="981" t="str">
        <f t="shared" si="75"/>
        <v>Otros conceptos participables de la Federación a municipios</v>
      </c>
      <c r="K387" s="338">
        <f t="shared" si="64"/>
        <v>0</v>
      </c>
      <c r="L387" s="338">
        <f t="shared" si="65"/>
        <v>0</v>
      </c>
      <c r="M387" s="338">
        <f t="shared" si="66"/>
        <v>0</v>
      </c>
      <c r="N387" s="338">
        <f t="shared" si="67"/>
        <v>0</v>
      </c>
      <c r="O387" s="338">
        <f t="shared" si="68"/>
        <v>0</v>
      </c>
      <c r="P387" s="338">
        <f t="shared" si="69"/>
        <v>0</v>
      </c>
      <c r="Q387" s="338">
        <f t="shared" si="70"/>
        <v>0</v>
      </c>
      <c r="R387" s="338">
        <f t="shared" si="71"/>
        <v>0</v>
      </c>
    </row>
    <row r="388" spans="1:18" ht="12">
      <c r="A388" s="985">
        <v>8160</v>
      </c>
      <c r="B388" s="984" t="s">
        <v>2939</v>
      </c>
      <c r="C388" s="975" t="str">
        <f t="shared" si="76"/>
        <v>81600</v>
      </c>
      <c r="D388" s="401"/>
      <c r="E388" s="980"/>
      <c r="F388" s="980"/>
      <c r="G388" s="401" t="str">
        <f t="shared" si="72"/>
        <v/>
      </c>
      <c r="H388" s="401" t="str">
        <f t="shared" si="73"/>
        <v/>
      </c>
      <c r="I388" s="401">
        <f t="shared" si="74"/>
        <v>8160</v>
      </c>
      <c r="J388" s="981" t="str">
        <f t="shared" si="75"/>
        <v>Convenios de colaboración administrativa</v>
      </c>
      <c r="K388" s="338">
        <f t="shared" si="64"/>
        <v>0</v>
      </c>
      <c r="L388" s="338">
        <f t="shared" si="65"/>
        <v>0</v>
      </c>
      <c r="M388" s="338">
        <f t="shared" si="66"/>
        <v>0</v>
      </c>
      <c r="N388" s="338">
        <f t="shared" si="67"/>
        <v>0</v>
      </c>
      <c r="O388" s="338">
        <f t="shared" si="68"/>
        <v>0</v>
      </c>
      <c r="P388" s="338">
        <f t="shared" si="69"/>
        <v>0</v>
      </c>
      <c r="Q388" s="338">
        <f t="shared" si="70"/>
        <v>0</v>
      </c>
      <c r="R388" s="338">
        <f t="shared" si="71"/>
        <v>0</v>
      </c>
    </row>
    <row r="389" spans="1:18">
      <c r="A389" s="229">
        <v>8300</v>
      </c>
      <c r="B389" s="230" t="s">
        <v>59</v>
      </c>
      <c r="C389" s="975" t="str">
        <f t="shared" si="76"/>
        <v>83000</v>
      </c>
      <c r="D389" s="401"/>
      <c r="E389" s="980"/>
      <c r="F389" s="980"/>
      <c r="G389" s="401" t="str">
        <f t="shared" si="72"/>
        <v/>
      </c>
      <c r="H389" s="401">
        <f t="shared" si="73"/>
        <v>8300</v>
      </c>
      <c r="I389" s="401" t="str">
        <f t="shared" si="74"/>
        <v/>
      </c>
      <c r="J389" s="981" t="str">
        <f t="shared" si="75"/>
        <v>Aportaciones</v>
      </c>
      <c r="K389" s="338">
        <f t="shared" ref="K389:K430" si="77">IF(MID(A389,2,1)="0",SUMIF(PE_COG,MID(A389,1,1)&amp;"*",PE_A),
IF(AND(MID(A389,2,1)&gt;"0",MID(A389,3,1)="0"),SUMIF(PE_COG,MID(A389,1,2)&amp;"*",PE_A),
IF(MID(A389,3,1)&gt;"0",SUMIF(PE_COG,MID(A389,1,3)&amp;"*",PE_A),"")))</f>
        <v>0</v>
      </c>
      <c r="L389" s="338">
        <f t="shared" ref="L389:L430" si="78">IF(MID(A389,2,1)="0",SUMIF(PE_COG,MID(A389,1,1)&amp;"*",PE_M),
IF(AND(MID(A389,2,1)&gt;"0",MID(A389,3,1)="0"),SUMIF(PE_COG,MID(A389,1,2)&amp;"*",PE_M),
IF(MID(A389,3,1)&gt;"0",SUMIF(PE_COG,MID(A389,1,3)&amp;"*",PE_M),"")))</f>
        <v>0</v>
      </c>
      <c r="M389" s="338">
        <f t="shared" ref="M389:M430" si="79">IF(MID(A389,2,1)="0",SUMIF(PE_COG,MID(A389,1,1)&amp;"*",PE_A),
IF(AND(MID(A389,2,1)&gt;"0",MID(A389,3,1)="0"),SUMIF(PE_COG,MID(A389,1,2)&amp;"*",PE_A),
IF(MID(A389,3,1)&gt;"0",SUMIF(PE_COG,MID(A389,1,3)&amp;"*",PE_A),"")))
+IF(MID(A389,2,1)="0",SUMIF(PE_COG,MID(A389,1,1)&amp;"*",PE_M),
IF(AND(MID(A389,2,1)&gt;"0",MID(A389,3,1)="0"),SUMIF(PE_COG,MID(A389,1,2)&amp;"*",PE_M),
IF(MID(A389,3,1)&gt;"0",SUMIF(PE_COG,MID(A389,1,3)&amp;"*",PE_M),"")))</f>
        <v>0</v>
      </c>
      <c r="N389" s="338">
        <f t="shared" ref="N389:N430" si="80">IF(MID(A389,2,1)="0",SUMIF(PE_COG,MID(A389,1,1)&amp;"*",PE_C),
IF(AND(MID(A389,2,1)&gt;"0",MID(A389,3,1)="0"),SUMIF(PE_COG,MID(A389,1,2)&amp;"*",PE_C),
IF(MID(A389,3,1)&gt;"0",SUMIF(PE_COG,MID(A389,1,3)&amp;"*",PE_C),"")))</f>
        <v>0</v>
      </c>
      <c r="O389" s="338">
        <f t="shared" ref="O389:O430" si="81">IF(MID(A389,2,1)="0",SUMIF(PE_COG,MID(A389,1,1)&amp;"*",PE_D),
IF(AND(MID(A389,2,1)&gt;"0",MID(A389,3,1)="0"),SUMIF(PE_COG,MID(A389,1,2)&amp;"*",PE_D),
IF(MID(A389,3,1)&gt;"0",SUMIF(PE_COG,MID(A389,1,3)&amp;"*",PE_D),"")))</f>
        <v>0</v>
      </c>
      <c r="P389" s="338">
        <f t="shared" ref="P389:P430" si="82">IF(MID(A389,2,1)="0",SUMIF(PE_COG,MID(A389,1,1)&amp;"*",PE_E),
IF(AND(MID(A389,2,1)&gt;"0",MID(A389,3,1)="0"),SUMIF(PE_COG,MID(A389,1,2)&amp;"*",PE_E),
IF(MID(A389,3,1)&gt;"0",SUMIF(PE_COG,MID(A389,1,3)&amp;"*",PE_E),"")))</f>
        <v>0</v>
      </c>
      <c r="Q389" s="338">
        <f t="shared" ref="Q389:Q430" si="83">IF(MID(A389,2,1)="0",SUMIF(PE_COG,MID(A389,1,1)&amp;"*",PE_P),
IF(AND(MID(A389,2,1)&gt;"0",MID(A389,3,1)="0"),SUMIF(PE_COG,MID(A389,1,2)&amp;"*",PE_P),
IF(MID(A389,3,1)&gt;"0",SUMIF(PE_COG,MID(A389,1,3)&amp;"*",PE_P),"")))</f>
        <v>0</v>
      </c>
      <c r="R389" s="338">
        <f t="shared" ref="R389:R430" si="84">IF(MID(A389,2,1)="0",SUMIF(PE_COG,MID(A389,1,1)&amp;"*",PE_A),
IF(AND(MID(A389,2,1)&gt;"0",MID(A389,3,1)="0"),SUMIF(PE_COG,MID(A389,1,2)&amp;"*",PE_A),
IF(MID(A389,3,1)&gt;"0",SUMIF(PE_COG,MID(A389,1,3)&amp;"*",PE_A),"")))
+IF(MID(A389,2,1)="0",SUMIF(PE_COG,MID(A389,1,1)&amp;"*",PE_M),
IF(AND(MID(A389,2,1)&gt;"0",MID(A389,3,1)="0"),SUMIF(PE_COG,MID(A389,1,2)&amp;"*",PE_M),
IF(MID(A389,3,1)&gt;"0",SUMIF(PE_COG,MID(A389,1,3)&amp;"*",PE_M),"")))
-IF(MID(A389,2,1)="0",SUMIF(PE_COG,MID(A389,1,1)&amp;"*",PE_D),
IF(AND(MID(A389,2,1)&gt;"0",MID(A389,3,1)="0"),SUMIF(PE_COG,MID(A389,1,2)&amp;"*",PE_D),
IF(MID(A389,3,1)&gt;"0",SUMIF(PE_COG,MID(A389,1,3)&amp;"*",PE_D),"")))</f>
        <v>0</v>
      </c>
    </row>
    <row r="390" spans="1:18" ht="12">
      <c r="A390" s="985">
        <v>8310</v>
      </c>
      <c r="B390" s="984" t="s">
        <v>2940</v>
      </c>
      <c r="C390" s="975" t="str">
        <f t="shared" si="76"/>
        <v>83100</v>
      </c>
      <c r="D390" s="401"/>
      <c r="E390" s="980"/>
      <c r="F390" s="980"/>
      <c r="G390" s="401" t="str">
        <f t="shared" ref="G390:G430" si="85">IF(MID(A390,2,1)="0",A390,"")</f>
        <v/>
      </c>
      <c r="H390" s="401" t="str">
        <f t="shared" ref="H390:H430" si="86">IF(AND(MID(A390,2,1)&gt;"0",MID(A390,3,1)="0"),A390,"")</f>
        <v/>
      </c>
      <c r="I390" s="401">
        <f t="shared" ref="I390:I430" si="87">IF(MID(A390,3,1)&gt;"0",A390,"")</f>
        <v>8310</v>
      </c>
      <c r="J390" s="981" t="str">
        <f t="shared" ref="J390:J430" si="88">+B390</f>
        <v>Aportaciones de la Federación a las entidades federativas</v>
      </c>
      <c r="K390" s="338">
        <f t="shared" si="77"/>
        <v>0</v>
      </c>
      <c r="L390" s="338">
        <f t="shared" si="78"/>
        <v>0</v>
      </c>
      <c r="M390" s="338">
        <f t="shared" si="79"/>
        <v>0</v>
      </c>
      <c r="N390" s="338">
        <f t="shared" si="80"/>
        <v>0</v>
      </c>
      <c r="O390" s="338">
        <f t="shared" si="81"/>
        <v>0</v>
      </c>
      <c r="P390" s="338">
        <f t="shared" si="82"/>
        <v>0</v>
      </c>
      <c r="Q390" s="338">
        <f t="shared" si="83"/>
        <v>0</v>
      </c>
      <c r="R390" s="338">
        <f t="shared" si="84"/>
        <v>0</v>
      </c>
    </row>
    <row r="391" spans="1:18" ht="12">
      <c r="A391" s="985">
        <v>8320</v>
      </c>
      <c r="B391" s="984" t="s">
        <v>2941</v>
      </c>
      <c r="C391" s="975" t="str">
        <f t="shared" si="76"/>
        <v>83200</v>
      </c>
      <c r="D391" s="401"/>
      <c r="E391" s="980"/>
      <c r="F391" s="980"/>
      <c r="G391" s="401" t="str">
        <f t="shared" si="85"/>
        <v/>
      </c>
      <c r="H391" s="401" t="str">
        <f t="shared" si="86"/>
        <v/>
      </c>
      <c r="I391" s="401">
        <f t="shared" si="87"/>
        <v>8320</v>
      </c>
      <c r="J391" s="981" t="str">
        <f t="shared" si="88"/>
        <v>Aportaciones de la Federación a municipios</v>
      </c>
      <c r="K391" s="338">
        <f t="shared" si="77"/>
        <v>0</v>
      </c>
      <c r="L391" s="338">
        <f t="shared" si="78"/>
        <v>0</v>
      </c>
      <c r="M391" s="338">
        <f t="shared" si="79"/>
        <v>0</v>
      </c>
      <c r="N391" s="338">
        <f t="shared" si="80"/>
        <v>0</v>
      </c>
      <c r="O391" s="338">
        <f t="shared" si="81"/>
        <v>0</v>
      </c>
      <c r="P391" s="338">
        <f t="shared" si="82"/>
        <v>0</v>
      </c>
      <c r="Q391" s="338">
        <f t="shared" si="83"/>
        <v>0</v>
      </c>
      <c r="R391" s="338">
        <f t="shared" si="84"/>
        <v>0</v>
      </c>
    </row>
    <row r="392" spans="1:18" ht="12">
      <c r="A392" s="985">
        <v>8330</v>
      </c>
      <c r="B392" s="984" t="s">
        <v>620</v>
      </c>
      <c r="C392" s="975" t="str">
        <f t="shared" si="76"/>
        <v>83300</v>
      </c>
      <c r="D392" s="401"/>
      <c r="E392" s="980"/>
      <c r="F392" s="980"/>
      <c r="G392" s="401" t="str">
        <f t="shared" si="85"/>
        <v/>
      </c>
      <c r="H392" s="401" t="str">
        <f t="shared" si="86"/>
        <v/>
      </c>
      <c r="I392" s="401">
        <f t="shared" si="87"/>
        <v>8330</v>
      </c>
      <c r="J392" s="981" t="str">
        <f t="shared" si="88"/>
        <v>Aportaciones de las entidades federativas a los municipios</v>
      </c>
      <c r="K392" s="338">
        <f t="shared" si="77"/>
        <v>0</v>
      </c>
      <c r="L392" s="338">
        <f t="shared" si="78"/>
        <v>0</v>
      </c>
      <c r="M392" s="338">
        <f t="shared" si="79"/>
        <v>0</v>
      </c>
      <c r="N392" s="338">
        <f t="shared" si="80"/>
        <v>0</v>
      </c>
      <c r="O392" s="338">
        <f t="shared" si="81"/>
        <v>0</v>
      </c>
      <c r="P392" s="338">
        <f t="shared" si="82"/>
        <v>0</v>
      </c>
      <c r="Q392" s="338">
        <f t="shared" si="83"/>
        <v>0</v>
      </c>
      <c r="R392" s="338">
        <f t="shared" si="84"/>
        <v>0</v>
      </c>
    </row>
    <row r="393" spans="1:18" ht="12">
      <c r="A393" s="985">
        <v>8340</v>
      </c>
      <c r="B393" s="984" t="s">
        <v>2942</v>
      </c>
      <c r="C393" s="975" t="str">
        <f t="shared" si="76"/>
        <v>83400</v>
      </c>
      <c r="D393" s="401"/>
      <c r="E393" s="980"/>
      <c r="F393" s="980"/>
      <c r="G393" s="401" t="str">
        <f t="shared" si="85"/>
        <v/>
      </c>
      <c r="H393" s="401" t="str">
        <f t="shared" si="86"/>
        <v/>
      </c>
      <c r="I393" s="401">
        <f t="shared" si="87"/>
        <v>8340</v>
      </c>
      <c r="J393" s="981" t="str">
        <f t="shared" si="88"/>
        <v>Aportaciones previstas en leyes y decretos al sistema de protección social</v>
      </c>
      <c r="K393" s="338">
        <f t="shared" si="77"/>
        <v>0</v>
      </c>
      <c r="L393" s="338">
        <f t="shared" si="78"/>
        <v>0</v>
      </c>
      <c r="M393" s="338">
        <f t="shared" si="79"/>
        <v>0</v>
      </c>
      <c r="N393" s="338">
        <f t="shared" si="80"/>
        <v>0</v>
      </c>
      <c r="O393" s="338">
        <f t="shared" si="81"/>
        <v>0</v>
      </c>
      <c r="P393" s="338">
        <f t="shared" si="82"/>
        <v>0</v>
      </c>
      <c r="Q393" s="338">
        <f t="shared" si="83"/>
        <v>0</v>
      </c>
      <c r="R393" s="338">
        <f t="shared" si="84"/>
        <v>0</v>
      </c>
    </row>
    <row r="394" spans="1:18" ht="12">
      <c r="A394" s="985">
        <v>8350</v>
      </c>
      <c r="B394" s="984" t="s">
        <v>2943</v>
      </c>
      <c r="C394" s="975" t="str">
        <f t="shared" si="76"/>
        <v>83500</v>
      </c>
      <c r="D394" s="401"/>
      <c r="E394" s="980"/>
      <c r="F394" s="980"/>
      <c r="G394" s="401" t="str">
        <f t="shared" si="85"/>
        <v/>
      </c>
      <c r="H394" s="401" t="str">
        <f t="shared" si="86"/>
        <v/>
      </c>
      <c r="I394" s="401">
        <f t="shared" si="87"/>
        <v>8350</v>
      </c>
      <c r="J394" s="981" t="str">
        <f t="shared" si="88"/>
        <v>Aportaciones previstas en leyes y decretos compensatorias a entidades federativas y municipios</v>
      </c>
      <c r="K394" s="338">
        <f t="shared" si="77"/>
        <v>0</v>
      </c>
      <c r="L394" s="338">
        <f t="shared" si="78"/>
        <v>0</v>
      </c>
      <c r="M394" s="338">
        <f t="shared" si="79"/>
        <v>0</v>
      </c>
      <c r="N394" s="338">
        <f t="shared" si="80"/>
        <v>0</v>
      </c>
      <c r="O394" s="338">
        <f t="shared" si="81"/>
        <v>0</v>
      </c>
      <c r="P394" s="338">
        <f t="shared" si="82"/>
        <v>0</v>
      </c>
      <c r="Q394" s="338">
        <f t="shared" si="83"/>
        <v>0</v>
      </c>
      <c r="R394" s="338">
        <f t="shared" si="84"/>
        <v>0</v>
      </c>
    </row>
    <row r="395" spans="1:18">
      <c r="A395" s="229">
        <v>8500</v>
      </c>
      <c r="B395" s="230" t="s">
        <v>127</v>
      </c>
      <c r="C395" s="975" t="str">
        <f t="shared" si="76"/>
        <v>85000</v>
      </c>
      <c r="D395" s="401"/>
      <c r="E395" s="980"/>
      <c r="F395" s="980"/>
      <c r="G395" s="401" t="str">
        <f t="shared" si="85"/>
        <v/>
      </c>
      <c r="H395" s="401">
        <f t="shared" si="86"/>
        <v>8500</v>
      </c>
      <c r="I395" s="401" t="str">
        <f t="shared" si="87"/>
        <v/>
      </c>
      <c r="J395" s="981" t="str">
        <f t="shared" si="88"/>
        <v>Convenios</v>
      </c>
      <c r="K395" s="338">
        <f t="shared" si="77"/>
        <v>0</v>
      </c>
      <c r="L395" s="338">
        <f t="shared" si="78"/>
        <v>0</v>
      </c>
      <c r="M395" s="338">
        <f t="shared" si="79"/>
        <v>0</v>
      </c>
      <c r="N395" s="338">
        <f t="shared" si="80"/>
        <v>0</v>
      </c>
      <c r="O395" s="338">
        <f t="shared" si="81"/>
        <v>0</v>
      </c>
      <c r="P395" s="338">
        <f t="shared" si="82"/>
        <v>0</v>
      </c>
      <c r="Q395" s="338">
        <f t="shared" si="83"/>
        <v>0</v>
      </c>
      <c r="R395" s="338">
        <f t="shared" si="84"/>
        <v>0</v>
      </c>
    </row>
    <row r="396" spans="1:18" ht="12">
      <c r="A396" s="985">
        <v>8510</v>
      </c>
      <c r="B396" s="984" t="s">
        <v>621</v>
      </c>
      <c r="C396" s="975" t="str">
        <f t="shared" si="76"/>
        <v>85100</v>
      </c>
      <c r="D396" s="401"/>
      <c r="E396" s="980"/>
      <c r="F396" s="980"/>
      <c r="G396" s="401" t="str">
        <f t="shared" si="85"/>
        <v/>
      </c>
      <c r="H396" s="401" t="str">
        <f t="shared" si="86"/>
        <v/>
      </c>
      <c r="I396" s="401">
        <f t="shared" si="87"/>
        <v>8510</v>
      </c>
      <c r="J396" s="981" t="str">
        <f t="shared" si="88"/>
        <v>Convenios de reasignación</v>
      </c>
      <c r="K396" s="338">
        <f t="shared" si="77"/>
        <v>0</v>
      </c>
      <c r="L396" s="338">
        <f t="shared" si="78"/>
        <v>0</v>
      </c>
      <c r="M396" s="338">
        <f t="shared" si="79"/>
        <v>0</v>
      </c>
      <c r="N396" s="338">
        <f t="shared" si="80"/>
        <v>0</v>
      </c>
      <c r="O396" s="338">
        <f t="shared" si="81"/>
        <v>0</v>
      </c>
      <c r="P396" s="338">
        <f t="shared" si="82"/>
        <v>0</v>
      </c>
      <c r="Q396" s="338">
        <f t="shared" si="83"/>
        <v>0</v>
      </c>
      <c r="R396" s="338">
        <f t="shared" si="84"/>
        <v>0</v>
      </c>
    </row>
    <row r="397" spans="1:18" ht="12">
      <c r="A397" s="985">
        <v>8520</v>
      </c>
      <c r="B397" s="984" t="s">
        <v>2944</v>
      </c>
      <c r="C397" s="975" t="str">
        <f t="shared" si="76"/>
        <v>85200</v>
      </c>
      <c r="D397" s="401"/>
      <c r="E397" s="980"/>
      <c r="F397" s="980"/>
      <c r="G397" s="401" t="str">
        <f t="shared" si="85"/>
        <v/>
      </c>
      <c r="H397" s="401" t="str">
        <f t="shared" si="86"/>
        <v/>
      </c>
      <c r="I397" s="401">
        <f t="shared" si="87"/>
        <v>8520</v>
      </c>
      <c r="J397" s="981" t="str">
        <f t="shared" si="88"/>
        <v>Convenios de descentralización</v>
      </c>
      <c r="K397" s="338">
        <f t="shared" si="77"/>
        <v>0</v>
      </c>
      <c r="L397" s="338">
        <f t="shared" si="78"/>
        <v>0</v>
      </c>
      <c r="M397" s="338">
        <f t="shared" si="79"/>
        <v>0</v>
      </c>
      <c r="N397" s="338">
        <f t="shared" si="80"/>
        <v>0</v>
      </c>
      <c r="O397" s="338">
        <f t="shared" si="81"/>
        <v>0</v>
      </c>
      <c r="P397" s="338">
        <f t="shared" si="82"/>
        <v>0</v>
      </c>
      <c r="Q397" s="338">
        <f t="shared" si="83"/>
        <v>0</v>
      </c>
      <c r="R397" s="338">
        <f t="shared" si="84"/>
        <v>0</v>
      </c>
    </row>
    <row r="398" spans="1:18" ht="12">
      <c r="A398" s="985">
        <v>8530</v>
      </c>
      <c r="B398" s="984" t="s">
        <v>2945</v>
      </c>
      <c r="C398" s="975" t="str">
        <f t="shared" ref="C398:C430" si="89">+A398&amp;0</f>
        <v>85300</v>
      </c>
      <c r="D398" s="401"/>
      <c r="E398" s="980"/>
      <c r="F398" s="980"/>
      <c r="G398" s="401" t="str">
        <f t="shared" si="85"/>
        <v/>
      </c>
      <c r="H398" s="401" t="str">
        <f t="shared" si="86"/>
        <v/>
      </c>
      <c r="I398" s="401">
        <f t="shared" si="87"/>
        <v>8530</v>
      </c>
      <c r="J398" s="981" t="str">
        <f t="shared" si="88"/>
        <v>Otros convenios</v>
      </c>
      <c r="K398" s="338">
        <f t="shared" si="77"/>
        <v>0</v>
      </c>
      <c r="L398" s="338">
        <f t="shared" si="78"/>
        <v>0</v>
      </c>
      <c r="M398" s="338">
        <f t="shared" si="79"/>
        <v>0</v>
      </c>
      <c r="N398" s="338">
        <f t="shared" si="80"/>
        <v>0</v>
      </c>
      <c r="O398" s="338">
        <f t="shared" si="81"/>
        <v>0</v>
      </c>
      <c r="P398" s="338">
        <f t="shared" si="82"/>
        <v>0</v>
      </c>
      <c r="Q398" s="338">
        <f t="shared" si="83"/>
        <v>0</v>
      </c>
      <c r="R398" s="338">
        <f t="shared" si="84"/>
        <v>0</v>
      </c>
    </row>
    <row r="399" spans="1:18">
      <c r="A399" s="229">
        <v>9000</v>
      </c>
      <c r="B399" s="230" t="s">
        <v>80</v>
      </c>
      <c r="C399" s="975" t="str">
        <f t="shared" si="89"/>
        <v>90000</v>
      </c>
      <c r="D399" s="401"/>
      <c r="E399" s="980"/>
      <c r="F399" s="980"/>
      <c r="G399" s="401">
        <f t="shared" si="85"/>
        <v>9000</v>
      </c>
      <c r="H399" s="401" t="str">
        <f t="shared" si="86"/>
        <v/>
      </c>
      <c r="I399" s="401" t="str">
        <f t="shared" si="87"/>
        <v/>
      </c>
      <c r="J399" s="981" t="str">
        <f t="shared" si="88"/>
        <v>DEUDA PÚBLICA</v>
      </c>
      <c r="K399" s="338">
        <f t="shared" si="77"/>
        <v>0</v>
      </c>
      <c r="L399" s="338">
        <f t="shared" si="78"/>
        <v>0</v>
      </c>
      <c r="M399" s="338">
        <f t="shared" si="79"/>
        <v>0</v>
      </c>
      <c r="N399" s="338">
        <f t="shared" si="80"/>
        <v>0</v>
      </c>
      <c r="O399" s="338">
        <f t="shared" si="81"/>
        <v>0</v>
      </c>
      <c r="P399" s="338">
        <f t="shared" si="82"/>
        <v>0</v>
      </c>
      <c r="Q399" s="338">
        <f t="shared" si="83"/>
        <v>0</v>
      </c>
      <c r="R399" s="338">
        <f t="shared" si="84"/>
        <v>0</v>
      </c>
    </row>
    <row r="400" spans="1:18">
      <c r="A400" s="229">
        <v>9100</v>
      </c>
      <c r="B400" s="230" t="s">
        <v>278</v>
      </c>
      <c r="C400" s="975" t="str">
        <f t="shared" si="89"/>
        <v>91000</v>
      </c>
      <c r="D400" s="401"/>
      <c r="E400" s="980"/>
      <c r="F400" s="980"/>
      <c r="G400" s="401" t="str">
        <f t="shared" si="85"/>
        <v/>
      </c>
      <c r="H400" s="401">
        <f t="shared" si="86"/>
        <v>9100</v>
      </c>
      <c r="I400" s="401" t="str">
        <f t="shared" si="87"/>
        <v/>
      </c>
      <c r="J400" s="981" t="str">
        <f t="shared" si="88"/>
        <v>Amortización de la deuda pública</v>
      </c>
      <c r="K400" s="338">
        <f t="shared" si="77"/>
        <v>0</v>
      </c>
      <c r="L400" s="338">
        <f t="shared" si="78"/>
        <v>0</v>
      </c>
      <c r="M400" s="338">
        <f t="shared" si="79"/>
        <v>0</v>
      </c>
      <c r="N400" s="338">
        <f t="shared" si="80"/>
        <v>0</v>
      </c>
      <c r="O400" s="338">
        <f t="shared" si="81"/>
        <v>0</v>
      </c>
      <c r="P400" s="338">
        <f t="shared" si="82"/>
        <v>0</v>
      </c>
      <c r="Q400" s="338">
        <f t="shared" si="83"/>
        <v>0</v>
      </c>
      <c r="R400" s="338">
        <f t="shared" si="84"/>
        <v>0</v>
      </c>
    </row>
    <row r="401" spans="1:18" ht="12">
      <c r="A401" s="985">
        <v>9110</v>
      </c>
      <c r="B401" s="984" t="s">
        <v>2946</v>
      </c>
      <c r="C401" s="975" t="str">
        <f t="shared" si="89"/>
        <v>91100</v>
      </c>
      <c r="D401" s="401"/>
      <c r="E401" s="980"/>
      <c r="F401" s="980"/>
      <c r="G401" s="401" t="str">
        <f t="shared" si="85"/>
        <v/>
      </c>
      <c r="H401" s="401" t="str">
        <f t="shared" si="86"/>
        <v/>
      </c>
      <c r="I401" s="401">
        <f t="shared" si="87"/>
        <v>9110</v>
      </c>
      <c r="J401" s="981" t="str">
        <f t="shared" si="88"/>
        <v>Amortización de la deuda interna con instituciones de crédito</v>
      </c>
      <c r="K401" s="338">
        <f t="shared" si="77"/>
        <v>0</v>
      </c>
      <c r="L401" s="338">
        <f t="shared" si="78"/>
        <v>0</v>
      </c>
      <c r="M401" s="338">
        <f t="shared" si="79"/>
        <v>0</v>
      </c>
      <c r="N401" s="338">
        <f t="shared" si="80"/>
        <v>0</v>
      </c>
      <c r="O401" s="338">
        <f t="shared" si="81"/>
        <v>0</v>
      </c>
      <c r="P401" s="338">
        <f t="shared" si="82"/>
        <v>0</v>
      </c>
      <c r="Q401" s="338">
        <f t="shared" si="83"/>
        <v>0</v>
      </c>
      <c r="R401" s="338">
        <f t="shared" si="84"/>
        <v>0</v>
      </c>
    </row>
    <row r="402" spans="1:18" ht="12">
      <c r="A402" s="985">
        <v>9120</v>
      </c>
      <c r="B402" s="984" t="s">
        <v>2947</v>
      </c>
      <c r="C402" s="975" t="str">
        <f t="shared" si="89"/>
        <v>91200</v>
      </c>
      <c r="D402" s="401"/>
      <c r="E402" s="980"/>
      <c r="F402" s="980"/>
      <c r="G402" s="401" t="str">
        <f t="shared" si="85"/>
        <v/>
      </c>
      <c r="H402" s="401" t="str">
        <f t="shared" si="86"/>
        <v/>
      </c>
      <c r="I402" s="401">
        <f t="shared" si="87"/>
        <v>9120</v>
      </c>
      <c r="J402" s="981" t="str">
        <f t="shared" si="88"/>
        <v>Amortización de la deuda interna por emisión de títulos y valores</v>
      </c>
      <c r="K402" s="338">
        <f t="shared" si="77"/>
        <v>0</v>
      </c>
      <c r="L402" s="338">
        <f t="shared" si="78"/>
        <v>0</v>
      </c>
      <c r="M402" s="338">
        <f t="shared" si="79"/>
        <v>0</v>
      </c>
      <c r="N402" s="338">
        <f t="shared" si="80"/>
        <v>0</v>
      </c>
      <c r="O402" s="338">
        <f t="shared" si="81"/>
        <v>0</v>
      </c>
      <c r="P402" s="338">
        <f t="shared" si="82"/>
        <v>0</v>
      </c>
      <c r="Q402" s="338">
        <f t="shared" si="83"/>
        <v>0</v>
      </c>
      <c r="R402" s="338">
        <f t="shared" si="84"/>
        <v>0</v>
      </c>
    </row>
    <row r="403" spans="1:18" ht="12">
      <c r="A403" s="985">
        <v>9130</v>
      </c>
      <c r="B403" s="984" t="s">
        <v>2948</v>
      </c>
      <c r="C403" s="975" t="str">
        <f t="shared" si="89"/>
        <v>91300</v>
      </c>
      <c r="D403" s="401"/>
      <c r="E403" s="980"/>
      <c r="F403" s="980"/>
      <c r="G403" s="401" t="str">
        <f t="shared" si="85"/>
        <v/>
      </c>
      <c r="H403" s="401" t="str">
        <f t="shared" si="86"/>
        <v/>
      </c>
      <c r="I403" s="401">
        <f t="shared" si="87"/>
        <v>9130</v>
      </c>
      <c r="J403" s="981" t="str">
        <f t="shared" si="88"/>
        <v>Amortización de arrendamientos financieros nacionales</v>
      </c>
      <c r="K403" s="338">
        <f t="shared" si="77"/>
        <v>0</v>
      </c>
      <c r="L403" s="338">
        <f t="shared" si="78"/>
        <v>0</v>
      </c>
      <c r="M403" s="338">
        <f t="shared" si="79"/>
        <v>0</v>
      </c>
      <c r="N403" s="338">
        <f t="shared" si="80"/>
        <v>0</v>
      </c>
      <c r="O403" s="338">
        <f t="shared" si="81"/>
        <v>0</v>
      </c>
      <c r="P403" s="338">
        <f t="shared" si="82"/>
        <v>0</v>
      </c>
      <c r="Q403" s="338">
        <f t="shared" si="83"/>
        <v>0</v>
      </c>
      <c r="R403" s="338">
        <f t="shared" si="84"/>
        <v>0</v>
      </c>
    </row>
    <row r="404" spans="1:18" ht="12">
      <c r="A404" s="985">
        <v>9140</v>
      </c>
      <c r="B404" s="984" t="s">
        <v>2949</v>
      </c>
      <c r="C404" s="975" t="str">
        <f t="shared" si="89"/>
        <v>91400</v>
      </c>
      <c r="D404" s="401"/>
      <c r="E404" s="980"/>
      <c r="F404" s="980"/>
      <c r="G404" s="401" t="str">
        <f t="shared" si="85"/>
        <v/>
      </c>
      <c r="H404" s="401" t="str">
        <f t="shared" si="86"/>
        <v/>
      </c>
      <c r="I404" s="401">
        <f t="shared" si="87"/>
        <v>9140</v>
      </c>
      <c r="J404" s="981" t="str">
        <f t="shared" si="88"/>
        <v>Amortización de la deuda externa con instituciones de crédito</v>
      </c>
      <c r="K404" s="338">
        <f t="shared" si="77"/>
        <v>0</v>
      </c>
      <c r="L404" s="338">
        <f t="shared" si="78"/>
        <v>0</v>
      </c>
      <c r="M404" s="338">
        <f t="shared" si="79"/>
        <v>0</v>
      </c>
      <c r="N404" s="338">
        <f t="shared" si="80"/>
        <v>0</v>
      </c>
      <c r="O404" s="338">
        <f t="shared" si="81"/>
        <v>0</v>
      </c>
      <c r="P404" s="338">
        <f t="shared" si="82"/>
        <v>0</v>
      </c>
      <c r="Q404" s="338">
        <f t="shared" si="83"/>
        <v>0</v>
      </c>
      <c r="R404" s="338">
        <f t="shared" si="84"/>
        <v>0</v>
      </c>
    </row>
    <row r="405" spans="1:18" ht="12">
      <c r="A405" s="985">
        <v>9150</v>
      </c>
      <c r="B405" s="984" t="s">
        <v>2950</v>
      </c>
      <c r="C405" s="975" t="str">
        <f t="shared" si="89"/>
        <v>91500</v>
      </c>
      <c r="D405" s="401"/>
      <c r="E405" s="980"/>
      <c r="F405" s="980"/>
      <c r="G405" s="401" t="str">
        <f t="shared" si="85"/>
        <v/>
      </c>
      <c r="H405" s="401" t="str">
        <f t="shared" si="86"/>
        <v/>
      </c>
      <c r="I405" s="401">
        <f t="shared" si="87"/>
        <v>9150</v>
      </c>
      <c r="J405" s="981" t="str">
        <f t="shared" si="88"/>
        <v>Amortización de deuda externa con organismos financieros internacionales</v>
      </c>
      <c r="K405" s="338">
        <f t="shared" si="77"/>
        <v>0</v>
      </c>
      <c r="L405" s="338">
        <f t="shared" si="78"/>
        <v>0</v>
      </c>
      <c r="M405" s="338">
        <f t="shared" si="79"/>
        <v>0</v>
      </c>
      <c r="N405" s="338">
        <f t="shared" si="80"/>
        <v>0</v>
      </c>
      <c r="O405" s="338">
        <f t="shared" si="81"/>
        <v>0</v>
      </c>
      <c r="P405" s="338">
        <f t="shared" si="82"/>
        <v>0</v>
      </c>
      <c r="Q405" s="338">
        <f t="shared" si="83"/>
        <v>0</v>
      </c>
      <c r="R405" s="338">
        <f t="shared" si="84"/>
        <v>0</v>
      </c>
    </row>
    <row r="406" spans="1:18" ht="12">
      <c r="A406" s="985">
        <v>9160</v>
      </c>
      <c r="B406" s="984" t="s">
        <v>2951</v>
      </c>
      <c r="C406" s="975" t="str">
        <f t="shared" si="89"/>
        <v>91600</v>
      </c>
      <c r="D406" s="401"/>
      <c r="E406" s="980"/>
      <c r="F406" s="980"/>
      <c r="G406" s="401" t="str">
        <f t="shared" si="85"/>
        <v/>
      </c>
      <c r="H406" s="401" t="str">
        <f t="shared" si="86"/>
        <v/>
      </c>
      <c r="I406" s="401">
        <f t="shared" si="87"/>
        <v>9160</v>
      </c>
      <c r="J406" s="981" t="str">
        <f t="shared" si="88"/>
        <v>Amortización de la deuda bilateral</v>
      </c>
      <c r="K406" s="338">
        <f t="shared" si="77"/>
        <v>0</v>
      </c>
      <c r="L406" s="338">
        <f t="shared" si="78"/>
        <v>0</v>
      </c>
      <c r="M406" s="338">
        <f t="shared" si="79"/>
        <v>0</v>
      </c>
      <c r="N406" s="338">
        <f t="shared" si="80"/>
        <v>0</v>
      </c>
      <c r="O406" s="338">
        <f t="shared" si="81"/>
        <v>0</v>
      </c>
      <c r="P406" s="338">
        <f t="shared" si="82"/>
        <v>0</v>
      </c>
      <c r="Q406" s="338">
        <f t="shared" si="83"/>
        <v>0</v>
      </c>
      <c r="R406" s="338">
        <f t="shared" si="84"/>
        <v>0</v>
      </c>
    </row>
    <row r="407" spans="1:18" ht="12">
      <c r="A407" s="985">
        <v>9170</v>
      </c>
      <c r="B407" s="984" t="s">
        <v>2952</v>
      </c>
      <c r="C407" s="975" t="str">
        <f t="shared" si="89"/>
        <v>91700</v>
      </c>
      <c r="D407" s="401"/>
      <c r="E407" s="980"/>
      <c r="F407" s="980"/>
      <c r="G407" s="401" t="str">
        <f t="shared" si="85"/>
        <v/>
      </c>
      <c r="H407" s="401" t="str">
        <f t="shared" si="86"/>
        <v/>
      </c>
      <c r="I407" s="401">
        <f t="shared" si="87"/>
        <v>9170</v>
      </c>
      <c r="J407" s="981" t="str">
        <f t="shared" si="88"/>
        <v>Amortización de la deuda externa por emisión de títulos y valores</v>
      </c>
      <c r="K407" s="338">
        <f t="shared" si="77"/>
        <v>0</v>
      </c>
      <c r="L407" s="338">
        <f t="shared" si="78"/>
        <v>0</v>
      </c>
      <c r="M407" s="338">
        <f t="shared" si="79"/>
        <v>0</v>
      </c>
      <c r="N407" s="338">
        <f t="shared" si="80"/>
        <v>0</v>
      </c>
      <c r="O407" s="338">
        <f t="shared" si="81"/>
        <v>0</v>
      </c>
      <c r="P407" s="338">
        <f t="shared" si="82"/>
        <v>0</v>
      </c>
      <c r="Q407" s="338">
        <f t="shared" si="83"/>
        <v>0</v>
      </c>
      <c r="R407" s="338">
        <f t="shared" si="84"/>
        <v>0</v>
      </c>
    </row>
    <row r="408" spans="1:18" ht="12">
      <c r="A408" s="985">
        <v>9180</v>
      </c>
      <c r="B408" s="984" t="s">
        <v>2953</v>
      </c>
      <c r="C408" s="975" t="str">
        <f t="shared" si="89"/>
        <v>91800</v>
      </c>
      <c r="D408" s="401"/>
      <c r="E408" s="980"/>
      <c r="F408" s="980"/>
      <c r="G408" s="401" t="str">
        <f t="shared" si="85"/>
        <v/>
      </c>
      <c r="H408" s="401" t="str">
        <f t="shared" si="86"/>
        <v/>
      </c>
      <c r="I408" s="401">
        <f t="shared" si="87"/>
        <v>9180</v>
      </c>
      <c r="J408" s="981" t="str">
        <f t="shared" si="88"/>
        <v>Amortización de arrendamientos financieros internacionales</v>
      </c>
      <c r="K408" s="338">
        <f t="shared" si="77"/>
        <v>0</v>
      </c>
      <c r="L408" s="338">
        <f t="shared" si="78"/>
        <v>0</v>
      </c>
      <c r="M408" s="338">
        <f t="shared" si="79"/>
        <v>0</v>
      </c>
      <c r="N408" s="338">
        <f t="shared" si="80"/>
        <v>0</v>
      </c>
      <c r="O408" s="338">
        <f t="shared" si="81"/>
        <v>0</v>
      </c>
      <c r="P408" s="338">
        <f t="shared" si="82"/>
        <v>0</v>
      </c>
      <c r="Q408" s="338">
        <f t="shared" si="83"/>
        <v>0</v>
      </c>
      <c r="R408" s="338">
        <f t="shared" si="84"/>
        <v>0</v>
      </c>
    </row>
    <row r="409" spans="1:18">
      <c r="A409" s="229">
        <v>9200</v>
      </c>
      <c r="B409" s="230" t="s">
        <v>210</v>
      </c>
      <c r="C409" s="975" t="str">
        <f t="shared" si="89"/>
        <v>92000</v>
      </c>
      <c r="D409" s="401"/>
      <c r="E409" s="980"/>
      <c r="F409" s="980"/>
      <c r="G409" s="401" t="str">
        <f t="shared" si="85"/>
        <v/>
      </c>
      <c r="H409" s="401">
        <f t="shared" si="86"/>
        <v>9200</v>
      </c>
      <c r="I409" s="401" t="str">
        <f t="shared" si="87"/>
        <v/>
      </c>
      <c r="J409" s="981" t="str">
        <f t="shared" si="88"/>
        <v>Intereses de la deuda pública</v>
      </c>
      <c r="K409" s="338">
        <f t="shared" si="77"/>
        <v>0</v>
      </c>
      <c r="L409" s="338">
        <f t="shared" si="78"/>
        <v>0</v>
      </c>
      <c r="M409" s="338">
        <f t="shared" si="79"/>
        <v>0</v>
      </c>
      <c r="N409" s="338">
        <f t="shared" si="80"/>
        <v>0</v>
      </c>
      <c r="O409" s="338">
        <f t="shared" si="81"/>
        <v>0</v>
      </c>
      <c r="P409" s="338">
        <f t="shared" si="82"/>
        <v>0</v>
      </c>
      <c r="Q409" s="338">
        <f t="shared" si="83"/>
        <v>0</v>
      </c>
      <c r="R409" s="338">
        <f t="shared" si="84"/>
        <v>0</v>
      </c>
    </row>
    <row r="410" spans="1:18" ht="12">
      <c r="A410" s="985">
        <v>9210</v>
      </c>
      <c r="B410" s="984" t="s">
        <v>2954</v>
      </c>
      <c r="C410" s="975" t="str">
        <f t="shared" si="89"/>
        <v>92100</v>
      </c>
      <c r="D410" s="401"/>
      <c r="E410" s="980"/>
      <c r="F410" s="980"/>
      <c r="G410" s="401" t="str">
        <f t="shared" si="85"/>
        <v/>
      </c>
      <c r="H410" s="401" t="str">
        <f t="shared" si="86"/>
        <v/>
      </c>
      <c r="I410" s="401">
        <f t="shared" si="87"/>
        <v>9210</v>
      </c>
      <c r="J410" s="981" t="str">
        <f t="shared" si="88"/>
        <v>Intereses de la deuda interna con instituciones de crédito</v>
      </c>
      <c r="K410" s="338">
        <f t="shared" si="77"/>
        <v>0</v>
      </c>
      <c r="L410" s="338">
        <f t="shared" si="78"/>
        <v>0</v>
      </c>
      <c r="M410" s="338">
        <f t="shared" si="79"/>
        <v>0</v>
      </c>
      <c r="N410" s="338">
        <f t="shared" si="80"/>
        <v>0</v>
      </c>
      <c r="O410" s="338">
        <f t="shared" si="81"/>
        <v>0</v>
      </c>
      <c r="P410" s="338">
        <f t="shared" si="82"/>
        <v>0</v>
      </c>
      <c r="Q410" s="338">
        <f t="shared" si="83"/>
        <v>0</v>
      </c>
      <c r="R410" s="338">
        <f t="shared" si="84"/>
        <v>0</v>
      </c>
    </row>
    <row r="411" spans="1:18" ht="12">
      <c r="A411" s="985">
        <v>9220</v>
      </c>
      <c r="B411" s="984" t="s">
        <v>2955</v>
      </c>
      <c r="C411" s="975" t="str">
        <f t="shared" si="89"/>
        <v>92200</v>
      </c>
      <c r="D411" s="401"/>
      <c r="E411" s="980"/>
      <c r="F411" s="980"/>
      <c r="G411" s="401" t="str">
        <f t="shared" si="85"/>
        <v/>
      </c>
      <c r="H411" s="401" t="str">
        <f t="shared" si="86"/>
        <v/>
      </c>
      <c r="I411" s="401">
        <f t="shared" si="87"/>
        <v>9220</v>
      </c>
      <c r="J411" s="981" t="str">
        <f t="shared" si="88"/>
        <v>Intereses derivados de la colocación de títulos y valores</v>
      </c>
      <c r="K411" s="338">
        <f t="shared" si="77"/>
        <v>0</v>
      </c>
      <c r="L411" s="338">
        <f t="shared" si="78"/>
        <v>0</v>
      </c>
      <c r="M411" s="338">
        <f t="shared" si="79"/>
        <v>0</v>
      </c>
      <c r="N411" s="338">
        <f t="shared" si="80"/>
        <v>0</v>
      </c>
      <c r="O411" s="338">
        <f t="shared" si="81"/>
        <v>0</v>
      </c>
      <c r="P411" s="338">
        <f t="shared" si="82"/>
        <v>0</v>
      </c>
      <c r="Q411" s="338">
        <f t="shared" si="83"/>
        <v>0</v>
      </c>
      <c r="R411" s="338">
        <f t="shared" si="84"/>
        <v>0</v>
      </c>
    </row>
    <row r="412" spans="1:18" ht="12">
      <c r="A412" s="985">
        <v>9230</v>
      </c>
      <c r="B412" s="984" t="s">
        <v>2956</v>
      </c>
      <c r="C412" s="975" t="str">
        <f t="shared" si="89"/>
        <v>92300</v>
      </c>
      <c r="D412" s="401"/>
      <c r="E412" s="980"/>
      <c r="F412" s="980"/>
      <c r="G412" s="401" t="str">
        <f t="shared" si="85"/>
        <v/>
      </c>
      <c r="H412" s="401" t="str">
        <f t="shared" si="86"/>
        <v/>
      </c>
      <c r="I412" s="401">
        <f t="shared" si="87"/>
        <v>9230</v>
      </c>
      <c r="J412" s="981" t="str">
        <f t="shared" si="88"/>
        <v>Intereses por arrendamientos financieros nacionales</v>
      </c>
      <c r="K412" s="338">
        <f t="shared" si="77"/>
        <v>0</v>
      </c>
      <c r="L412" s="338">
        <f t="shared" si="78"/>
        <v>0</v>
      </c>
      <c r="M412" s="338">
        <f t="shared" si="79"/>
        <v>0</v>
      </c>
      <c r="N412" s="338">
        <f t="shared" si="80"/>
        <v>0</v>
      </c>
      <c r="O412" s="338">
        <f t="shared" si="81"/>
        <v>0</v>
      </c>
      <c r="P412" s="338">
        <f t="shared" si="82"/>
        <v>0</v>
      </c>
      <c r="Q412" s="338">
        <f t="shared" si="83"/>
        <v>0</v>
      </c>
      <c r="R412" s="338">
        <f t="shared" si="84"/>
        <v>0</v>
      </c>
    </row>
    <row r="413" spans="1:18" ht="12">
      <c r="A413" s="985">
        <v>9240</v>
      </c>
      <c r="B413" s="984" t="s">
        <v>2957</v>
      </c>
      <c r="C413" s="975" t="str">
        <f t="shared" si="89"/>
        <v>92400</v>
      </c>
      <c r="D413" s="401"/>
      <c r="E413" s="980"/>
      <c r="F413" s="980"/>
      <c r="G413" s="401" t="str">
        <f t="shared" si="85"/>
        <v/>
      </c>
      <c r="H413" s="401" t="str">
        <f t="shared" si="86"/>
        <v/>
      </c>
      <c r="I413" s="401">
        <f t="shared" si="87"/>
        <v>9240</v>
      </c>
      <c r="J413" s="981" t="str">
        <f t="shared" si="88"/>
        <v>Intereses de la deuda externa con instituciones de crédito</v>
      </c>
      <c r="K413" s="338">
        <f t="shared" si="77"/>
        <v>0</v>
      </c>
      <c r="L413" s="338">
        <f t="shared" si="78"/>
        <v>0</v>
      </c>
      <c r="M413" s="338">
        <f t="shared" si="79"/>
        <v>0</v>
      </c>
      <c r="N413" s="338">
        <f t="shared" si="80"/>
        <v>0</v>
      </c>
      <c r="O413" s="338">
        <f t="shared" si="81"/>
        <v>0</v>
      </c>
      <c r="P413" s="338">
        <f t="shared" si="82"/>
        <v>0</v>
      </c>
      <c r="Q413" s="338">
        <f t="shared" si="83"/>
        <v>0</v>
      </c>
      <c r="R413" s="338">
        <f t="shared" si="84"/>
        <v>0</v>
      </c>
    </row>
    <row r="414" spans="1:18" ht="12">
      <c r="A414" s="985">
        <v>9250</v>
      </c>
      <c r="B414" s="984" t="s">
        <v>2958</v>
      </c>
      <c r="C414" s="975" t="str">
        <f t="shared" si="89"/>
        <v>92500</v>
      </c>
      <c r="D414" s="401"/>
      <c r="E414" s="980"/>
      <c r="F414" s="980"/>
      <c r="G414" s="401" t="str">
        <f t="shared" si="85"/>
        <v/>
      </c>
      <c r="H414" s="401" t="str">
        <f t="shared" si="86"/>
        <v/>
      </c>
      <c r="I414" s="401">
        <f t="shared" si="87"/>
        <v>9250</v>
      </c>
      <c r="J414" s="981" t="str">
        <f t="shared" si="88"/>
        <v>Intereses de la deuda con organismos financieros Internacionales</v>
      </c>
      <c r="K414" s="338">
        <f t="shared" si="77"/>
        <v>0</v>
      </c>
      <c r="L414" s="338">
        <f t="shared" si="78"/>
        <v>0</v>
      </c>
      <c r="M414" s="338">
        <f t="shared" si="79"/>
        <v>0</v>
      </c>
      <c r="N414" s="338">
        <f t="shared" si="80"/>
        <v>0</v>
      </c>
      <c r="O414" s="338">
        <f t="shared" si="81"/>
        <v>0</v>
      </c>
      <c r="P414" s="338">
        <f t="shared" si="82"/>
        <v>0</v>
      </c>
      <c r="Q414" s="338">
        <f t="shared" si="83"/>
        <v>0</v>
      </c>
      <c r="R414" s="338">
        <f t="shared" si="84"/>
        <v>0</v>
      </c>
    </row>
    <row r="415" spans="1:18" ht="12">
      <c r="A415" s="985">
        <v>9260</v>
      </c>
      <c r="B415" s="984" t="s">
        <v>2959</v>
      </c>
      <c r="C415" s="975" t="str">
        <f t="shared" si="89"/>
        <v>92600</v>
      </c>
      <c r="D415" s="401"/>
      <c r="E415" s="980"/>
      <c r="F415" s="980"/>
      <c r="G415" s="401" t="str">
        <f t="shared" si="85"/>
        <v/>
      </c>
      <c r="H415" s="401" t="str">
        <f t="shared" si="86"/>
        <v/>
      </c>
      <c r="I415" s="401">
        <f t="shared" si="87"/>
        <v>9260</v>
      </c>
      <c r="J415" s="981" t="str">
        <f t="shared" si="88"/>
        <v>Intereses de la deuda bilateral</v>
      </c>
      <c r="K415" s="338">
        <f t="shared" si="77"/>
        <v>0</v>
      </c>
      <c r="L415" s="338">
        <f t="shared" si="78"/>
        <v>0</v>
      </c>
      <c r="M415" s="338">
        <f t="shared" si="79"/>
        <v>0</v>
      </c>
      <c r="N415" s="338">
        <f t="shared" si="80"/>
        <v>0</v>
      </c>
      <c r="O415" s="338">
        <f t="shared" si="81"/>
        <v>0</v>
      </c>
      <c r="P415" s="338">
        <f t="shared" si="82"/>
        <v>0</v>
      </c>
      <c r="Q415" s="338">
        <f t="shared" si="83"/>
        <v>0</v>
      </c>
      <c r="R415" s="338">
        <f t="shared" si="84"/>
        <v>0</v>
      </c>
    </row>
    <row r="416" spans="1:18" ht="12">
      <c r="A416" s="985">
        <v>9270</v>
      </c>
      <c r="B416" s="984" t="s">
        <v>2960</v>
      </c>
      <c r="C416" s="975" t="str">
        <f t="shared" si="89"/>
        <v>92700</v>
      </c>
      <c r="D416" s="401"/>
      <c r="E416" s="980"/>
      <c r="F416" s="980"/>
      <c r="G416" s="401" t="str">
        <f t="shared" si="85"/>
        <v/>
      </c>
      <c r="H416" s="401" t="str">
        <f t="shared" si="86"/>
        <v/>
      </c>
      <c r="I416" s="401">
        <f t="shared" si="87"/>
        <v>9270</v>
      </c>
      <c r="J416" s="981" t="str">
        <f t="shared" si="88"/>
        <v>Intereses derivados de la colocación de títulos y valores en el exterior</v>
      </c>
      <c r="K416" s="338">
        <f t="shared" si="77"/>
        <v>0</v>
      </c>
      <c r="L416" s="338">
        <f t="shared" si="78"/>
        <v>0</v>
      </c>
      <c r="M416" s="338">
        <f t="shared" si="79"/>
        <v>0</v>
      </c>
      <c r="N416" s="338">
        <f t="shared" si="80"/>
        <v>0</v>
      </c>
      <c r="O416" s="338">
        <f t="shared" si="81"/>
        <v>0</v>
      </c>
      <c r="P416" s="338">
        <f t="shared" si="82"/>
        <v>0</v>
      </c>
      <c r="Q416" s="338">
        <f t="shared" si="83"/>
        <v>0</v>
      </c>
      <c r="R416" s="338">
        <f t="shared" si="84"/>
        <v>0</v>
      </c>
    </row>
    <row r="417" spans="1:18" ht="12">
      <c r="A417" s="985">
        <v>9280</v>
      </c>
      <c r="B417" s="984" t="s">
        <v>2961</v>
      </c>
      <c r="C417" s="975" t="str">
        <f t="shared" si="89"/>
        <v>92800</v>
      </c>
      <c r="D417" s="401"/>
      <c r="E417" s="980"/>
      <c r="F417" s="980"/>
      <c r="G417" s="401" t="str">
        <f t="shared" si="85"/>
        <v/>
      </c>
      <c r="H417" s="401" t="str">
        <f t="shared" si="86"/>
        <v/>
      </c>
      <c r="I417" s="401">
        <f t="shared" si="87"/>
        <v>9280</v>
      </c>
      <c r="J417" s="981" t="str">
        <f t="shared" si="88"/>
        <v>Intereses por arrendamientos financieros internacionales</v>
      </c>
      <c r="K417" s="338">
        <f t="shared" si="77"/>
        <v>0</v>
      </c>
      <c r="L417" s="338">
        <f t="shared" si="78"/>
        <v>0</v>
      </c>
      <c r="M417" s="338">
        <f t="shared" si="79"/>
        <v>0</v>
      </c>
      <c r="N417" s="338">
        <f t="shared" si="80"/>
        <v>0</v>
      </c>
      <c r="O417" s="338">
        <f t="shared" si="81"/>
        <v>0</v>
      </c>
      <c r="P417" s="338">
        <f t="shared" si="82"/>
        <v>0</v>
      </c>
      <c r="Q417" s="338">
        <f t="shared" si="83"/>
        <v>0</v>
      </c>
      <c r="R417" s="338">
        <f t="shared" si="84"/>
        <v>0</v>
      </c>
    </row>
    <row r="418" spans="1:18">
      <c r="A418" s="229">
        <v>9300</v>
      </c>
      <c r="B418" s="230" t="s">
        <v>211</v>
      </c>
      <c r="C418" s="975" t="str">
        <f t="shared" si="89"/>
        <v>93000</v>
      </c>
      <c r="D418" s="401"/>
      <c r="E418" s="980"/>
      <c r="F418" s="980"/>
      <c r="G418" s="401" t="str">
        <f t="shared" si="85"/>
        <v/>
      </c>
      <c r="H418" s="401">
        <f t="shared" si="86"/>
        <v>9300</v>
      </c>
      <c r="I418" s="401" t="str">
        <f t="shared" si="87"/>
        <v/>
      </c>
      <c r="J418" s="981" t="str">
        <f t="shared" si="88"/>
        <v>Comisiones de la deuda pública</v>
      </c>
      <c r="K418" s="338">
        <f t="shared" si="77"/>
        <v>0</v>
      </c>
      <c r="L418" s="338">
        <f t="shared" si="78"/>
        <v>0</v>
      </c>
      <c r="M418" s="338">
        <f t="shared" si="79"/>
        <v>0</v>
      </c>
      <c r="N418" s="338">
        <f t="shared" si="80"/>
        <v>0</v>
      </c>
      <c r="O418" s="338">
        <f t="shared" si="81"/>
        <v>0</v>
      </c>
      <c r="P418" s="338">
        <f t="shared" si="82"/>
        <v>0</v>
      </c>
      <c r="Q418" s="338">
        <f t="shared" si="83"/>
        <v>0</v>
      </c>
      <c r="R418" s="338">
        <f t="shared" si="84"/>
        <v>0</v>
      </c>
    </row>
    <row r="419" spans="1:18" ht="12">
      <c r="A419" s="985">
        <v>9310</v>
      </c>
      <c r="B419" s="984" t="s">
        <v>625</v>
      </c>
      <c r="C419" s="975" t="str">
        <f t="shared" si="89"/>
        <v>93100</v>
      </c>
      <c r="D419" s="401"/>
      <c r="E419" s="980"/>
      <c r="F419" s="980"/>
      <c r="G419" s="401" t="str">
        <f t="shared" si="85"/>
        <v/>
      </c>
      <c r="H419" s="401" t="str">
        <f t="shared" si="86"/>
        <v/>
      </c>
      <c r="I419" s="401">
        <f t="shared" si="87"/>
        <v>9310</v>
      </c>
      <c r="J419" s="981" t="str">
        <f t="shared" si="88"/>
        <v>Comisiones de la deuda pública interna</v>
      </c>
      <c r="K419" s="338">
        <f t="shared" si="77"/>
        <v>0</v>
      </c>
      <c r="L419" s="338">
        <f t="shared" si="78"/>
        <v>0</v>
      </c>
      <c r="M419" s="338">
        <f t="shared" si="79"/>
        <v>0</v>
      </c>
      <c r="N419" s="338">
        <f t="shared" si="80"/>
        <v>0</v>
      </c>
      <c r="O419" s="338">
        <f t="shared" si="81"/>
        <v>0</v>
      </c>
      <c r="P419" s="338">
        <f t="shared" si="82"/>
        <v>0</v>
      </c>
      <c r="Q419" s="338">
        <f t="shared" si="83"/>
        <v>0</v>
      </c>
      <c r="R419" s="338">
        <f t="shared" si="84"/>
        <v>0</v>
      </c>
    </row>
    <row r="420" spans="1:18" ht="12">
      <c r="A420" s="985">
        <v>9320</v>
      </c>
      <c r="B420" s="984" t="s">
        <v>626</v>
      </c>
      <c r="C420" s="975" t="str">
        <f t="shared" si="89"/>
        <v>93200</v>
      </c>
      <c r="D420" s="401"/>
      <c r="E420" s="980"/>
      <c r="F420" s="980"/>
      <c r="G420" s="401" t="str">
        <f t="shared" si="85"/>
        <v/>
      </c>
      <c r="H420" s="401" t="str">
        <f t="shared" si="86"/>
        <v/>
      </c>
      <c r="I420" s="401">
        <f t="shared" si="87"/>
        <v>9320</v>
      </c>
      <c r="J420" s="981" t="str">
        <f t="shared" si="88"/>
        <v>Comisiones de la deuda pública externa</v>
      </c>
      <c r="K420" s="338">
        <f t="shared" si="77"/>
        <v>0</v>
      </c>
      <c r="L420" s="338">
        <f t="shared" si="78"/>
        <v>0</v>
      </c>
      <c r="M420" s="338">
        <f t="shared" si="79"/>
        <v>0</v>
      </c>
      <c r="N420" s="338">
        <f t="shared" si="80"/>
        <v>0</v>
      </c>
      <c r="O420" s="338">
        <f t="shared" si="81"/>
        <v>0</v>
      </c>
      <c r="P420" s="338">
        <f t="shared" si="82"/>
        <v>0</v>
      </c>
      <c r="Q420" s="338">
        <f t="shared" si="83"/>
        <v>0</v>
      </c>
      <c r="R420" s="338">
        <f t="shared" si="84"/>
        <v>0</v>
      </c>
    </row>
    <row r="421" spans="1:18">
      <c r="A421" s="229">
        <v>9400</v>
      </c>
      <c r="B421" s="230" t="s">
        <v>212</v>
      </c>
      <c r="C421" s="975" t="str">
        <f t="shared" si="89"/>
        <v>94000</v>
      </c>
      <c r="D421" s="401"/>
      <c r="E421" s="980"/>
      <c r="F421" s="980"/>
      <c r="G421" s="401" t="str">
        <f t="shared" si="85"/>
        <v/>
      </c>
      <c r="H421" s="401">
        <f t="shared" si="86"/>
        <v>9400</v>
      </c>
      <c r="I421" s="401" t="str">
        <f t="shared" si="87"/>
        <v/>
      </c>
      <c r="J421" s="981" t="str">
        <f t="shared" si="88"/>
        <v>Gastos de la deuda pública</v>
      </c>
      <c r="K421" s="338">
        <f t="shared" si="77"/>
        <v>0</v>
      </c>
      <c r="L421" s="338">
        <f t="shared" si="78"/>
        <v>0</v>
      </c>
      <c r="M421" s="338">
        <f t="shared" si="79"/>
        <v>0</v>
      </c>
      <c r="N421" s="338">
        <f t="shared" si="80"/>
        <v>0</v>
      </c>
      <c r="O421" s="338">
        <f t="shared" si="81"/>
        <v>0</v>
      </c>
      <c r="P421" s="338">
        <f t="shared" si="82"/>
        <v>0</v>
      </c>
      <c r="Q421" s="338">
        <f t="shared" si="83"/>
        <v>0</v>
      </c>
      <c r="R421" s="338">
        <f t="shared" si="84"/>
        <v>0</v>
      </c>
    </row>
    <row r="422" spans="1:18" ht="12">
      <c r="A422" s="985">
        <v>9410</v>
      </c>
      <c r="B422" s="984" t="s">
        <v>627</v>
      </c>
      <c r="C422" s="975" t="str">
        <f t="shared" si="89"/>
        <v>94100</v>
      </c>
      <c r="D422" s="401"/>
      <c r="E422" s="980"/>
      <c r="F422" s="980"/>
      <c r="G422" s="401" t="str">
        <f t="shared" si="85"/>
        <v/>
      </c>
      <c r="H422" s="401" t="str">
        <f t="shared" si="86"/>
        <v/>
      </c>
      <c r="I422" s="401">
        <f t="shared" si="87"/>
        <v>9410</v>
      </c>
      <c r="J422" s="981" t="str">
        <f t="shared" si="88"/>
        <v>Gastos de la deuda pública interna</v>
      </c>
      <c r="K422" s="338">
        <f t="shared" si="77"/>
        <v>0</v>
      </c>
      <c r="L422" s="338">
        <f t="shared" si="78"/>
        <v>0</v>
      </c>
      <c r="M422" s="338">
        <f t="shared" si="79"/>
        <v>0</v>
      </c>
      <c r="N422" s="338">
        <f t="shared" si="80"/>
        <v>0</v>
      </c>
      <c r="O422" s="338">
        <f t="shared" si="81"/>
        <v>0</v>
      </c>
      <c r="P422" s="338">
        <f t="shared" si="82"/>
        <v>0</v>
      </c>
      <c r="Q422" s="338">
        <f t="shared" si="83"/>
        <v>0</v>
      </c>
      <c r="R422" s="338">
        <f t="shared" si="84"/>
        <v>0</v>
      </c>
    </row>
    <row r="423" spans="1:18" ht="12">
      <c r="A423" s="985">
        <v>9420</v>
      </c>
      <c r="B423" s="984" t="s">
        <v>628</v>
      </c>
      <c r="C423" s="975" t="str">
        <f t="shared" si="89"/>
        <v>94200</v>
      </c>
      <c r="D423" s="401"/>
      <c r="E423" s="980"/>
      <c r="F423" s="980"/>
      <c r="G423" s="401" t="str">
        <f t="shared" si="85"/>
        <v/>
      </c>
      <c r="H423" s="401" t="str">
        <f t="shared" si="86"/>
        <v/>
      </c>
      <c r="I423" s="401">
        <f t="shared" si="87"/>
        <v>9420</v>
      </c>
      <c r="J423" s="981" t="str">
        <f t="shared" si="88"/>
        <v>Gastos de la deuda pública externa</v>
      </c>
      <c r="K423" s="338">
        <f t="shared" si="77"/>
        <v>0</v>
      </c>
      <c r="L423" s="338">
        <f t="shared" si="78"/>
        <v>0</v>
      </c>
      <c r="M423" s="338">
        <f t="shared" si="79"/>
        <v>0</v>
      </c>
      <c r="N423" s="338">
        <f t="shared" si="80"/>
        <v>0</v>
      </c>
      <c r="O423" s="338">
        <f t="shared" si="81"/>
        <v>0</v>
      </c>
      <c r="P423" s="338">
        <f t="shared" si="82"/>
        <v>0</v>
      </c>
      <c r="Q423" s="338">
        <f t="shared" si="83"/>
        <v>0</v>
      </c>
      <c r="R423" s="338">
        <f t="shared" si="84"/>
        <v>0</v>
      </c>
    </row>
    <row r="424" spans="1:18">
      <c r="A424" s="229">
        <v>9500</v>
      </c>
      <c r="B424" s="230" t="s">
        <v>213</v>
      </c>
      <c r="C424" s="975" t="str">
        <f t="shared" si="89"/>
        <v>95000</v>
      </c>
      <c r="D424" s="401"/>
      <c r="E424" s="980"/>
      <c r="F424" s="980"/>
      <c r="G424" s="401" t="str">
        <f t="shared" si="85"/>
        <v/>
      </c>
      <c r="H424" s="401">
        <f t="shared" si="86"/>
        <v>9500</v>
      </c>
      <c r="I424" s="401" t="str">
        <f t="shared" si="87"/>
        <v/>
      </c>
      <c r="J424" s="981" t="str">
        <f t="shared" si="88"/>
        <v>Costo por coberturas</v>
      </c>
      <c r="K424" s="338">
        <f t="shared" si="77"/>
        <v>0</v>
      </c>
      <c r="L424" s="338">
        <f t="shared" si="78"/>
        <v>0</v>
      </c>
      <c r="M424" s="338">
        <f t="shared" si="79"/>
        <v>0</v>
      </c>
      <c r="N424" s="338">
        <f t="shared" si="80"/>
        <v>0</v>
      </c>
      <c r="O424" s="338">
        <f t="shared" si="81"/>
        <v>0</v>
      </c>
      <c r="P424" s="338">
        <f t="shared" si="82"/>
        <v>0</v>
      </c>
      <c r="Q424" s="338">
        <f t="shared" si="83"/>
        <v>0</v>
      </c>
      <c r="R424" s="338">
        <f t="shared" si="84"/>
        <v>0</v>
      </c>
    </row>
    <row r="425" spans="1:18" ht="12">
      <c r="A425" s="985">
        <v>9510</v>
      </c>
      <c r="B425" s="984" t="s">
        <v>2962</v>
      </c>
      <c r="C425" s="975" t="str">
        <f t="shared" si="89"/>
        <v>95100</v>
      </c>
      <c r="D425" s="401"/>
      <c r="E425" s="980"/>
      <c r="F425" s="980"/>
      <c r="G425" s="401" t="str">
        <f t="shared" si="85"/>
        <v/>
      </c>
      <c r="H425" s="401" t="str">
        <f t="shared" si="86"/>
        <v/>
      </c>
      <c r="I425" s="401">
        <f t="shared" si="87"/>
        <v>9510</v>
      </c>
      <c r="J425" s="981" t="str">
        <f t="shared" si="88"/>
        <v>Costos por coberturas</v>
      </c>
      <c r="K425" s="338">
        <f t="shared" si="77"/>
        <v>0</v>
      </c>
      <c r="L425" s="338">
        <f t="shared" si="78"/>
        <v>0</v>
      </c>
      <c r="M425" s="338">
        <f t="shared" si="79"/>
        <v>0</v>
      </c>
      <c r="N425" s="338">
        <f t="shared" si="80"/>
        <v>0</v>
      </c>
      <c r="O425" s="338">
        <f t="shared" si="81"/>
        <v>0</v>
      </c>
      <c r="P425" s="338">
        <f t="shared" si="82"/>
        <v>0</v>
      </c>
      <c r="Q425" s="338">
        <f t="shared" si="83"/>
        <v>0</v>
      </c>
      <c r="R425" s="338">
        <f t="shared" si="84"/>
        <v>0</v>
      </c>
    </row>
    <row r="426" spans="1:18">
      <c r="A426" s="229">
        <v>9600</v>
      </c>
      <c r="B426" s="230" t="s">
        <v>214</v>
      </c>
      <c r="C426" s="975" t="str">
        <f t="shared" si="89"/>
        <v>96000</v>
      </c>
      <c r="D426" s="401"/>
      <c r="E426" s="980"/>
      <c r="F426" s="980"/>
      <c r="G426" s="401" t="str">
        <f t="shared" si="85"/>
        <v/>
      </c>
      <c r="H426" s="401">
        <f t="shared" si="86"/>
        <v>9600</v>
      </c>
      <c r="I426" s="401" t="str">
        <f t="shared" si="87"/>
        <v/>
      </c>
      <c r="J426" s="981" t="str">
        <f t="shared" si="88"/>
        <v>Apoyos financieros</v>
      </c>
      <c r="K426" s="338">
        <f t="shared" si="77"/>
        <v>0</v>
      </c>
      <c r="L426" s="338">
        <f t="shared" si="78"/>
        <v>0</v>
      </c>
      <c r="M426" s="338">
        <f t="shared" si="79"/>
        <v>0</v>
      </c>
      <c r="N426" s="338">
        <f t="shared" si="80"/>
        <v>0</v>
      </c>
      <c r="O426" s="338">
        <f t="shared" si="81"/>
        <v>0</v>
      </c>
      <c r="P426" s="338">
        <f t="shared" si="82"/>
        <v>0</v>
      </c>
      <c r="Q426" s="338">
        <f t="shared" si="83"/>
        <v>0</v>
      </c>
      <c r="R426" s="338">
        <f t="shared" si="84"/>
        <v>0</v>
      </c>
    </row>
    <row r="427" spans="1:18" ht="12">
      <c r="A427" s="985">
        <v>9610</v>
      </c>
      <c r="B427" s="984" t="s">
        <v>2963</v>
      </c>
      <c r="C427" s="975" t="str">
        <f t="shared" si="89"/>
        <v>96100</v>
      </c>
      <c r="D427" s="401"/>
      <c r="E427" s="980"/>
      <c r="F427" s="980"/>
      <c r="G427" s="401" t="str">
        <f t="shared" si="85"/>
        <v/>
      </c>
      <c r="H427" s="401" t="str">
        <f t="shared" si="86"/>
        <v/>
      </c>
      <c r="I427" s="401">
        <f t="shared" si="87"/>
        <v>9610</v>
      </c>
      <c r="J427" s="981" t="str">
        <f t="shared" si="88"/>
        <v>Apoyos a intermediarios financieros</v>
      </c>
      <c r="K427" s="338">
        <f t="shared" si="77"/>
        <v>0</v>
      </c>
      <c r="L427" s="338">
        <f t="shared" si="78"/>
        <v>0</v>
      </c>
      <c r="M427" s="338">
        <f t="shared" si="79"/>
        <v>0</v>
      </c>
      <c r="N427" s="338">
        <f t="shared" si="80"/>
        <v>0</v>
      </c>
      <c r="O427" s="338">
        <f t="shared" si="81"/>
        <v>0</v>
      </c>
      <c r="P427" s="338">
        <f t="shared" si="82"/>
        <v>0</v>
      </c>
      <c r="Q427" s="338">
        <f t="shared" si="83"/>
        <v>0</v>
      </c>
      <c r="R427" s="338">
        <f t="shared" si="84"/>
        <v>0</v>
      </c>
    </row>
    <row r="428" spans="1:18" ht="12">
      <c r="A428" s="985">
        <v>9620</v>
      </c>
      <c r="B428" s="984" t="s">
        <v>2964</v>
      </c>
      <c r="C428" s="975" t="str">
        <f t="shared" si="89"/>
        <v>96200</v>
      </c>
      <c r="D428" s="401"/>
      <c r="E428" s="980"/>
      <c r="F428" s="980"/>
      <c r="G428" s="401" t="str">
        <f t="shared" si="85"/>
        <v/>
      </c>
      <c r="H428" s="401" t="str">
        <f t="shared" si="86"/>
        <v/>
      </c>
      <c r="I428" s="401">
        <f t="shared" si="87"/>
        <v>9620</v>
      </c>
      <c r="J428" s="981" t="str">
        <f t="shared" si="88"/>
        <v>Apoyos a ahorradores y deudores del Sistema Financiero Nacional</v>
      </c>
      <c r="K428" s="338">
        <f t="shared" si="77"/>
        <v>0</v>
      </c>
      <c r="L428" s="338">
        <f t="shared" si="78"/>
        <v>0</v>
      </c>
      <c r="M428" s="338">
        <f t="shared" si="79"/>
        <v>0</v>
      </c>
      <c r="N428" s="338">
        <f t="shared" si="80"/>
        <v>0</v>
      </c>
      <c r="O428" s="338">
        <f t="shared" si="81"/>
        <v>0</v>
      </c>
      <c r="P428" s="338">
        <f t="shared" si="82"/>
        <v>0</v>
      </c>
      <c r="Q428" s="338">
        <f t="shared" si="83"/>
        <v>0</v>
      </c>
      <c r="R428" s="338">
        <f t="shared" si="84"/>
        <v>0</v>
      </c>
    </row>
    <row r="429" spans="1:18">
      <c r="A429" s="229">
        <v>9900</v>
      </c>
      <c r="B429" s="230" t="s">
        <v>279</v>
      </c>
      <c r="C429" s="975" t="str">
        <f t="shared" si="89"/>
        <v>99000</v>
      </c>
      <c r="D429" s="401"/>
      <c r="E429" s="980"/>
      <c r="F429" s="980"/>
      <c r="G429" s="401" t="str">
        <f t="shared" si="85"/>
        <v/>
      </c>
      <c r="H429" s="401">
        <f t="shared" si="86"/>
        <v>9900</v>
      </c>
      <c r="I429" s="401" t="str">
        <f t="shared" si="87"/>
        <v/>
      </c>
      <c r="J429" s="981" t="str">
        <f t="shared" si="88"/>
        <v>Adeudos de ejercicios fiscales anteriores (ADEFAS)</v>
      </c>
      <c r="K429" s="338">
        <f t="shared" si="77"/>
        <v>0</v>
      </c>
      <c r="L429" s="338">
        <f t="shared" si="78"/>
        <v>0</v>
      </c>
      <c r="M429" s="338">
        <f t="shared" si="79"/>
        <v>0</v>
      </c>
      <c r="N429" s="338">
        <f t="shared" si="80"/>
        <v>0</v>
      </c>
      <c r="O429" s="338">
        <f t="shared" si="81"/>
        <v>0</v>
      </c>
      <c r="P429" s="338">
        <f t="shared" si="82"/>
        <v>0</v>
      </c>
      <c r="Q429" s="338">
        <f t="shared" si="83"/>
        <v>0</v>
      </c>
      <c r="R429" s="338">
        <f t="shared" si="84"/>
        <v>0</v>
      </c>
    </row>
    <row r="430" spans="1:18" ht="12">
      <c r="A430" s="985">
        <v>9910</v>
      </c>
      <c r="B430" s="984" t="s">
        <v>2965</v>
      </c>
      <c r="C430" s="975" t="str">
        <f t="shared" si="89"/>
        <v>99100</v>
      </c>
      <c r="D430" s="403"/>
      <c r="E430" s="982"/>
      <c r="F430" s="982"/>
      <c r="G430" s="403" t="str">
        <f t="shared" si="85"/>
        <v/>
      </c>
      <c r="H430" s="403" t="str">
        <f t="shared" si="86"/>
        <v/>
      </c>
      <c r="I430" s="403">
        <f t="shared" si="87"/>
        <v>9910</v>
      </c>
      <c r="J430" s="983" t="str">
        <f t="shared" si="88"/>
        <v>ADEFAS</v>
      </c>
      <c r="K430" s="339">
        <f t="shared" si="77"/>
        <v>0</v>
      </c>
      <c r="L430" s="339">
        <f t="shared" si="78"/>
        <v>0</v>
      </c>
      <c r="M430" s="339">
        <f t="shared" si="79"/>
        <v>0</v>
      </c>
      <c r="N430" s="339">
        <f t="shared" si="80"/>
        <v>0</v>
      </c>
      <c r="O430" s="339">
        <f t="shared" si="81"/>
        <v>0</v>
      </c>
      <c r="P430" s="339">
        <f t="shared" si="82"/>
        <v>0</v>
      </c>
      <c r="Q430" s="339">
        <f t="shared" si="83"/>
        <v>0</v>
      </c>
      <c r="R430" s="339">
        <f t="shared" si="84"/>
        <v>0</v>
      </c>
    </row>
  </sheetData>
  <sheetProtection autoFilter="0"/>
  <mergeCells count="3">
    <mergeCell ref="D1:R1"/>
    <mergeCell ref="D2:R2"/>
    <mergeCell ref="D3:R3"/>
  </mergeCells>
  <dataValidations count="8">
    <dataValidation allowBlank="1" showInputMessage="1" showErrorMessage="1" prompt="Para el llenado de este formato se debe utilizar a nivel de Capítulo y Concepto el Clasificador por Objeto del Gasto aprobado por el CONAC." sqref="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A4"/>
    <dataValidation allowBlank="1" showInputMessage="1" showErrorMessage="1" prompt="Modificado menos Devengado" sqref="R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R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R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R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R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R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R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R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R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R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R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R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R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R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R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R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dataValidation allowBlank="1" showInputMessage="1" showErrorMessage="1" prompt="Es el momento que refleja la cancelación total o parcial de las obligaciones de pago, que se concreta mediante el desembolso de efectivo o cualquier otro medio de pago." sqref="P4:Q4 JI4 TE4 ADA4 AMW4 AWS4 BGO4 BQK4 CAG4 CKC4 CTY4 DDU4 DNQ4 DXM4 EHI4 ERE4 FBA4 FKW4 FUS4 GEO4 GOK4 GYG4 HIC4 HRY4 IBU4 ILQ4 IVM4 JFI4 JPE4 JZA4 KIW4 KSS4 LCO4 LMK4 LWG4 MGC4 MPY4 MZU4 NJQ4 NTM4 ODI4 ONE4 OXA4 PGW4 PQS4 QAO4 QKK4 QUG4 REC4 RNY4 RXU4 SHQ4 SRM4 TBI4 TLE4 TVA4 UEW4 UOS4 UYO4 VIK4 VSG4 WCC4 WLY4 WVU4 P65539:Q65539 JI65539 TE65539 ADA65539 AMW65539 AWS65539 BGO65539 BQK65539 CAG65539 CKC65539 CTY65539 DDU65539 DNQ65539 DXM65539 EHI65539 ERE65539 FBA65539 FKW65539 FUS65539 GEO65539 GOK65539 GYG65539 HIC65539 HRY65539 IBU65539 ILQ65539 IVM65539 JFI65539 JPE65539 JZA65539 KIW65539 KSS65539 LCO65539 LMK65539 LWG65539 MGC65539 MPY65539 MZU65539 NJQ65539 NTM65539 ODI65539 ONE65539 OXA65539 PGW65539 PQS65539 QAO65539 QKK65539 QUG65539 REC65539 RNY65539 RXU65539 SHQ65539 SRM65539 TBI65539 TLE65539 TVA65539 UEW65539 UOS65539 UYO65539 VIK65539 VSG65539 WCC65539 WLY65539 WVU65539 P131075:Q131075 JI131075 TE131075 ADA131075 AMW131075 AWS131075 BGO131075 BQK131075 CAG131075 CKC131075 CTY131075 DDU131075 DNQ131075 DXM131075 EHI131075 ERE131075 FBA131075 FKW131075 FUS131075 GEO131075 GOK131075 GYG131075 HIC131075 HRY131075 IBU131075 ILQ131075 IVM131075 JFI131075 JPE131075 JZA131075 KIW131075 KSS131075 LCO131075 LMK131075 LWG131075 MGC131075 MPY131075 MZU131075 NJQ131075 NTM131075 ODI131075 ONE131075 OXA131075 PGW131075 PQS131075 QAO131075 QKK131075 QUG131075 REC131075 RNY131075 RXU131075 SHQ131075 SRM131075 TBI131075 TLE131075 TVA131075 UEW131075 UOS131075 UYO131075 VIK131075 VSG131075 WCC131075 WLY131075 WVU131075 P196611:Q196611 JI196611 TE196611 ADA196611 AMW196611 AWS196611 BGO196611 BQK196611 CAG196611 CKC196611 CTY196611 DDU196611 DNQ196611 DXM196611 EHI196611 ERE196611 FBA196611 FKW196611 FUS196611 GEO196611 GOK196611 GYG196611 HIC196611 HRY196611 IBU196611 ILQ196611 IVM196611 JFI196611 JPE196611 JZA196611 KIW196611 KSS196611 LCO196611 LMK196611 LWG196611 MGC196611 MPY196611 MZU196611 NJQ196611 NTM196611 ODI196611 ONE196611 OXA196611 PGW196611 PQS196611 QAO196611 QKK196611 QUG196611 REC196611 RNY196611 RXU196611 SHQ196611 SRM196611 TBI196611 TLE196611 TVA196611 UEW196611 UOS196611 UYO196611 VIK196611 VSG196611 WCC196611 WLY196611 WVU196611 P262147:Q262147 JI262147 TE262147 ADA262147 AMW262147 AWS262147 BGO262147 BQK262147 CAG262147 CKC262147 CTY262147 DDU262147 DNQ262147 DXM262147 EHI262147 ERE262147 FBA262147 FKW262147 FUS262147 GEO262147 GOK262147 GYG262147 HIC262147 HRY262147 IBU262147 ILQ262147 IVM262147 JFI262147 JPE262147 JZA262147 KIW262147 KSS262147 LCO262147 LMK262147 LWG262147 MGC262147 MPY262147 MZU262147 NJQ262147 NTM262147 ODI262147 ONE262147 OXA262147 PGW262147 PQS262147 QAO262147 QKK262147 QUG262147 REC262147 RNY262147 RXU262147 SHQ262147 SRM262147 TBI262147 TLE262147 TVA262147 UEW262147 UOS262147 UYO262147 VIK262147 VSG262147 WCC262147 WLY262147 WVU262147 P327683:Q327683 JI327683 TE327683 ADA327683 AMW327683 AWS327683 BGO327683 BQK327683 CAG327683 CKC327683 CTY327683 DDU327683 DNQ327683 DXM327683 EHI327683 ERE327683 FBA327683 FKW327683 FUS327683 GEO327683 GOK327683 GYG327683 HIC327683 HRY327683 IBU327683 ILQ327683 IVM327683 JFI327683 JPE327683 JZA327683 KIW327683 KSS327683 LCO327683 LMK327683 LWG327683 MGC327683 MPY327683 MZU327683 NJQ327683 NTM327683 ODI327683 ONE327683 OXA327683 PGW327683 PQS327683 QAO327683 QKK327683 QUG327683 REC327683 RNY327683 RXU327683 SHQ327683 SRM327683 TBI327683 TLE327683 TVA327683 UEW327683 UOS327683 UYO327683 VIK327683 VSG327683 WCC327683 WLY327683 WVU327683 P393219:Q393219 JI393219 TE393219 ADA393219 AMW393219 AWS393219 BGO393219 BQK393219 CAG393219 CKC393219 CTY393219 DDU393219 DNQ393219 DXM393219 EHI393219 ERE393219 FBA393219 FKW393219 FUS393219 GEO393219 GOK393219 GYG393219 HIC393219 HRY393219 IBU393219 ILQ393219 IVM393219 JFI393219 JPE393219 JZA393219 KIW393219 KSS393219 LCO393219 LMK393219 LWG393219 MGC393219 MPY393219 MZU393219 NJQ393219 NTM393219 ODI393219 ONE393219 OXA393219 PGW393219 PQS393219 QAO393219 QKK393219 QUG393219 REC393219 RNY393219 RXU393219 SHQ393219 SRM393219 TBI393219 TLE393219 TVA393219 UEW393219 UOS393219 UYO393219 VIK393219 VSG393219 WCC393219 WLY393219 WVU393219 P458755:Q458755 JI458755 TE458755 ADA458755 AMW458755 AWS458755 BGO458755 BQK458755 CAG458755 CKC458755 CTY458755 DDU458755 DNQ458755 DXM458755 EHI458755 ERE458755 FBA458755 FKW458755 FUS458755 GEO458755 GOK458755 GYG458755 HIC458755 HRY458755 IBU458755 ILQ458755 IVM458755 JFI458755 JPE458755 JZA458755 KIW458755 KSS458755 LCO458755 LMK458755 LWG458755 MGC458755 MPY458755 MZU458755 NJQ458755 NTM458755 ODI458755 ONE458755 OXA458755 PGW458755 PQS458755 QAO458755 QKK458755 QUG458755 REC458755 RNY458755 RXU458755 SHQ458755 SRM458755 TBI458755 TLE458755 TVA458755 UEW458755 UOS458755 UYO458755 VIK458755 VSG458755 WCC458755 WLY458755 WVU458755 P524291:Q524291 JI524291 TE524291 ADA524291 AMW524291 AWS524291 BGO524291 BQK524291 CAG524291 CKC524291 CTY524291 DDU524291 DNQ524291 DXM524291 EHI524291 ERE524291 FBA524291 FKW524291 FUS524291 GEO524291 GOK524291 GYG524291 HIC524291 HRY524291 IBU524291 ILQ524291 IVM524291 JFI524291 JPE524291 JZA524291 KIW524291 KSS524291 LCO524291 LMK524291 LWG524291 MGC524291 MPY524291 MZU524291 NJQ524291 NTM524291 ODI524291 ONE524291 OXA524291 PGW524291 PQS524291 QAO524291 QKK524291 QUG524291 REC524291 RNY524291 RXU524291 SHQ524291 SRM524291 TBI524291 TLE524291 TVA524291 UEW524291 UOS524291 UYO524291 VIK524291 VSG524291 WCC524291 WLY524291 WVU524291 P589827:Q589827 JI589827 TE589827 ADA589827 AMW589827 AWS589827 BGO589827 BQK589827 CAG589827 CKC589827 CTY589827 DDU589827 DNQ589827 DXM589827 EHI589827 ERE589827 FBA589827 FKW589827 FUS589827 GEO589827 GOK589827 GYG589827 HIC589827 HRY589827 IBU589827 ILQ589827 IVM589827 JFI589827 JPE589827 JZA589827 KIW589827 KSS589827 LCO589827 LMK589827 LWG589827 MGC589827 MPY589827 MZU589827 NJQ589827 NTM589827 ODI589827 ONE589827 OXA589827 PGW589827 PQS589827 QAO589827 QKK589827 QUG589827 REC589827 RNY589827 RXU589827 SHQ589827 SRM589827 TBI589827 TLE589827 TVA589827 UEW589827 UOS589827 UYO589827 VIK589827 VSG589827 WCC589827 WLY589827 WVU589827 P655363:Q655363 JI655363 TE655363 ADA655363 AMW655363 AWS655363 BGO655363 BQK655363 CAG655363 CKC655363 CTY655363 DDU655363 DNQ655363 DXM655363 EHI655363 ERE655363 FBA655363 FKW655363 FUS655363 GEO655363 GOK655363 GYG655363 HIC655363 HRY655363 IBU655363 ILQ655363 IVM655363 JFI655363 JPE655363 JZA655363 KIW655363 KSS655363 LCO655363 LMK655363 LWG655363 MGC655363 MPY655363 MZU655363 NJQ655363 NTM655363 ODI655363 ONE655363 OXA655363 PGW655363 PQS655363 QAO655363 QKK655363 QUG655363 REC655363 RNY655363 RXU655363 SHQ655363 SRM655363 TBI655363 TLE655363 TVA655363 UEW655363 UOS655363 UYO655363 VIK655363 VSG655363 WCC655363 WLY655363 WVU655363 P720899:Q720899 JI720899 TE720899 ADA720899 AMW720899 AWS720899 BGO720899 BQK720899 CAG720899 CKC720899 CTY720899 DDU720899 DNQ720899 DXM720899 EHI720899 ERE720899 FBA720899 FKW720899 FUS720899 GEO720899 GOK720899 GYG720899 HIC720899 HRY720899 IBU720899 ILQ720899 IVM720899 JFI720899 JPE720899 JZA720899 KIW720899 KSS720899 LCO720899 LMK720899 LWG720899 MGC720899 MPY720899 MZU720899 NJQ720899 NTM720899 ODI720899 ONE720899 OXA720899 PGW720899 PQS720899 QAO720899 QKK720899 QUG720899 REC720899 RNY720899 RXU720899 SHQ720899 SRM720899 TBI720899 TLE720899 TVA720899 UEW720899 UOS720899 UYO720899 VIK720899 VSG720899 WCC720899 WLY720899 WVU720899 P786435:Q786435 JI786435 TE786435 ADA786435 AMW786435 AWS786435 BGO786435 BQK786435 CAG786435 CKC786435 CTY786435 DDU786435 DNQ786435 DXM786435 EHI786435 ERE786435 FBA786435 FKW786435 FUS786435 GEO786435 GOK786435 GYG786435 HIC786435 HRY786435 IBU786435 ILQ786435 IVM786435 JFI786435 JPE786435 JZA786435 KIW786435 KSS786435 LCO786435 LMK786435 LWG786435 MGC786435 MPY786435 MZU786435 NJQ786435 NTM786435 ODI786435 ONE786435 OXA786435 PGW786435 PQS786435 QAO786435 QKK786435 QUG786435 REC786435 RNY786435 RXU786435 SHQ786435 SRM786435 TBI786435 TLE786435 TVA786435 UEW786435 UOS786435 UYO786435 VIK786435 VSG786435 WCC786435 WLY786435 WVU786435 P851971:Q851971 JI851971 TE851971 ADA851971 AMW851971 AWS851971 BGO851971 BQK851971 CAG851971 CKC851971 CTY851971 DDU851971 DNQ851971 DXM851971 EHI851971 ERE851971 FBA851971 FKW851971 FUS851971 GEO851971 GOK851971 GYG851971 HIC851971 HRY851971 IBU851971 ILQ851971 IVM851971 JFI851971 JPE851971 JZA851971 KIW851971 KSS851971 LCO851971 LMK851971 LWG851971 MGC851971 MPY851971 MZU851971 NJQ851971 NTM851971 ODI851971 ONE851971 OXA851971 PGW851971 PQS851971 QAO851971 QKK851971 QUG851971 REC851971 RNY851971 RXU851971 SHQ851971 SRM851971 TBI851971 TLE851971 TVA851971 UEW851971 UOS851971 UYO851971 VIK851971 VSG851971 WCC851971 WLY851971 WVU851971 P917507:Q917507 JI917507 TE917507 ADA917507 AMW917507 AWS917507 BGO917507 BQK917507 CAG917507 CKC917507 CTY917507 DDU917507 DNQ917507 DXM917507 EHI917507 ERE917507 FBA917507 FKW917507 FUS917507 GEO917507 GOK917507 GYG917507 HIC917507 HRY917507 IBU917507 ILQ917507 IVM917507 JFI917507 JPE917507 JZA917507 KIW917507 KSS917507 LCO917507 LMK917507 LWG917507 MGC917507 MPY917507 MZU917507 NJQ917507 NTM917507 ODI917507 ONE917507 OXA917507 PGW917507 PQS917507 QAO917507 QKK917507 QUG917507 REC917507 RNY917507 RXU917507 SHQ917507 SRM917507 TBI917507 TLE917507 TVA917507 UEW917507 UOS917507 UYO917507 VIK917507 VSG917507 WCC917507 WLY917507 WVU917507 P983043:Q983043 JI983043 TE983043 ADA983043 AMW983043 AWS983043 BGO983043 BQK983043 CAG983043 CKC983043 CTY983043 DDU983043 DNQ983043 DXM983043 EHI983043 ERE983043 FBA983043 FKW983043 FUS983043 GEO983043 GOK983043 GYG983043 HIC983043 HRY983043 IBU983043 ILQ983043 IVM983043 JFI983043 JPE983043 JZA983043 KIW983043 KSS983043 LCO983043 LMK983043 LWG983043 MGC983043 MPY983043 MZU983043 NJQ983043 NTM983043 ODI983043 ONE983043 OXA983043 PGW983043 PQS983043 QAO983043 QKK983043 QUG983043 REC983043 RNY983043 RXU983043 SHQ983043 SRM983043 TBI983043 TLE983043 TVA983043 UEW983043 UOS983043 UYO983043 VIK983043 VSG983043 WCC983043 WLY983043 WVU983043"/>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N65539:O65539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N131075:O131075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N196611:O196611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N262147:O262147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N327683:O327683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N393219:O393219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N458755:O458755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N524291:O524291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N589827:O589827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N655363:O655363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N720899:O720899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N786435:O786435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N851971:O851971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N917507:O917507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N983043:O983043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WVT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N4:O4"/>
    <dataValidation allowBlank="1" showInputMessage="1" showErrorMessage="1" prompt="Es el momento que refleja la asignación presupuestaria que resulta de incorporar; en su caso, las adecuaciones presupuestarias al presupuesto aprobado." sqref="REA983043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RNW983043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RXS983043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SHO983043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SRK983043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TBG98304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TLC983043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TUY983043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UEU983043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UOQ983043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UYM98304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VII983043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VSE983043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WCA983043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WLW983043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WVS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dataValidation allowBlank="1" showInputMessage="1" showErrorMessage="1" prompt="Refleja las asignaciones presupuestarias anuales comprometidas en el Presupuesto de Egresos." sqref="K4 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K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K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K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K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K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K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K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K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K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K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K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K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K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K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K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dataValidation allowBlank="1" showInputMessage="1" showErrorMessage="1" prompt="Se refiere al nombre que se asigna a cada uno de los desagregados que se señalan." sqref="J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J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J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J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J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J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J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J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J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J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J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J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J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J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J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J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B4"/>
    <dataValidation allowBlank="1" showInputMessage="1" showErrorMessage="1" prompt="Refleja las modificaciones realizadas al Presupuesto Aprobado" sqref="L65539:M65539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L131075:M131075 JF65539 TB65539 ACX65539 AMT65539 AWP65539 BGL65539 BQH65539 CAD65539 CJZ65539 CTV65539 DDR65539 DNN65539 DXJ65539 EHF65539 ERB65539 FAX65539 FKT65539 FUP65539 GEL65539 GOH65539 GYD65539 HHZ65539 HRV65539 IBR65539 ILN65539 IVJ65539 JFF65539 JPB65539 JYX65539 KIT65539 KSP65539 LCL65539 LMH65539 LWD65539 MFZ65539 MPV65539 MZR65539 NJN65539 NTJ65539 ODF65539 ONB65539 OWX65539 PGT65539 PQP65539 QAL65539 QKH65539 QUD65539 RDZ65539 RNV65539 RXR65539 SHN65539 SRJ65539 TBF65539 TLB65539 TUX65539 UET65539 UOP65539 UYL65539 VIH65539 VSD65539 WBZ65539 WLV65539 WVR65539 L196611:M196611 JF131075 TB131075 ACX131075 AMT131075 AWP131075 BGL131075 BQH131075 CAD131075 CJZ131075 CTV131075 DDR131075 DNN131075 DXJ131075 EHF131075 ERB131075 FAX131075 FKT131075 FUP131075 GEL131075 GOH131075 GYD131075 HHZ131075 HRV131075 IBR131075 ILN131075 IVJ131075 JFF131075 JPB131075 JYX131075 KIT131075 KSP131075 LCL131075 LMH131075 LWD131075 MFZ131075 MPV131075 MZR131075 NJN131075 NTJ131075 ODF131075 ONB131075 OWX131075 PGT131075 PQP131075 QAL131075 QKH131075 QUD131075 RDZ131075 RNV131075 RXR131075 SHN131075 SRJ131075 TBF131075 TLB131075 TUX131075 UET131075 UOP131075 UYL131075 VIH131075 VSD131075 WBZ131075 WLV131075 WVR131075 L262147:M262147 JF196611 TB196611 ACX196611 AMT196611 AWP196611 BGL196611 BQH196611 CAD196611 CJZ196611 CTV196611 DDR196611 DNN196611 DXJ196611 EHF196611 ERB196611 FAX196611 FKT196611 FUP196611 GEL196611 GOH196611 GYD196611 HHZ196611 HRV196611 IBR196611 ILN196611 IVJ196611 JFF196611 JPB196611 JYX196611 KIT196611 KSP196611 LCL196611 LMH196611 LWD196611 MFZ196611 MPV196611 MZR196611 NJN196611 NTJ196611 ODF196611 ONB196611 OWX196611 PGT196611 PQP196611 QAL196611 QKH196611 QUD196611 RDZ196611 RNV196611 RXR196611 SHN196611 SRJ196611 TBF196611 TLB196611 TUX196611 UET196611 UOP196611 UYL196611 VIH196611 VSD196611 WBZ196611 WLV196611 WVR196611 L327683:M327683 JF262147 TB262147 ACX262147 AMT262147 AWP262147 BGL262147 BQH262147 CAD262147 CJZ262147 CTV262147 DDR262147 DNN262147 DXJ262147 EHF262147 ERB262147 FAX262147 FKT262147 FUP262147 GEL262147 GOH262147 GYD262147 HHZ262147 HRV262147 IBR262147 ILN262147 IVJ262147 JFF262147 JPB262147 JYX262147 KIT262147 KSP262147 LCL262147 LMH262147 LWD262147 MFZ262147 MPV262147 MZR262147 NJN262147 NTJ262147 ODF262147 ONB262147 OWX262147 PGT262147 PQP262147 QAL262147 QKH262147 QUD262147 RDZ262147 RNV262147 RXR262147 SHN262147 SRJ262147 TBF262147 TLB262147 TUX262147 UET262147 UOP262147 UYL262147 VIH262147 VSD262147 WBZ262147 WLV262147 WVR262147 L393219:M393219 JF327683 TB327683 ACX327683 AMT327683 AWP327683 BGL327683 BQH327683 CAD327683 CJZ327683 CTV327683 DDR327683 DNN327683 DXJ327683 EHF327683 ERB327683 FAX327683 FKT327683 FUP327683 GEL327683 GOH327683 GYD327683 HHZ327683 HRV327683 IBR327683 ILN327683 IVJ327683 JFF327683 JPB327683 JYX327683 KIT327683 KSP327683 LCL327683 LMH327683 LWD327683 MFZ327683 MPV327683 MZR327683 NJN327683 NTJ327683 ODF327683 ONB327683 OWX327683 PGT327683 PQP327683 QAL327683 QKH327683 QUD327683 RDZ327683 RNV327683 RXR327683 SHN327683 SRJ327683 TBF327683 TLB327683 TUX327683 UET327683 UOP327683 UYL327683 VIH327683 VSD327683 WBZ327683 WLV327683 WVR327683 L458755:M458755 JF393219 TB393219 ACX393219 AMT393219 AWP393219 BGL393219 BQH393219 CAD393219 CJZ393219 CTV393219 DDR393219 DNN393219 DXJ393219 EHF393219 ERB393219 FAX393219 FKT393219 FUP393219 GEL393219 GOH393219 GYD393219 HHZ393219 HRV393219 IBR393219 ILN393219 IVJ393219 JFF393219 JPB393219 JYX393219 KIT393219 KSP393219 LCL393219 LMH393219 LWD393219 MFZ393219 MPV393219 MZR393219 NJN393219 NTJ393219 ODF393219 ONB393219 OWX393219 PGT393219 PQP393219 QAL393219 QKH393219 QUD393219 RDZ393219 RNV393219 RXR393219 SHN393219 SRJ393219 TBF393219 TLB393219 TUX393219 UET393219 UOP393219 UYL393219 VIH393219 VSD393219 WBZ393219 WLV393219 WVR393219 L524291:M524291 JF458755 TB458755 ACX458755 AMT458755 AWP458755 BGL458755 BQH458755 CAD458755 CJZ458755 CTV458755 DDR458755 DNN458755 DXJ458755 EHF458755 ERB458755 FAX458755 FKT458755 FUP458755 GEL458755 GOH458755 GYD458755 HHZ458755 HRV458755 IBR458755 ILN458755 IVJ458755 JFF458755 JPB458755 JYX458755 KIT458755 KSP458755 LCL458755 LMH458755 LWD458755 MFZ458755 MPV458755 MZR458755 NJN458755 NTJ458755 ODF458755 ONB458755 OWX458755 PGT458755 PQP458755 QAL458755 QKH458755 QUD458755 RDZ458755 RNV458755 RXR458755 SHN458755 SRJ458755 TBF458755 TLB458755 TUX458755 UET458755 UOP458755 UYL458755 VIH458755 VSD458755 WBZ458755 WLV458755 WVR458755 L589827:M589827 JF524291 TB524291 ACX524291 AMT524291 AWP524291 BGL524291 BQH524291 CAD524291 CJZ524291 CTV524291 DDR524291 DNN524291 DXJ524291 EHF524291 ERB524291 FAX524291 FKT524291 FUP524291 GEL524291 GOH524291 GYD524291 HHZ524291 HRV524291 IBR524291 ILN524291 IVJ524291 JFF524291 JPB524291 JYX524291 KIT524291 KSP524291 LCL524291 LMH524291 LWD524291 MFZ524291 MPV524291 MZR524291 NJN524291 NTJ524291 ODF524291 ONB524291 OWX524291 PGT524291 PQP524291 QAL524291 QKH524291 QUD524291 RDZ524291 RNV524291 RXR524291 SHN524291 SRJ524291 TBF524291 TLB524291 TUX524291 UET524291 UOP524291 UYL524291 VIH524291 VSD524291 WBZ524291 WLV524291 WVR524291 L655363:M655363 JF589827 TB589827 ACX589827 AMT589827 AWP589827 BGL589827 BQH589827 CAD589827 CJZ589827 CTV589827 DDR589827 DNN589827 DXJ589827 EHF589827 ERB589827 FAX589827 FKT589827 FUP589827 GEL589827 GOH589827 GYD589827 HHZ589827 HRV589827 IBR589827 ILN589827 IVJ589827 JFF589827 JPB589827 JYX589827 KIT589827 KSP589827 LCL589827 LMH589827 LWD589827 MFZ589827 MPV589827 MZR589827 NJN589827 NTJ589827 ODF589827 ONB589827 OWX589827 PGT589827 PQP589827 QAL589827 QKH589827 QUD589827 RDZ589827 RNV589827 RXR589827 SHN589827 SRJ589827 TBF589827 TLB589827 TUX589827 UET589827 UOP589827 UYL589827 VIH589827 VSD589827 WBZ589827 WLV589827 WVR589827 L720899:M720899 JF655363 TB655363 ACX655363 AMT655363 AWP655363 BGL655363 BQH655363 CAD655363 CJZ655363 CTV655363 DDR655363 DNN655363 DXJ655363 EHF655363 ERB655363 FAX655363 FKT655363 FUP655363 GEL655363 GOH655363 GYD655363 HHZ655363 HRV655363 IBR655363 ILN655363 IVJ655363 JFF655363 JPB655363 JYX655363 KIT655363 KSP655363 LCL655363 LMH655363 LWD655363 MFZ655363 MPV655363 MZR655363 NJN655363 NTJ655363 ODF655363 ONB655363 OWX655363 PGT655363 PQP655363 QAL655363 QKH655363 QUD655363 RDZ655363 RNV655363 RXR655363 SHN655363 SRJ655363 TBF655363 TLB655363 TUX655363 UET655363 UOP655363 UYL655363 VIH655363 VSD655363 WBZ655363 WLV655363 WVR655363 L786435:M786435 JF720899 TB720899 ACX720899 AMT720899 AWP720899 BGL720899 BQH720899 CAD720899 CJZ720899 CTV720899 DDR720899 DNN720899 DXJ720899 EHF720899 ERB720899 FAX720899 FKT720899 FUP720899 GEL720899 GOH720899 GYD720899 HHZ720899 HRV720899 IBR720899 ILN720899 IVJ720899 JFF720899 JPB720899 JYX720899 KIT720899 KSP720899 LCL720899 LMH720899 LWD720899 MFZ720899 MPV720899 MZR720899 NJN720899 NTJ720899 ODF720899 ONB720899 OWX720899 PGT720899 PQP720899 QAL720899 QKH720899 QUD720899 RDZ720899 RNV720899 RXR720899 SHN720899 SRJ720899 TBF720899 TLB720899 TUX720899 UET720899 UOP720899 UYL720899 VIH720899 VSD720899 WBZ720899 WLV720899 WVR720899 L851971:M851971 JF786435 TB786435 ACX786435 AMT786435 AWP786435 BGL786435 BQH786435 CAD786435 CJZ786435 CTV786435 DDR786435 DNN786435 DXJ786435 EHF786435 ERB786435 FAX786435 FKT786435 FUP786435 GEL786435 GOH786435 GYD786435 HHZ786435 HRV786435 IBR786435 ILN786435 IVJ786435 JFF786435 JPB786435 JYX786435 KIT786435 KSP786435 LCL786435 LMH786435 LWD786435 MFZ786435 MPV786435 MZR786435 NJN786435 NTJ786435 ODF786435 ONB786435 OWX786435 PGT786435 PQP786435 QAL786435 QKH786435 QUD786435 RDZ786435 RNV786435 RXR786435 SHN786435 SRJ786435 TBF786435 TLB786435 TUX786435 UET786435 UOP786435 UYL786435 VIH786435 VSD786435 WBZ786435 WLV786435 WVR786435 L917507:M917507 JF851971 TB851971 ACX851971 AMT851971 AWP851971 BGL851971 BQH851971 CAD851971 CJZ851971 CTV851971 DDR851971 DNN851971 DXJ851971 EHF851971 ERB851971 FAX851971 FKT851971 FUP851971 GEL851971 GOH851971 GYD851971 HHZ851971 HRV851971 IBR851971 ILN851971 IVJ851971 JFF851971 JPB851971 JYX851971 KIT851971 KSP851971 LCL851971 LMH851971 LWD851971 MFZ851971 MPV851971 MZR851971 NJN851971 NTJ851971 ODF851971 ONB851971 OWX851971 PGT851971 PQP851971 QAL851971 QKH851971 QUD851971 RDZ851971 RNV851971 RXR851971 SHN851971 SRJ851971 TBF851971 TLB851971 TUX851971 UET851971 UOP851971 UYL851971 VIH851971 VSD851971 WBZ851971 WLV851971 WVR851971 L983043:M983043 JF917507 TB917507 ACX917507 AMT917507 AWP917507 BGL917507 BQH917507 CAD917507 CJZ917507 CTV917507 DDR917507 DNN917507 DXJ917507 EHF917507 ERB917507 FAX917507 FKT917507 FUP917507 GEL917507 GOH917507 GYD917507 HHZ917507 HRV917507 IBR917507 ILN917507 IVJ917507 JFF917507 JPB917507 JYX917507 KIT917507 KSP917507 LCL917507 LMH917507 LWD917507 MFZ917507 MPV917507 MZR917507 NJN917507 NTJ917507 ODF917507 ONB917507 OWX917507 PGT917507 PQP917507 QAL917507 QKH917507 QUD917507 RDZ917507 RNV917507 RXR917507 SHN917507 SRJ917507 TBF917507 TLB917507 TUX917507 UET917507 UOP917507 UYL917507 VIH917507 VSD917507 WBZ917507 WLV917507 WVR917507 WVR983043 JF983043 TB983043 ACX983043 AMT983043 AWP983043 BGL983043 BQH983043 CAD983043 CJZ983043 CTV983043 DDR983043 DNN983043 DXJ983043 EHF983043 ERB983043 FAX983043 FKT983043 FUP983043 GEL983043 GOH983043 GYD983043 HHZ983043 HRV983043 IBR983043 ILN983043 IVJ983043 JFF983043 JPB983043 JYX983043 KIT983043 KSP983043 LCL983043 LMH983043 LWD983043 MFZ983043 MPV983043 MZR983043 NJN983043 NTJ983043 ODF983043 ONB983043 OWX983043 PGT983043 PQP983043 QAL983043 QKH983043 QUD983043 RDZ983043 RNV983043 RXR983043 SHN983043 SRJ983043 TBF983043 TLB983043 TUX983043 UET983043 UOP983043 UYL983043 VIH983043 VSD983043 WBZ983043 WLV983043 L4:M4"/>
  </dataValidations>
  <pageMargins left="0.7" right="0.7" top="0.75" bottom="0.75" header="0.3" footer="0.3"/>
  <pageSetup paperSize="11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5"/>
  <sheetViews>
    <sheetView showGridLines="0" zoomScaleNormal="100" workbookViewId="0">
      <pane ySplit="2" topLeftCell="A156" activePane="bottomLeft" state="frozen"/>
      <selection pane="bottomLeft" activeCell="C3" sqref="C3:D195"/>
    </sheetView>
  </sheetViews>
  <sheetFormatPr baseColWidth="10" defaultColWidth="9.28515625" defaultRowHeight="11.25"/>
  <cols>
    <col min="1" max="1" width="7.7109375" style="149" customWidth="1"/>
    <col min="2" max="2" width="62.85546875" style="148" customWidth="1"/>
    <col min="3" max="4" width="16.28515625" style="164" customWidth="1"/>
    <col min="5" max="5" width="6.85546875" style="149" customWidth="1"/>
    <col min="6" max="255" width="9.28515625" style="149"/>
    <col min="256" max="256" width="7.7109375" style="149" customWidth="1"/>
    <col min="257" max="257" width="62.85546875" style="149" customWidth="1"/>
    <col min="258" max="260" width="16.28515625" style="149" customWidth="1"/>
    <col min="261" max="261" width="6.85546875" style="149" customWidth="1"/>
    <col min="262" max="511" width="9.28515625" style="149"/>
    <col min="512" max="512" width="7.7109375" style="149" customWidth="1"/>
    <col min="513" max="513" width="62.85546875" style="149" customWidth="1"/>
    <col min="514" max="516" width="16.28515625" style="149" customWidth="1"/>
    <col min="517" max="517" width="6.85546875" style="149" customWidth="1"/>
    <col min="518" max="767" width="9.28515625" style="149"/>
    <col min="768" max="768" width="7.7109375" style="149" customWidth="1"/>
    <col min="769" max="769" width="62.85546875" style="149" customWidth="1"/>
    <col min="770" max="772" width="16.28515625" style="149" customWidth="1"/>
    <col min="773" max="773" width="6.85546875" style="149" customWidth="1"/>
    <col min="774" max="1023" width="9.28515625" style="149"/>
    <col min="1024" max="1024" width="7.7109375" style="149" customWidth="1"/>
    <col min="1025" max="1025" width="62.85546875" style="149" customWidth="1"/>
    <col min="1026" max="1028" width="16.28515625" style="149" customWidth="1"/>
    <col min="1029" max="1029" width="6.85546875" style="149" customWidth="1"/>
    <col min="1030" max="1279" width="9.28515625" style="149"/>
    <col min="1280" max="1280" width="7.7109375" style="149" customWidth="1"/>
    <col min="1281" max="1281" width="62.85546875" style="149" customWidth="1"/>
    <col min="1282" max="1284" width="16.28515625" style="149" customWidth="1"/>
    <col min="1285" max="1285" width="6.85546875" style="149" customWidth="1"/>
    <col min="1286" max="1535" width="9.28515625" style="149"/>
    <col min="1536" max="1536" width="7.7109375" style="149" customWidth="1"/>
    <col min="1537" max="1537" width="62.85546875" style="149" customWidth="1"/>
    <col min="1538" max="1540" width="16.28515625" style="149" customWidth="1"/>
    <col min="1541" max="1541" width="6.85546875" style="149" customWidth="1"/>
    <col min="1542" max="1791" width="9.28515625" style="149"/>
    <col min="1792" max="1792" width="7.7109375" style="149" customWidth="1"/>
    <col min="1793" max="1793" width="62.85546875" style="149" customWidth="1"/>
    <col min="1794" max="1796" width="16.28515625" style="149" customWidth="1"/>
    <col min="1797" max="1797" width="6.85546875" style="149" customWidth="1"/>
    <col min="1798" max="2047" width="9.28515625" style="149"/>
    <col min="2048" max="2048" width="7.7109375" style="149" customWidth="1"/>
    <col min="2049" max="2049" width="62.85546875" style="149" customWidth="1"/>
    <col min="2050" max="2052" width="16.28515625" style="149" customWidth="1"/>
    <col min="2053" max="2053" width="6.85546875" style="149" customWidth="1"/>
    <col min="2054" max="2303" width="9.28515625" style="149"/>
    <col min="2304" max="2304" width="7.7109375" style="149" customWidth="1"/>
    <col min="2305" max="2305" width="62.85546875" style="149" customWidth="1"/>
    <col min="2306" max="2308" width="16.28515625" style="149" customWidth="1"/>
    <col min="2309" max="2309" width="6.85546875" style="149" customWidth="1"/>
    <col min="2310" max="2559" width="9.28515625" style="149"/>
    <col min="2560" max="2560" width="7.7109375" style="149" customWidth="1"/>
    <col min="2561" max="2561" width="62.85546875" style="149" customWidth="1"/>
    <col min="2562" max="2564" width="16.28515625" style="149" customWidth="1"/>
    <col min="2565" max="2565" width="6.85546875" style="149" customWidth="1"/>
    <col min="2566" max="2815" width="9.28515625" style="149"/>
    <col min="2816" max="2816" width="7.7109375" style="149" customWidth="1"/>
    <col min="2817" max="2817" width="62.85546875" style="149" customWidth="1"/>
    <col min="2818" max="2820" width="16.28515625" style="149" customWidth="1"/>
    <col min="2821" max="2821" width="6.85546875" style="149" customWidth="1"/>
    <col min="2822" max="3071" width="9.28515625" style="149"/>
    <col min="3072" max="3072" width="7.7109375" style="149" customWidth="1"/>
    <col min="3073" max="3073" width="62.85546875" style="149" customWidth="1"/>
    <col min="3074" max="3076" width="16.28515625" style="149" customWidth="1"/>
    <col min="3077" max="3077" width="6.85546875" style="149" customWidth="1"/>
    <col min="3078" max="3327" width="9.28515625" style="149"/>
    <col min="3328" max="3328" width="7.7109375" style="149" customWidth="1"/>
    <col min="3329" max="3329" width="62.85546875" style="149" customWidth="1"/>
    <col min="3330" max="3332" width="16.28515625" style="149" customWidth="1"/>
    <col min="3333" max="3333" width="6.85546875" style="149" customWidth="1"/>
    <col min="3334" max="3583" width="9.28515625" style="149"/>
    <col min="3584" max="3584" width="7.7109375" style="149" customWidth="1"/>
    <col min="3585" max="3585" width="62.85546875" style="149" customWidth="1"/>
    <col min="3586" max="3588" width="16.28515625" style="149" customWidth="1"/>
    <col min="3589" max="3589" width="6.85546875" style="149" customWidth="1"/>
    <col min="3590" max="3839" width="9.28515625" style="149"/>
    <col min="3840" max="3840" width="7.7109375" style="149" customWidth="1"/>
    <col min="3841" max="3841" width="62.85546875" style="149" customWidth="1"/>
    <col min="3842" max="3844" width="16.28515625" style="149" customWidth="1"/>
    <col min="3845" max="3845" width="6.85546875" style="149" customWidth="1"/>
    <col min="3846" max="4095" width="9.28515625" style="149"/>
    <col min="4096" max="4096" width="7.7109375" style="149" customWidth="1"/>
    <col min="4097" max="4097" width="62.85546875" style="149" customWidth="1"/>
    <col min="4098" max="4100" width="16.28515625" style="149" customWidth="1"/>
    <col min="4101" max="4101" width="6.85546875" style="149" customWidth="1"/>
    <col min="4102" max="4351" width="9.28515625" style="149"/>
    <col min="4352" max="4352" width="7.7109375" style="149" customWidth="1"/>
    <col min="4353" max="4353" width="62.85546875" style="149" customWidth="1"/>
    <col min="4354" max="4356" width="16.28515625" style="149" customWidth="1"/>
    <col min="4357" max="4357" width="6.85546875" style="149" customWidth="1"/>
    <col min="4358" max="4607" width="9.28515625" style="149"/>
    <col min="4608" max="4608" width="7.7109375" style="149" customWidth="1"/>
    <col min="4609" max="4609" width="62.85546875" style="149" customWidth="1"/>
    <col min="4610" max="4612" width="16.28515625" style="149" customWidth="1"/>
    <col min="4613" max="4613" width="6.85546875" style="149" customWidth="1"/>
    <col min="4614" max="4863" width="9.28515625" style="149"/>
    <col min="4864" max="4864" width="7.7109375" style="149" customWidth="1"/>
    <col min="4865" max="4865" width="62.85546875" style="149" customWidth="1"/>
    <col min="4866" max="4868" width="16.28515625" style="149" customWidth="1"/>
    <col min="4869" max="4869" width="6.85546875" style="149" customWidth="1"/>
    <col min="4870" max="5119" width="9.28515625" style="149"/>
    <col min="5120" max="5120" width="7.7109375" style="149" customWidth="1"/>
    <col min="5121" max="5121" width="62.85546875" style="149" customWidth="1"/>
    <col min="5122" max="5124" width="16.28515625" style="149" customWidth="1"/>
    <col min="5125" max="5125" width="6.85546875" style="149" customWidth="1"/>
    <col min="5126" max="5375" width="9.28515625" style="149"/>
    <col min="5376" max="5376" width="7.7109375" style="149" customWidth="1"/>
    <col min="5377" max="5377" width="62.85546875" style="149" customWidth="1"/>
    <col min="5378" max="5380" width="16.28515625" style="149" customWidth="1"/>
    <col min="5381" max="5381" width="6.85546875" style="149" customWidth="1"/>
    <col min="5382" max="5631" width="9.28515625" style="149"/>
    <col min="5632" max="5632" width="7.7109375" style="149" customWidth="1"/>
    <col min="5633" max="5633" width="62.85546875" style="149" customWidth="1"/>
    <col min="5634" max="5636" width="16.28515625" style="149" customWidth="1"/>
    <col min="5637" max="5637" width="6.85546875" style="149" customWidth="1"/>
    <col min="5638" max="5887" width="9.28515625" style="149"/>
    <col min="5888" max="5888" width="7.7109375" style="149" customWidth="1"/>
    <col min="5889" max="5889" width="62.85546875" style="149" customWidth="1"/>
    <col min="5890" max="5892" width="16.28515625" style="149" customWidth="1"/>
    <col min="5893" max="5893" width="6.85546875" style="149" customWidth="1"/>
    <col min="5894" max="6143" width="9.28515625" style="149"/>
    <col min="6144" max="6144" width="7.7109375" style="149" customWidth="1"/>
    <col min="6145" max="6145" width="62.85546875" style="149" customWidth="1"/>
    <col min="6146" max="6148" width="16.28515625" style="149" customWidth="1"/>
    <col min="6149" max="6149" width="6.85546875" style="149" customWidth="1"/>
    <col min="6150" max="6399" width="9.28515625" style="149"/>
    <col min="6400" max="6400" width="7.7109375" style="149" customWidth="1"/>
    <col min="6401" max="6401" width="62.85546875" style="149" customWidth="1"/>
    <col min="6402" max="6404" width="16.28515625" style="149" customWidth="1"/>
    <col min="6405" max="6405" width="6.85546875" style="149" customWidth="1"/>
    <col min="6406" max="6655" width="9.28515625" style="149"/>
    <col min="6656" max="6656" width="7.7109375" style="149" customWidth="1"/>
    <col min="6657" max="6657" width="62.85546875" style="149" customWidth="1"/>
    <col min="6658" max="6660" width="16.28515625" style="149" customWidth="1"/>
    <col min="6661" max="6661" width="6.85546875" style="149" customWidth="1"/>
    <col min="6662" max="6911" width="9.28515625" style="149"/>
    <col min="6912" max="6912" width="7.7109375" style="149" customWidth="1"/>
    <col min="6913" max="6913" width="62.85546875" style="149" customWidth="1"/>
    <col min="6914" max="6916" width="16.28515625" style="149" customWidth="1"/>
    <col min="6917" max="6917" width="6.85546875" style="149" customWidth="1"/>
    <col min="6918" max="7167" width="9.28515625" style="149"/>
    <col min="7168" max="7168" width="7.7109375" style="149" customWidth="1"/>
    <col min="7169" max="7169" width="62.85546875" style="149" customWidth="1"/>
    <col min="7170" max="7172" width="16.28515625" style="149" customWidth="1"/>
    <col min="7173" max="7173" width="6.85546875" style="149" customWidth="1"/>
    <col min="7174" max="7423" width="9.28515625" style="149"/>
    <col min="7424" max="7424" width="7.7109375" style="149" customWidth="1"/>
    <col min="7425" max="7425" width="62.85546875" style="149" customWidth="1"/>
    <col min="7426" max="7428" width="16.28515625" style="149" customWidth="1"/>
    <col min="7429" max="7429" width="6.85546875" style="149" customWidth="1"/>
    <col min="7430" max="7679" width="9.28515625" style="149"/>
    <col min="7680" max="7680" width="7.7109375" style="149" customWidth="1"/>
    <col min="7681" max="7681" width="62.85546875" style="149" customWidth="1"/>
    <col min="7682" max="7684" width="16.28515625" style="149" customWidth="1"/>
    <col min="7685" max="7685" width="6.85546875" style="149" customWidth="1"/>
    <col min="7686" max="7935" width="9.28515625" style="149"/>
    <col min="7936" max="7936" width="7.7109375" style="149" customWidth="1"/>
    <col min="7937" max="7937" width="62.85546875" style="149" customWidth="1"/>
    <col min="7938" max="7940" width="16.28515625" style="149" customWidth="1"/>
    <col min="7941" max="7941" width="6.85546875" style="149" customWidth="1"/>
    <col min="7942" max="8191" width="9.28515625" style="149"/>
    <col min="8192" max="8192" width="7.7109375" style="149" customWidth="1"/>
    <col min="8193" max="8193" width="62.85546875" style="149" customWidth="1"/>
    <col min="8194" max="8196" width="16.28515625" style="149" customWidth="1"/>
    <col min="8197" max="8197" width="6.85546875" style="149" customWidth="1"/>
    <col min="8198" max="8447" width="9.28515625" style="149"/>
    <col min="8448" max="8448" width="7.7109375" style="149" customWidth="1"/>
    <col min="8449" max="8449" width="62.85546875" style="149" customWidth="1"/>
    <col min="8450" max="8452" width="16.28515625" style="149" customWidth="1"/>
    <col min="8453" max="8453" width="6.85546875" style="149" customWidth="1"/>
    <col min="8454" max="8703" width="9.28515625" style="149"/>
    <col min="8704" max="8704" width="7.7109375" style="149" customWidth="1"/>
    <col min="8705" max="8705" width="62.85546875" style="149" customWidth="1"/>
    <col min="8706" max="8708" width="16.28515625" style="149" customWidth="1"/>
    <col min="8709" max="8709" width="6.85546875" style="149" customWidth="1"/>
    <col min="8710" max="8959" width="9.28515625" style="149"/>
    <col min="8960" max="8960" width="7.7109375" style="149" customWidth="1"/>
    <col min="8961" max="8961" width="62.85546875" style="149" customWidth="1"/>
    <col min="8962" max="8964" width="16.28515625" style="149" customWidth="1"/>
    <col min="8965" max="8965" width="6.85546875" style="149" customWidth="1"/>
    <col min="8966" max="9215" width="9.28515625" style="149"/>
    <col min="9216" max="9216" width="7.7109375" style="149" customWidth="1"/>
    <col min="9217" max="9217" width="62.85546875" style="149" customWidth="1"/>
    <col min="9218" max="9220" width="16.28515625" style="149" customWidth="1"/>
    <col min="9221" max="9221" width="6.85546875" style="149" customWidth="1"/>
    <col min="9222" max="9471" width="9.28515625" style="149"/>
    <col min="9472" max="9472" width="7.7109375" style="149" customWidth="1"/>
    <col min="9473" max="9473" width="62.85546875" style="149" customWidth="1"/>
    <col min="9474" max="9476" width="16.28515625" style="149" customWidth="1"/>
    <col min="9477" max="9477" width="6.85546875" style="149" customWidth="1"/>
    <col min="9478" max="9727" width="9.28515625" style="149"/>
    <col min="9728" max="9728" width="7.7109375" style="149" customWidth="1"/>
    <col min="9729" max="9729" width="62.85546875" style="149" customWidth="1"/>
    <col min="9730" max="9732" width="16.28515625" style="149" customWidth="1"/>
    <col min="9733" max="9733" width="6.85546875" style="149" customWidth="1"/>
    <col min="9734" max="9983" width="9.28515625" style="149"/>
    <col min="9984" max="9984" width="7.7109375" style="149" customWidth="1"/>
    <col min="9985" max="9985" width="62.85546875" style="149" customWidth="1"/>
    <col min="9986" max="9988" width="16.28515625" style="149" customWidth="1"/>
    <col min="9989" max="9989" width="6.85546875" style="149" customWidth="1"/>
    <col min="9990" max="10239" width="9.28515625" style="149"/>
    <col min="10240" max="10240" width="7.7109375" style="149" customWidth="1"/>
    <col min="10241" max="10241" width="62.85546875" style="149" customWidth="1"/>
    <col min="10242" max="10244" width="16.28515625" style="149" customWidth="1"/>
    <col min="10245" max="10245" width="6.85546875" style="149" customWidth="1"/>
    <col min="10246" max="10495" width="9.28515625" style="149"/>
    <col min="10496" max="10496" width="7.7109375" style="149" customWidth="1"/>
    <col min="10497" max="10497" width="62.85546875" style="149" customWidth="1"/>
    <col min="10498" max="10500" width="16.28515625" style="149" customWidth="1"/>
    <col min="10501" max="10501" width="6.85546875" style="149" customWidth="1"/>
    <col min="10502" max="10751" width="9.28515625" style="149"/>
    <col min="10752" max="10752" width="7.7109375" style="149" customWidth="1"/>
    <col min="10753" max="10753" width="62.85546875" style="149" customWidth="1"/>
    <col min="10754" max="10756" width="16.28515625" style="149" customWidth="1"/>
    <col min="10757" max="10757" width="6.85546875" style="149" customWidth="1"/>
    <col min="10758" max="11007" width="9.28515625" style="149"/>
    <col min="11008" max="11008" width="7.7109375" style="149" customWidth="1"/>
    <col min="11009" max="11009" width="62.85546875" style="149" customWidth="1"/>
    <col min="11010" max="11012" width="16.28515625" style="149" customWidth="1"/>
    <col min="11013" max="11013" width="6.85546875" style="149" customWidth="1"/>
    <col min="11014" max="11263" width="9.28515625" style="149"/>
    <col min="11264" max="11264" width="7.7109375" style="149" customWidth="1"/>
    <col min="11265" max="11265" width="62.85546875" style="149" customWidth="1"/>
    <col min="11266" max="11268" width="16.28515625" style="149" customWidth="1"/>
    <col min="11269" max="11269" width="6.85546875" style="149" customWidth="1"/>
    <col min="11270" max="11519" width="9.28515625" style="149"/>
    <col min="11520" max="11520" width="7.7109375" style="149" customWidth="1"/>
    <col min="11521" max="11521" width="62.85546875" style="149" customWidth="1"/>
    <col min="11522" max="11524" width="16.28515625" style="149" customWidth="1"/>
    <col min="11525" max="11525" width="6.85546875" style="149" customWidth="1"/>
    <col min="11526" max="11775" width="9.28515625" style="149"/>
    <col min="11776" max="11776" width="7.7109375" style="149" customWidth="1"/>
    <col min="11777" max="11777" width="62.85546875" style="149" customWidth="1"/>
    <col min="11778" max="11780" width="16.28515625" style="149" customWidth="1"/>
    <col min="11781" max="11781" width="6.85546875" style="149" customWidth="1"/>
    <col min="11782" max="12031" width="9.28515625" style="149"/>
    <col min="12032" max="12032" width="7.7109375" style="149" customWidth="1"/>
    <col min="12033" max="12033" width="62.85546875" style="149" customWidth="1"/>
    <col min="12034" max="12036" width="16.28515625" style="149" customWidth="1"/>
    <col min="12037" max="12037" width="6.85546875" style="149" customWidth="1"/>
    <col min="12038" max="12287" width="9.28515625" style="149"/>
    <col min="12288" max="12288" width="7.7109375" style="149" customWidth="1"/>
    <col min="12289" max="12289" width="62.85546875" style="149" customWidth="1"/>
    <col min="12290" max="12292" width="16.28515625" style="149" customWidth="1"/>
    <col min="12293" max="12293" width="6.85546875" style="149" customWidth="1"/>
    <col min="12294" max="12543" width="9.28515625" style="149"/>
    <col min="12544" max="12544" width="7.7109375" style="149" customWidth="1"/>
    <col min="12545" max="12545" width="62.85546875" style="149" customWidth="1"/>
    <col min="12546" max="12548" width="16.28515625" style="149" customWidth="1"/>
    <col min="12549" max="12549" width="6.85546875" style="149" customWidth="1"/>
    <col min="12550" max="12799" width="9.28515625" style="149"/>
    <col min="12800" max="12800" width="7.7109375" style="149" customWidth="1"/>
    <col min="12801" max="12801" width="62.85546875" style="149" customWidth="1"/>
    <col min="12802" max="12804" width="16.28515625" style="149" customWidth="1"/>
    <col min="12805" max="12805" width="6.85546875" style="149" customWidth="1"/>
    <col min="12806" max="13055" width="9.28515625" style="149"/>
    <col min="13056" max="13056" width="7.7109375" style="149" customWidth="1"/>
    <col min="13057" max="13057" width="62.85546875" style="149" customWidth="1"/>
    <col min="13058" max="13060" width="16.28515625" style="149" customWidth="1"/>
    <col min="13061" max="13061" width="6.85546875" style="149" customWidth="1"/>
    <col min="13062" max="13311" width="9.28515625" style="149"/>
    <col min="13312" max="13312" width="7.7109375" style="149" customWidth="1"/>
    <col min="13313" max="13313" width="62.85546875" style="149" customWidth="1"/>
    <col min="13314" max="13316" width="16.28515625" style="149" customWidth="1"/>
    <col min="13317" max="13317" width="6.85546875" style="149" customWidth="1"/>
    <col min="13318" max="13567" width="9.28515625" style="149"/>
    <col min="13568" max="13568" width="7.7109375" style="149" customWidth="1"/>
    <col min="13569" max="13569" width="62.85546875" style="149" customWidth="1"/>
    <col min="13570" max="13572" width="16.28515625" style="149" customWidth="1"/>
    <col min="13573" max="13573" width="6.85546875" style="149" customWidth="1"/>
    <col min="13574" max="13823" width="9.28515625" style="149"/>
    <col min="13824" max="13824" width="7.7109375" style="149" customWidth="1"/>
    <col min="13825" max="13825" width="62.85546875" style="149" customWidth="1"/>
    <col min="13826" max="13828" width="16.28515625" style="149" customWidth="1"/>
    <col min="13829" max="13829" width="6.85546875" style="149" customWidth="1"/>
    <col min="13830" max="14079" width="9.28515625" style="149"/>
    <col min="14080" max="14080" width="7.7109375" style="149" customWidth="1"/>
    <col min="14081" max="14081" width="62.85546875" style="149" customWidth="1"/>
    <col min="14082" max="14084" width="16.28515625" style="149" customWidth="1"/>
    <col min="14085" max="14085" width="6.85546875" style="149" customWidth="1"/>
    <col min="14086" max="14335" width="9.28515625" style="149"/>
    <col min="14336" max="14336" width="7.7109375" style="149" customWidth="1"/>
    <col min="14337" max="14337" width="62.85546875" style="149" customWidth="1"/>
    <col min="14338" max="14340" width="16.28515625" style="149" customWidth="1"/>
    <col min="14341" max="14341" width="6.85546875" style="149" customWidth="1"/>
    <col min="14342" max="14591" width="9.28515625" style="149"/>
    <col min="14592" max="14592" width="7.7109375" style="149" customWidth="1"/>
    <col min="14593" max="14593" width="62.85546875" style="149" customWidth="1"/>
    <col min="14594" max="14596" width="16.28515625" style="149" customWidth="1"/>
    <col min="14597" max="14597" width="6.85546875" style="149" customWidth="1"/>
    <col min="14598" max="14847" width="9.28515625" style="149"/>
    <col min="14848" max="14848" width="7.7109375" style="149" customWidth="1"/>
    <col min="14849" max="14849" width="62.85546875" style="149" customWidth="1"/>
    <col min="14850" max="14852" width="16.28515625" style="149" customWidth="1"/>
    <col min="14853" max="14853" width="6.85546875" style="149" customWidth="1"/>
    <col min="14854" max="15103" width="9.28515625" style="149"/>
    <col min="15104" max="15104" width="7.7109375" style="149" customWidth="1"/>
    <col min="15105" max="15105" width="62.85546875" style="149" customWidth="1"/>
    <col min="15106" max="15108" width="16.28515625" style="149" customWidth="1"/>
    <col min="15109" max="15109" width="6.85546875" style="149" customWidth="1"/>
    <col min="15110" max="15359" width="9.28515625" style="149"/>
    <col min="15360" max="15360" width="7.7109375" style="149" customWidth="1"/>
    <col min="15361" max="15361" width="62.85546875" style="149" customWidth="1"/>
    <col min="15362" max="15364" width="16.28515625" style="149" customWidth="1"/>
    <col min="15365" max="15365" width="6.85546875" style="149" customWidth="1"/>
    <col min="15366" max="15615" width="9.28515625" style="149"/>
    <col min="15616" max="15616" width="7.7109375" style="149" customWidth="1"/>
    <col min="15617" max="15617" width="62.85546875" style="149" customWidth="1"/>
    <col min="15618" max="15620" width="16.28515625" style="149" customWidth="1"/>
    <col min="15621" max="15621" width="6.85546875" style="149" customWidth="1"/>
    <col min="15622" max="15871" width="9.28515625" style="149"/>
    <col min="15872" max="15872" width="7.7109375" style="149" customWidth="1"/>
    <col min="15873" max="15873" width="62.85546875" style="149" customWidth="1"/>
    <col min="15874" max="15876" width="16.28515625" style="149" customWidth="1"/>
    <col min="15877" max="15877" width="6.85546875" style="149" customWidth="1"/>
    <col min="15878" max="16127" width="9.28515625" style="149"/>
    <col min="16128" max="16128" width="7.7109375" style="149" customWidth="1"/>
    <col min="16129" max="16129" width="62.85546875" style="149" customWidth="1"/>
    <col min="16130" max="16132" width="16.28515625" style="149" customWidth="1"/>
    <col min="16133" max="16133" width="6.85546875" style="149" customWidth="1"/>
    <col min="16134" max="16384" width="9.28515625" style="149"/>
  </cols>
  <sheetData>
    <row r="1" spans="1:5" ht="35.1" customHeight="1">
      <c r="A1" s="1001" t="str">
        <f>+Títulos!$B$2&amp;"
ESTADO DE SITUACIÓN FINANCIERA
AL "&amp;Títulos!$B$3</f>
        <v>TRIBUNAL DE JUSTICIA ADMINISTRATIVA
ESTADO DE SITUACIÓN FINANCIERA
AL 31 DE DICIEMBRE DE 2017</v>
      </c>
      <c r="B1" s="1002"/>
      <c r="C1" s="1002"/>
      <c r="D1" s="1002"/>
      <c r="E1" s="1003"/>
    </row>
    <row r="2" spans="1:5" s="150" customFormat="1" ht="15" customHeight="1">
      <c r="A2" s="141" t="s">
        <v>0</v>
      </c>
      <c r="B2" s="362" t="s">
        <v>1</v>
      </c>
      <c r="C2" s="573" t="s">
        <v>1531</v>
      </c>
      <c r="D2" s="573" t="s">
        <v>1532</v>
      </c>
      <c r="E2" s="141" t="s">
        <v>2</v>
      </c>
    </row>
    <row r="3" spans="1:5" s="154" customFormat="1">
      <c r="A3" s="151">
        <v>1000</v>
      </c>
      <c r="B3" s="13" t="s">
        <v>3</v>
      </c>
      <c r="C3" s="355">
        <f ca="1">IF(RIGHT($A3,3)="000",SUMIF(BC[],MID($A3,1,1)&amp;"*",bc_2017),IF(RIGHT($A3,2)="00",SUMIF(BC[],MID($A3,1,2)&amp;"*",bc_2017),IF(RIGHT($A3,1)="0",SUMIF(BC[],MID($A3,1,3)&amp;"*",bc_2017),SUMIF(BC[],$A3,bc_2017))))</f>
        <v>35898886.349999994</v>
      </c>
      <c r="D3" s="355">
        <f ca="1">IF(RIGHT($A3,3)="000",SUMIF(BC[],MID($A3,1,1)&amp;"*",bc_2016),IF(RIGHT($A3,2)="00",SUMIF(BC[],MID($A3,1,2)&amp;"*",bc_2016),IF(RIGHT($A3,1)="0",SUMIF(BC[],MID($A3,1,3)&amp;"*",bc_2016),SUMIF(BC[],$A3,bc_2016))))</f>
        <v>31227829.199999996</v>
      </c>
      <c r="E3" s="153"/>
    </row>
    <row r="4" spans="1:5" ht="12.75" customHeight="1">
      <c r="A4" s="155">
        <v>1100</v>
      </c>
      <c r="B4" s="14" t="s">
        <v>4</v>
      </c>
      <c r="C4" s="112">
        <f ca="1">IF(RIGHT($A4,3)="000",SUMIF(BC[],MID($A4,1,1)&amp;"*",bc_2017),IF(RIGHT($A4,2)="00",SUMIF(BC[],MID($A4,1,2)&amp;"*",bc_2017),IF(RIGHT($A4,1)="0",SUMIF(BC[],MID($A4,1,3)&amp;"*",bc_2017),SUMIF(BC[],$A4,bc_2017))))</f>
        <v>15730730.699999997</v>
      </c>
      <c r="D4" s="112">
        <f ca="1">IF(RIGHT($A4,3)="000",SUMIF(BC[],MID($A4,1,1)&amp;"*",bc_2016),IF(RIGHT($A4,2)="00",SUMIF(BC[],MID($A4,1,2)&amp;"*",bc_2016),IF(RIGHT($A4,1)="0",SUMIF(BC[],MID($A4,1,3)&amp;"*",bc_2016),SUMIF(BC[],$A4,bc_2016))))</f>
        <v>11361825.720000001</v>
      </c>
      <c r="E4" s="157"/>
    </row>
    <row r="5" spans="1:5">
      <c r="A5" s="158">
        <v>1110</v>
      </c>
      <c r="B5" s="15" t="s">
        <v>5</v>
      </c>
      <c r="C5" s="112">
        <f ca="1">IF(RIGHT($A5,3)="000",SUMIF(BC[],MID($A5,1,1)&amp;"*",bc_2017),IF(RIGHT($A5,2)="00",SUMIF(BC[],MID($A5,1,2)&amp;"*",bc_2017),IF(RIGHT($A5,1)="0",SUMIF(BC[],MID($A5,1,3)&amp;"*",bc_2017),SUMIF(BC[],$A5,bc_2017))))</f>
        <v>15692848.699999999</v>
      </c>
      <c r="D5" s="112">
        <f ca="1">IF(RIGHT($A5,3)="000",SUMIF(BC[],MID($A5,1,1)&amp;"*",bc_2016),IF(RIGHT($A5,2)="00",SUMIF(BC[],MID($A5,1,2)&amp;"*",bc_2016),IF(RIGHT($A5,1)="0",SUMIF(BC[],MID($A5,1,3)&amp;"*",bc_2016),SUMIF(BC[],$A5,bc_2016))))</f>
        <v>11324165.710000001</v>
      </c>
      <c r="E5" s="157"/>
    </row>
    <row r="6" spans="1:5">
      <c r="A6" s="158">
        <v>1111</v>
      </c>
      <c r="B6" s="15" t="s">
        <v>398</v>
      </c>
      <c r="C6" s="112">
        <f ca="1">IF(RIGHT($A6,3)="000",SUMIF(BC[],MID($A6,1,1)&amp;"*",bc_2017),IF(RIGHT($A6,2)="00",SUMIF(BC[],MID($A6,1,2)&amp;"*",bc_2017),IF(RIGHT($A6,1)="0",SUMIF(BC[],MID($A6,1,3)&amp;"*",bc_2017),SUMIF(BC[],$A6,bc_2017))))</f>
        <v>0</v>
      </c>
      <c r="D6" s="112">
        <f ca="1">IF(RIGHT($A6,3)="000",SUMIF(BC[],MID($A6,1,1)&amp;"*",bc_2016),IF(RIGHT($A6,2)="00",SUMIF(BC[],MID($A6,1,2)&amp;"*",bc_2016),IF(RIGHT($A6,1)="0",SUMIF(BC[],MID($A6,1,3)&amp;"*",bc_2016),SUMIF(BC[],$A6,bc_2016))))</f>
        <v>0</v>
      </c>
      <c r="E6" s="157"/>
    </row>
    <row r="7" spans="1:5">
      <c r="A7" s="158">
        <v>1112</v>
      </c>
      <c r="B7" s="15" t="s">
        <v>399</v>
      </c>
      <c r="C7" s="112">
        <f ca="1">IF(RIGHT($A7,3)="000",SUMIF(BC[],MID($A7,1,1)&amp;"*",bc_2017),IF(RIGHT($A7,2)="00",SUMIF(BC[],MID($A7,1,2)&amp;"*",bc_2017),IF(RIGHT($A7,1)="0",SUMIF(BC[],MID($A7,1,3)&amp;"*",bc_2017),SUMIF(BC[],$A7,bc_2017))))</f>
        <v>13450532.83</v>
      </c>
      <c r="D7" s="112">
        <f ca="1">IF(RIGHT($A7,3)="000",SUMIF(BC[],MID($A7,1,1)&amp;"*",bc_2016),IF(RIGHT($A7,2)="00",SUMIF(BC[],MID($A7,1,2)&amp;"*",bc_2016),IF(RIGHT($A7,1)="0",SUMIF(BC[],MID($A7,1,3)&amp;"*",bc_2016),SUMIF(BC[],$A7,bc_2016))))</f>
        <v>11324165.710000001</v>
      </c>
      <c r="E7" s="157"/>
    </row>
    <row r="8" spans="1:5">
      <c r="A8" s="158">
        <v>1113</v>
      </c>
      <c r="B8" s="15" t="s">
        <v>400</v>
      </c>
      <c r="C8" s="112">
        <f ca="1">IF(RIGHT($A8,3)="000",SUMIF(BC[],MID($A8,1,1)&amp;"*",bc_2017),IF(RIGHT($A8,2)="00",SUMIF(BC[],MID($A8,1,2)&amp;"*",bc_2017),IF(RIGHT($A8,1)="0",SUMIF(BC[],MID($A8,1,3)&amp;"*",bc_2017),SUMIF(BC[],$A8,bc_2017))))</f>
        <v>0</v>
      </c>
      <c r="D8" s="112">
        <f ca="1">IF(RIGHT($A8,3)="000",SUMIF(BC[],MID($A8,1,1)&amp;"*",bc_2016),IF(RIGHT($A8,2)="00",SUMIF(BC[],MID($A8,1,2)&amp;"*",bc_2016),IF(RIGHT($A8,1)="0",SUMIF(BC[],MID($A8,1,3)&amp;"*",bc_2016),SUMIF(BC[],$A8,bc_2016))))</f>
        <v>0</v>
      </c>
      <c r="E8" s="157"/>
    </row>
    <row r="9" spans="1:5">
      <c r="A9" s="158">
        <v>1114</v>
      </c>
      <c r="B9" s="15" t="s">
        <v>401</v>
      </c>
      <c r="C9" s="112">
        <f ca="1">IF(RIGHT($A9,3)="000",SUMIF(BC[],MID($A9,1,1)&amp;"*",bc_2017),IF(RIGHT($A9,2)="00",SUMIF(BC[],MID($A9,1,2)&amp;"*",bc_2017),IF(RIGHT($A9,1)="0",SUMIF(BC[],MID($A9,1,3)&amp;"*",bc_2017),SUMIF(BC[],$A9,bc_2017))))</f>
        <v>2242315.87</v>
      </c>
      <c r="D9" s="112">
        <f ca="1">IF(RIGHT($A9,3)="000",SUMIF(BC[],MID($A9,1,1)&amp;"*",bc_2016),IF(RIGHT($A9,2)="00",SUMIF(BC[],MID($A9,1,2)&amp;"*",bc_2016),IF(RIGHT($A9,1)="0",SUMIF(BC[],MID($A9,1,3)&amp;"*",bc_2016),SUMIF(BC[],$A9,bc_2016))))</f>
        <v>0</v>
      </c>
      <c r="E9" s="157" t="s">
        <v>402</v>
      </c>
    </row>
    <row r="10" spans="1:5">
      <c r="A10" s="158">
        <v>1115</v>
      </c>
      <c r="B10" s="15" t="s">
        <v>403</v>
      </c>
      <c r="C10" s="112">
        <f ca="1">IF(RIGHT($A10,3)="000",SUMIF(BC[],MID($A10,1,1)&amp;"*",bc_2017),IF(RIGHT($A10,2)="00",SUMIF(BC[],MID($A10,1,2)&amp;"*",bc_2017),IF(RIGHT($A10,1)="0",SUMIF(BC[],MID($A10,1,3)&amp;"*",bc_2017),SUMIF(BC[],$A10,bc_2017))))</f>
        <v>0</v>
      </c>
      <c r="D10" s="112">
        <f ca="1">IF(RIGHT($A10,3)="000",SUMIF(BC[],MID($A10,1,1)&amp;"*",bc_2016),IF(RIGHT($A10,2)="00",SUMIF(BC[],MID($A10,1,2)&amp;"*",bc_2016),IF(RIGHT($A10,1)="0",SUMIF(BC[],MID($A10,1,3)&amp;"*",bc_2016),SUMIF(BC[],$A10,bc_2016))))</f>
        <v>0</v>
      </c>
      <c r="E10" s="157" t="s">
        <v>402</v>
      </c>
    </row>
    <row r="11" spans="1:5">
      <c r="A11" s="158">
        <v>1116</v>
      </c>
      <c r="B11" s="15" t="s">
        <v>404</v>
      </c>
      <c r="C11" s="112">
        <f ca="1">IF(RIGHT($A11,3)="000",SUMIF(BC[],MID($A11,1,1)&amp;"*",bc_2017),IF(RIGHT($A11,2)="00",SUMIF(BC[],MID($A11,1,2)&amp;"*",bc_2017),IF(RIGHT($A11,1)="0",SUMIF(BC[],MID($A11,1,3)&amp;"*",bc_2017),SUMIF(BC[],$A11,bc_2017))))</f>
        <v>0</v>
      </c>
      <c r="D11" s="112">
        <f ca="1">IF(RIGHT($A11,3)="000",SUMIF(BC[],MID($A11,1,1)&amp;"*",bc_2016),IF(RIGHT($A11,2)="00",SUMIF(BC[],MID($A11,1,2)&amp;"*",bc_2016),IF(RIGHT($A11,1)="0",SUMIF(BC[],MID($A11,1,3)&amp;"*",bc_2016),SUMIF(BC[],$A11,bc_2016))))</f>
        <v>0</v>
      </c>
      <c r="E11" s="157"/>
    </row>
    <row r="12" spans="1:5">
      <c r="A12" s="158">
        <v>1119</v>
      </c>
      <c r="B12" s="15" t="s">
        <v>405</v>
      </c>
      <c r="C12" s="112">
        <f ca="1">IF(RIGHT($A12,3)="000",SUMIF(BC[],MID($A12,1,1)&amp;"*",bc_2017),IF(RIGHT($A12,2)="00",SUMIF(BC[],MID($A12,1,2)&amp;"*",bc_2017),IF(RIGHT($A12,1)="0",SUMIF(BC[],MID($A12,1,3)&amp;"*",bc_2017),SUMIF(BC[],$A12,bc_2017))))</f>
        <v>0</v>
      </c>
      <c r="D12" s="112">
        <f ca="1">IF(RIGHT($A12,3)="000",SUMIF(BC[],MID($A12,1,1)&amp;"*",bc_2016),IF(RIGHT($A12,2)="00",SUMIF(BC[],MID($A12,1,2)&amp;"*",bc_2016),IF(RIGHT($A12,1)="0",SUMIF(BC[],MID($A12,1,3)&amp;"*",bc_2016),SUMIF(BC[],$A12,bc_2016))))</f>
        <v>0</v>
      </c>
      <c r="E12" s="157"/>
    </row>
    <row r="13" spans="1:5">
      <c r="A13" s="158">
        <v>1120</v>
      </c>
      <c r="B13" s="15" t="s">
        <v>6</v>
      </c>
      <c r="C13" s="112">
        <f ca="1">IF(RIGHT($A13,3)="000",SUMIF(BC[],MID($A13,1,1)&amp;"*",bc_2017),IF(RIGHT($A13,2)="00",SUMIF(BC[],MID($A13,1,2)&amp;"*",bc_2017),IF(RIGHT($A13,1)="0",SUMIF(BC[],MID($A13,1,3)&amp;"*",bc_2017),SUMIF(BC[],$A13,bc_2017))))</f>
        <v>18249.57</v>
      </c>
      <c r="D13" s="112">
        <f ca="1">IF(RIGHT($A13,3)="000",SUMIF(BC[],MID($A13,1,1)&amp;"*",bc_2016),IF(RIGHT($A13,2)="00",SUMIF(BC[],MID($A13,1,2)&amp;"*",bc_2016),IF(RIGHT($A13,1)="0",SUMIF(BC[],MID($A13,1,3)&amp;"*",bc_2016),SUMIF(BC[],$A13,bc_2016))))</f>
        <v>18150.45</v>
      </c>
      <c r="E13" s="157"/>
    </row>
    <row r="14" spans="1:5">
      <c r="A14" s="158">
        <v>1121</v>
      </c>
      <c r="B14" s="15" t="s">
        <v>406</v>
      </c>
      <c r="C14" s="112">
        <f ca="1">IF(RIGHT($A14,3)="000",SUMIF(BC[],MID($A14,1,1)&amp;"*",bc_2017),IF(RIGHT($A14,2)="00",SUMIF(BC[],MID($A14,1,2)&amp;"*",bc_2017),IF(RIGHT($A14,1)="0",SUMIF(BC[],MID($A14,1,3)&amp;"*",bc_2017),SUMIF(BC[],$A14,bc_2017))))</f>
        <v>0</v>
      </c>
      <c r="D14" s="112">
        <f ca="1">IF(RIGHT($A14,3)="000",SUMIF(BC[],MID($A14,1,1)&amp;"*",bc_2016),IF(RIGHT($A14,2)="00",SUMIF(BC[],MID($A14,1,2)&amp;"*",bc_2016),IF(RIGHT($A14,1)="0",SUMIF(BC[],MID($A14,1,3)&amp;"*",bc_2016),SUMIF(BC[],$A14,bc_2016))))</f>
        <v>0</v>
      </c>
      <c r="E14" s="157" t="s">
        <v>402</v>
      </c>
    </row>
    <row r="15" spans="1:5">
      <c r="A15" s="158">
        <v>1122</v>
      </c>
      <c r="B15" s="15" t="s">
        <v>407</v>
      </c>
      <c r="C15" s="112">
        <f ca="1">IF(RIGHT($A15,3)="000",SUMIF(BC[],MID($A15,1,1)&amp;"*",bc_2017),IF(RIGHT($A15,2)="00",SUMIF(BC[],MID($A15,1,2)&amp;"*",bc_2017),IF(RIGHT($A15,1)="0",SUMIF(BC[],MID($A15,1,3)&amp;"*",bc_2017),SUMIF(BC[],$A15,bc_2017))))</f>
        <v>18147.43</v>
      </c>
      <c r="D15" s="112">
        <f ca="1">IF(RIGHT($A15,3)="000",SUMIF(BC[],MID($A15,1,1)&amp;"*",bc_2016),IF(RIGHT($A15,2)="00",SUMIF(BC[],MID($A15,1,2)&amp;"*",bc_2016),IF(RIGHT($A15,1)="0",SUMIF(BC[],MID($A15,1,3)&amp;"*",bc_2016),SUMIF(BC[],$A15,bc_2016))))</f>
        <v>18147.43</v>
      </c>
      <c r="E15" s="157" t="s">
        <v>408</v>
      </c>
    </row>
    <row r="16" spans="1:5">
      <c r="A16" s="158">
        <v>1123</v>
      </c>
      <c r="B16" s="15" t="s">
        <v>409</v>
      </c>
      <c r="C16" s="112">
        <f ca="1">IF(RIGHT($A16,3)="000",SUMIF(BC[],MID($A16,1,1)&amp;"*",bc_2017),IF(RIGHT($A16,2)="00",SUMIF(BC[],MID($A16,1,2)&amp;"*",bc_2017),IF(RIGHT($A16,1)="0",SUMIF(BC[],MID($A16,1,3)&amp;"*",bc_2017),SUMIF(BC[],$A16,bc_2017))))</f>
        <v>0.02</v>
      </c>
      <c r="D16" s="112">
        <f ca="1">IF(RIGHT($A16,3)="000",SUMIF(BC[],MID($A16,1,1)&amp;"*",bc_2016),IF(RIGHT($A16,2)="00",SUMIF(BC[],MID($A16,1,2)&amp;"*",bc_2016),IF(RIGHT($A16,1)="0",SUMIF(BC[],MID($A16,1,3)&amp;"*",bc_2016),SUMIF(BC[],$A16,bc_2016))))</f>
        <v>0</v>
      </c>
      <c r="E16" s="157" t="s">
        <v>7</v>
      </c>
    </row>
    <row r="17" spans="1:5">
      <c r="A17" s="158">
        <v>1124</v>
      </c>
      <c r="B17" s="15" t="s">
        <v>410</v>
      </c>
      <c r="C17" s="112">
        <f ca="1">IF(RIGHT($A17,3)="000",SUMIF(BC[],MID($A17,1,1)&amp;"*",bc_2017),IF(RIGHT($A17,2)="00",SUMIF(BC[],MID($A17,1,2)&amp;"*",bc_2017),IF(RIGHT($A17,1)="0",SUMIF(BC[],MID($A17,1,3)&amp;"*",bc_2017),SUMIF(BC[],$A17,bc_2017))))</f>
        <v>0</v>
      </c>
      <c r="D17" s="112">
        <f ca="1">IF(RIGHT($A17,3)="000",SUMIF(BC[],MID($A17,1,1)&amp;"*",bc_2016),IF(RIGHT($A17,2)="00",SUMIF(BC[],MID($A17,1,2)&amp;"*",bc_2016),IF(RIGHT($A17,1)="0",SUMIF(BC[],MID($A17,1,3)&amp;"*",bc_2016),SUMIF(BC[],$A17,bc_2016))))</f>
        <v>0</v>
      </c>
      <c r="E17" s="157" t="s">
        <v>408</v>
      </c>
    </row>
    <row r="18" spans="1:5">
      <c r="A18" s="158">
        <v>1125</v>
      </c>
      <c r="B18" s="15" t="s">
        <v>411</v>
      </c>
      <c r="C18" s="112">
        <f ca="1">IF(RIGHT($A18,3)="000",SUMIF(BC[],MID($A18,1,1)&amp;"*",bc_2017),IF(RIGHT($A18,2)="00",SUMIF(BC[],MID($A18,1,2)&amp;"*",bc_2017),IF(RIGHT($A18,1)="0",SUMIF(BC[],MID($A18,1,3)&amp;"*",bc_2017),SUMIF(BC[],$A18,bc_2017))))</f>
        <v>0</v>
      </c>
      <c r="D18" s="112">
        <f ca="1">IF(RIGHT($A18,3)="000",SUMIF(BC[],MID($A18,1,1)&amp;"*",bc_2016),IF(RIGHT($A18,2)="00",SUMIF(BC[],MID($A18,1,2)&amp;"*",bc_2016),IF(RIGHT($A18,1)="0",SUMIF(BC[],MID($A18,1,3)&amp;"*",bc_2016),SUMIF(BC[],$A18,bc_2016))))</f>
        <v>0</v>
      </c>
      <c r="E18" s="157" t="s">
        <v>7</v>
      </c>
    </row>
    <row r="19" spans="1:5">
      <c r="A19" s="158">
        <v>1126</v>
      </c>
      <c r="B19" s="15" t="s">
        <v>412</v>
      </c>
      <c r="C19" s="112">
        <f ca="1">IF(RIGHT($A19,3)="000",SUMIF(BC[],MID($A19,1,1)&amp;"*",bc_2017),IF(RIGHT($A19,2)="00",SUMIF(BC[],MID($A19,1,2)&amp;"*",bc_2017),IF(RIGHT($A19,1)="0",SUMIF(BC[],MID($A19,1,3)&amp;"*",bc_2017),SUMIF(BC[],$A19,bc_2017))))</f>
        <v>0</v>
      </c>
      <c r="D19" s="112">
        <f ca="1">IF(RIGHT($A19,3)="000",SUMIF(BC[],MID($A19,1,1)&amp;"*",bc_2016),IF(RIGHT($A19,2)="00",SUMIF(BC[],MID($A19,1,2)&amp;"*",bc_2016),IF(RIGHT($A19,1)="0",SUMIF(BC[],MID($A19,1,3)&amp;"*",bc_2016),SUMIF(BC[],$A19,bc_2016))))</f>
        <v>0</v>
      </c>
      <c r="E19" s="157" t="s">
        <v>7</v>
      </c>
    </row>
    <row r="20" spans="1:5">
      <c r="A20" s="158">
        <v>1129</v>
      </c>
      <c r="B20" s="15" t="s">
        <v>413</v>
      </c>
      <c r="C20" s="112">
        <f ca="1">IF(RIGHT($A20,3)="000",SUMIF(BC[],MID($A20,1,1)&amp;"*",bc_2017),IF(RIGHT($A20,2)="00",SUMIF(BC[],MID($A20,1,2)&amp;"*",bc_2017),IF(RIGHT($A20,1)="0",SUMIF(BC[],MID($A20,1,3)&amp;"*",bc_2017),SUMIF(BC[],$A20,bc_2017))))</f>
        <v>102.12</v>
      </c>
      <c r="D20" s="112">
        <f ca="1">IF(RIGHT($A20,3)="000",SUMIF(BC[],MID($A20,1,1)&amp;"*",bc_2016),IF(RIGHT($A20,2)="00",SUMIF(BC[],MID($A20,1,2)&amp;"*",bc_2016),IF(RIGHT($A20,1)="0",SUMIF(BC[],MID($A20,1,3)&amp;"*",bc_2016),SUMIF(BC[],$A20,bc_2016))))</f>
        <v>3.02</v>
      </c>
      <c r="E20" s="157" t="s">
        <v>7</v>
      </c>
    </row>
    <row r="21" spans="1:5">
      <c r="A21" s="158">
        <v>1130</v>
      </c>
      <c r="B21" s="15" t="s">
        <v>8</v>
      </c>
      <c r="C21" s="112">
        <f ca="1">IF(RIGHT($A21,3)="000",SUMIF(BC[],MID($A21,1,1)&amp;"*",bc_2017),IF(RIGHT($A21,2)="00",SUMIF(BC[],MID($A21,1,2)&amp;"*",bc_2017),IF(RIGHT($A21,1)="0",SUMIF(BC[],MID($A21,1,3)&amp;"*",bc_2017),SUMIF(BC[],$A21,bc_2017))))</f>
        <v>19632.43</v>
      </c>
      <c r="D21" s="112">
        <f ca="1">IF(RIGHT($A21,3)="000",SUMIF(BC[],MID($A21,1,1)&amp;"*",bc_2016),IF(RIGHT($A21,2)="00",SUMIF(BC[],MID($A21,1,2)&amp;"*",bc_2016),IF(RIGHT($A21,1)="0",SUMIF(BC[],MID($A21,1,3)&amp;"*",bc_2016),SUMIF(BC[],$A21,bc_2016))))</f>
        <v>19509.560000000001</v>
      </c>
      <c r="E21" s="157" t="s">
        <v>7</v>
      </c>
    </row>
    <row r="22" spans="1:5">
      <c r="A22" s="158">
        <v>1131</v>
      </c>
      <c r="B22" s="15" t="s">
        <v>414</v>
      </c>
      <c r="C22" s="112">
        <f ca="1">IF(RIGHT($A22,3)="000",SUMIF(BC[],MID($A22,1,1)&amp;"*",bc_2017),IF(RIGHT($A22,2)="00",SUMIF(BC[],MID($A22,1,2)&amp;"*",bc_2017),IF(RIGHT($A22,1)="0",SUMIF(BC[],MID($A22,1,3)&amp;"*",bc_2017),SUMIF(BC[],$A22,bc_2017))))</f>
        <v>19632.43</v>
      </c>
      <c r="D22" s="112">
        <f ca="1">IF(RIGHT($A22,3)="000",SUMIF(BC[],MID($A22,1,1)&amp;"*",bc_2016),IF(RIGHT($A22,2)="00",SUMIF(BC[],MID($A22,1,2)&amp;"*",bc_2016),IF(RIGHT($A22,1)="0",SUMIF(BC[],MID($A22,1,3)&amp;"*",bc_2016),SUMIF(BC[],$A22,bc_2016))))</f>
        <v>19509.560000000001</v>
      </c>
      <c r="E22" s="157"/>
    </row>
    <row r="23" spans="1:5">
      <c r="A23" s="158">
        <v>1132</v>
      </c>
      <c r="B23" s="15" t="s">
        <v>415</v>
      </c>
      <c r="C23" s="112">
        <f ca="1">IF(RIGHT($A23,3)="000",SUMIF(BC[],MID($A23,1,1)&amp;"*",bc_2017),IF(RIGHT($A23,2)="00",SUMIF(BC[],MID($A23,1,2)&amp;"*",bc_2017),IF(RIGHT($A23,1)="0",SUMIF(BC[],MID($A23,1,3)&amp;"*",bc_2017),SUMIF(BC[],$A23,bc_2017))))</f>
        <v>0</v>
      </c>
      <c r="D23" s="112">
        <f ca="1">IF(RIGHT($A23,3)="000",SUMIF(BC[],MID($A23,1,1)&amp;"*",bc_2016),IF(RIGHT($A23,2)="00",SUMIF(BC[],MID($A23,1,2)&amp;"*",bc_2016),IF(RIGHT($A23,1)="0",SUMIF(BC[],MID($A23,1,3)&amp;"*",bc_2016),SUMIF(BC[],$A23,bc_2016))))</f>
        <v>0</v>
      </c>
      <c r="E23" s="157"/>
    </row>
    <row r="24" spans="1:5">
      <c r="A24" s="158">
        <v>1133</v>
      </c>
      <c r="B24" s="15" t="s">
        <v>416</v>
      </c>
      <c r="C24" s="112">
        <f ca="1">IF(RIGHT($A24,3)="000",SUMIF(BC[],MID($A24,1,1)&amp;"*",bc_2017),IF(RIGHT($A24,2)="00",SUMIF(BC[],MID($A24,1,2)&amp;"*",bc_2017),IF(RIGHT($A24,1)="0",SUMIF(BC[],MID($A24,1,3)&amp;"*",bc_2017),SUMIF(BC[],$A24,bc_2017))))</f>
        <v>0</v>
      </c>
      <c r="D24" s="112">
        <f ca="1">IF(RIGHT($A24,3)="000",SUMIF(BC[],MID($A24,1,1)&amp;"*",bc_2016),IF(RIGHT($A24,2)="00",SUMIF(BC[],MID($A24,1,2)&amp;"*",bc_2016),IF(RIGHT($A24,1)="0",SUMIF(BC[],MID($A24,1,3)&amp;"*",bc_2016),SUMIF(BC[],$A24,bc_2016))))</f>
        <v>0</v>
      </c>
      <c r="E24" s="157"/>
    </row>
    <row r="25" spans="1:5">
      <c r="A25" s="158">
        <v>1134</v>
      </c>
      <c r="B25" s="15" t="s">
        <v>417</v>
      </c>
      <c r="C25" s="112">
        <f ca="1">IF(RIGHT($A25,3)="000",SUMIF(BC[],MID($A25,1,1)&amp;"*",bc_2017),IF(RIGHT($A25,2)="00",SUMIF(BC[],MID($A25,1,2)&amp;"*",bc_2017),IF(RIGHT($A25,1)="0",SUMIF(BC[],MID($A25,1,3)&amp;"*",bc_2017),SUMIF(BC[],$A25,bc_2017))))</f>
        <v>0</v>
      </c>
      <c r="D25" s="112">
        <f ca="1">IF(RIGHT($A25,3)="000",SUMIF(BC[],MID($A25,1,1)&amp;"*",bc_2016),IF(RIGHT($A25,2)="00",SUMIF(BC[],MID($A25,1,2)&amp;"*",bc_2016),IF(RIGHT($A25,1)="0",SUMIF(BC[],MID($A25,1,3)&amp;"*",bc_2016),SUMIF(BC[],$A25,bc_2016))))</f>
        <v>0</v>
      </c>
      <c r="E25" s="157"/>
    </row>
    <row r="26" spans="1:5">
      <c r="A26" s="158">
        <v>1139</v>
      </c>
      <c r="B26" s="15" t="s">
        <v>418</v>
      </c>
      <c r="C26" s="112">
        <f ca="1">IF(RIGHT($A26,3)="000",SUMIF(BC[],MID($A26,1,1)&amp;"*",bc_2017),IF(RIGHT($A26,2)="00",SUMIF(BC[],MID($A26,1,2)&amp;"*",bc_2017),IF(RIGHT($A26,1)="0",SUMIF(BC[],MID($A26,1,3)&amp;"*",bc_2017),SUMIF(BC[],$A26,bc_2017))))</f>
        <v>0</v>
      </c>
      <c r="D26" s="112">
        <f ca="1">IF(RIGHT($A26,3)="000",SUMIF(BC[],MID($A26,1,1)&amp;"*",bc_2016),IF(RIGHT($A26,2)="00",SUMIF(BC[],MID($A26,1,2)&amp;"*",bc_2016),IF(RIGHT($A26,1)="0",SUMIF(BC[],MID($A26,1,3)&amp;"*",bc_2016),SUMIF(BC[],$A26,bc_2016))))</f>
        <v>0</v>
      </c>
      <c r="E26" s="157"/>
    </row>
    <row r="27" spans="1:5">
      <c r="A27" s="158">
        <v>1140</v>
      </c>
      <c r="B27" s="15" t="s">
        <v>9</v>
      </c>
      <c r="C27" s="112">
        <f ca="1">IF(RIGHT($A27,3)="000",SUMIF(BC[],MID($A27,1,1)&amp;"*",bc_2017),IF(RIGHT($A27,2)="00",SUMIF(BC[],MID($A27,1,2)&amp;"*",bc_2017),IF(RIGHT($A27,1)="0",SUMIF(BC[],MID($A27,1,3)&amp;"*",bc_2017),SUMIF(BC[],$A27,bc_2017))))</f>
        <v>0</v>
      </c>
      <c r="D27" s="112">
        <f ca="1">IF(RIGHT($A27,3)="000",SUMIF(BC[],MID($A27,1,1)&amp;"*",bc_2016),IF(RIGHT($A27,2)="00",SUMIF(BC[],MID($A27,1,2)&amp;"*",bc_2016),IF(RIGHT($A27,1)="0",SUMIF(BC[],MID($A27,1,3)&amp;"*",bc_2016),SUMIF(BC[],$A27,bc_2016))))</f>
        <v>0</v>
      </c>
      <c r="E27" s="157" t="s">
        <v>10</v>
      </c>
    </row>
    <row r="28" spans="1:5">
      <c r="A28" s="158">
        <v>1141</v>
      </c>
      <c r="B28" s="15" t="s">
        <v>419</v>
      </c>
      <c r="C28" s="112">
        <f ca="1">IF(RIGHT($A28,3)="000",SUMIF(BC[],MID($A28,1,1)&amp;"*",bc_2017),IF(RIGHT($A28,2)="00",SUMIF(BC[],MID($A28,1,2)&amp;"*",bc_2017),IF(RIGHT($A28,1)="0",SUMIF(BC[],MID($A28,1,3)&amp;"*",bc_2017),SUMIF(BC[],$A28,bc_2017))))</f>
        <v>0</v>
      </c>
      <c r="D28" s="112">
        <f ca="1">IF(RIGHT($A28,3)="000",SUMIF(BC[],MID($A28,1,1)&amp;"*",bc_2016),IF(RIGHT($A28,2)="00",SUMIF(BC[],MID($A28,1,2)&amp;"*",bc_2016),IF(RIGHT($A28,1)="0",SUMIF(BC[],MID($A28,1,3)&amp;"*",bc_2016),SUMIF(BC[],$A28,bc_2016))))</f>
        <v>0</v>
      </c>
      <c r="E28" s="157"/>
    </row>
    <row r="29" spans="1:5">
      <c r="A29" s="158">
        <v>1142</v>
      </c>
      <c r="B29" s="15" t="s">
        <v>420</v>
      </c>
      <c r="C29" s="112">
        <f ca="1">IF(RIGHT($A29,3)="000",SUMIF(BC[],MID($A29,1,1)&amp;"*",bc_2017),IF(RIGHT($A29,2)="00",SUMIF(BC[],MID($A29,1,2)&amp;"*",bc_2017),IF(RIGHT($A29,1)="0",SUMIF(BC[],MID($A29,1,3)&amp;"*",bc_2017),SUMIF(BC[],$A29,bc_2017))))</f>
        <v>0</v>
      </c>
      <c r="D29" s="112">
        <f ca="1">IF(RIGHT($A29,3)="000",SUMIF(BC[],MID($A29,1,1)&amp;"*",bc_2016),IF(RIGHT($A29,2)="00",SUMIF(BC[],MID($A29,1,2)&amp;"*",bc_2016),IF(RIGHT($A29,1)="0",SUMIF(BC[],MID($A29,1,3)&amp;"*",bc_2016),SUMIF(BC[],$A29,bc_2016))))</f>
        <v>0</v>
      </c>
      <c r="E29" s="157"/>
    </row>
    <row r="30" spans="1:5">
      <c r="A30" s="158">
        <v>1143</v>
      </c>
      <c r="B30" s="15" t="s">
        <v>421</v>
      </c>
      <c r="C30" s="112">
        <f ca="1">IF(RIGHT($A30,3)="000",SUMIF(BC[],MID($A30,1,1)&amp;"*",bc_2017),IF(RIGHT($A30,2)="00",SUMIF(BC[],MID($A30,1,2)&amp;"*",bc_2017),IF(RIGHT($A30,1)="0",SUMIF(BC[],MID($A30,1,3)&amp;"*",bc_2017),SUMIF(BC[],$A30,bc_2017))))</f>
        <v>0</v>
      </c>
      <c r="D30" s="112">
        <f ca="1">IF(RIGHT($A30,3)="000",SUMIF(BC[],MID($A30,1,1)&amp;"*",bc_2016),IF(RIGHT($A30,2)="00",SUMIF(BC[],MID($A30,1,2)&amp;"*",bc_2016),IF(RIGHT($A30,1)="0",SUMIF(BC[],MID($A30,1,3)&amp;"*",bc_2016),SUMIF(BC[],$A30,bc_2016))))</f>
        <v>0</v>
      </c>
      <c r="E30" s="157"/>
    </row>
    <row r="31" spans="1:5">
      <c r="A31" s="158">
        <v>1144</v>
      </c>
      <c r="B31" s="15" t="s">
        <v>422</v>
      </c>
      <c r="C31" s="112">
        <f ca="1">IF(RIGHT($A31,3)="000",SUMIF(BC[],MID($A31,1,1)&amp;"*",bc_2017),IF(RIGHT($A31,2)="00",SUMIF(BC[],MID($A31,1,2)&amp;"*",bc_2017),IF(RIGHT($A31,1)="0",SUMIF(BC[],MID($A31,1,3)&amp;"*",bc_2017),SUMIF(BC[],$A31,bc_2017))))</f>
        <v>0</v>
      </c>
      <c r="D31" s="112">
        <f ca="1">IF(RIGHT($A31,3)="000",SUMIF(BC[],MID($A31,1,1)&amp;"*",bc_2016),IF(RIGHT($A31,2)="00",SUMIF(BC[],MID($A31,1,2)&amp;"*",bc_2016),IF(RIGHT($A31,1)="0",SUMIF(BC[],MID($A31,1,3)&amp;"*",bc_2016),SUMIF(BC[],$A31,bc_2016))))</f>
        <v>0</v>
      </c>
      <c r="E31" s="157"/>
    </row>
    <row r="32" spans="1:5">
      <c r="A32" s="158">
        <v>1145</v>
      </c>
      <c r="B32" s="15" t="s">
        <v>423</v>
      </c>
      <c r="C32" s="112">
        <f ca="1">IF(RIGHT($A32,3)="000",SUMIF(BC[],MID($A32,1,1)&amp;"*",bc_2017),IF(RIGHT($A32,2)="00",SUMIF(BC[],MID($A32,1,2)&amp;"*",bc_2017),IF(RIGHT($A32,1)="0",SUMIF(BC[],MID($A32,1,3)&amp;"*",bc_2017),SUMIF(BC[],$A32,bc_2017))))</f>
        <v>0</v>
      </c>
      <c r="D32" s="112">
        <f ca="1">IF(RIGHT($A32,3)="000",SUMIF(BC[],MID($A32,1,1)&amp;"*",bc_2016),IF(RIGHT($A32,2)="00",SUMIF(BC[],MID($A32,1,2)&amp;"*",bc_2016),IF(RIGHT($A32,1)="0",SUMIF(BC[],MID($A32,1,3)&amp;"*",bc_2016),SUMIF(BC[],$A32,bc_2016))))</f>
        <v>0</v>
      </c>
      <c r="E32" s="157"/>
    </row>
    <row r="33" spans="1:5">
      <c r="A33" s="158">
        <v>1150</v>
      </c>
      <c r="B33" s="15" t="s">
        <v>11</v>
      </c>
      <c r="C33" s="112">
        <f ca="1">IF(RIGHT($A33,3)="000",SUMIF(BC[],MID($A33,1,1)&amp;"*",bc_2017),IF(RIGHT($A33,2)="00",SUMIF(BC[],MID($A33,1,2)&amp;"*",bc_2017),IF(RIGHT($A33,1)="0",SUMIF(BC[],MID($A33,1,3)&amp;"*",bc_2017),SUMIF(BC[],$A33,bc_2017))))</f>
        <v>0</v>
      </c>
      <c r="D33" s="112">
        <f ca="1">IF(RIGHT($A33,3)="000",SUMIF(BC[],MID($A33,1,1)&amp;"*",bc_2016),IF(RIGHT($A33,2)="00",SUMIF(BC[],MID($A33,1,2)&amp;"*",bc_2016),IF(RIGHT($A33,1)="0",SUMIF(BC[],MID($A33,1,3)&amp;"*",bc_2016),SUMIF(BC[],$A33,bc_2016))))</f>
        <v>0</v>
      </c>
      <c r="E33" s="157" t="s">
        <v>10</v>
      </c>
    </row>
    <row r="34" spans="1:5">
      <c r="A34" s="158">
        <v>1151</v>
      </c>
      <c r="B34" s="15" t="s">
        <v>424</v>
      </c>
      <c r="C34" s="112">
        <f ca="1">IF(RIGHT($A34,3)="000",SUMIF(BC[],MID($A34,1,1)&amp;"*",bc_2017),IF(RIGHT($A34,2)="00",SUMIF(BC[],MID($A34,1,2)&amp;"*",bc_2017),IF(RIGHT($A34,1)="0",SUMIF(BC[],MID($A34,1,3)&amp;"*",bc_2017),SUMIF(BC[],$A34,bc_2017))))</f>
        <v>0</v>
      </c>
      <c r="D34" s="112">
        <f ca="1">IF(RIGHT($A34,3)="000",SUMIF(BC[],MID($A34,1,1)&amp;"*",bc_2016),IF(RIGHT($A34,2)="00",SUMIF(BC[],MID($A34,1,2)&amp;"*",bc_2016),IF(RIGHT($A34,1)="0",SUMIF(BC[],MID($A34,1,3)&amp;"*",bc_2016),SUMIF(BC[],$A34,bc_2016))))</f>
        <v>0</v>
      </c>
      <c r="E34" s="157"/>
    </row>
    <row r="35" spans="1:5">
      <c r="A35" s="158">
        <v>1160</v>
      </c>
      <c r="B35" s="15" t="s">
        <v>12</v>
      </c>
      <c r="C35" s="112">
        <f ca="1">IF(RIGHT($A35,3)="000",SUMIF(BC[],MID($A35,1,1)&amp;"*",bc_2017),IF(RIGHT($A35,2)="00",SUMIF(BC[],MID($A35,1,2)&amp;"*",bc_2017),IF(RIGHT($A35,1)="0",SUMIF(BC[],MID($A35,1,3)&amp;"*",bc_2017),SUMIF(BC[],$A35,bc_2017))))</f>
        <v>0</v>
      </c>
      <c r="D35" s="112">
        <f ca="1">IF(RIGHT($A35,3)="000",SUMIF(BC[],MID($A35,1,1)&amp;"*",bc_2016),IF(RIGHT($A35,2)="00",SUMIF(BC[],MID($A35,1,2)&amp;"*",bc_2016),IF(RIGHT($A35,1)="0",SUMIF(BC[],MID($A35,1,3)&amp;"*",bc_2016),SUMIF(BC[],$A35,bc_2016))))</f>
        <v>0</v>
      </c>
      <c r="E35" s="157"/>
    </row>
    <row r="36" spans="1:5">
      <c r="A36" s="158">
        <v>1161</v>
      </c>
      <c r="B36" s="15" t="s">
        <v>425</v>
      </c>
      <c r="C36" s="112">
        <f ca="1">IF(RIGHT($A36,3)="000",SUMIF(BC[],MID($A36,1,1)&amp;"*",bc_2017),IF(RIGHT($A36,2)="00",SUMIF(BC[],MID($A36,1,2)&amp;"*",bc_2017),IF(RIGHT($A36,1)="0",SUMIF(BC[],MID($A36,1,3)&amp;"*",bc_2017),SUMIF(BC[],$A36,bc_2017))))</f>
        <v>0</v>
      </c>
      <c r="D36" s="112">
        <f ca="1">IF(RIGHT($A36,3)="000",SUMIF(BC[],MID($A36,1,1)&amp;"*",bc_2016),IF(RIGHT($A36,2)="00",SUMIF(BC[],MID($A36,1,2)&amp;"*",bc_2016),IF(RIGHT($A36,1)="0",SUMIF(BC[],MID($A36,1,3)&amp;"*",bc_2016),SUMIF(BC[],$A36,bc_2016))))</f>
        <v>0</v>
      </c>
      <c r="E36" s="157"/>
    </row>
    <row r="37" spans="1:5">
      <c r="A37" s="158">
        <v>1162</v>
      </c>
      <c r="B37" s="15" t="s">
        <v>426</v>
      </c>
      <c r="C37" s="112">
        <f ca="1">IF(RIGHT($A37,3)="000",SUMIF(BC[],MID($A37,1,1)&amp;"*",bc_2017),IF(RIGHT($A37,2)="00",SUMIF(BC[],MID($A37,1,2)&amp;"*",bc_2017),IF(RIGHT($A37,1)="0",SUMIF(BC[],MID($A37,1,3)&amp;"*",bc_2017),SUMIF(BC[],$A37,bc_2017))))</f>
        <v>0</v>
      </c>
      <c r="D37" s="112">
        <f ca="1">IF(RIGHT($A37,3)="000",SUMIF(BC[],MID($A37,1,1)&amp;"*",bc_2016),IF(RIGHT($A37,2)="00",SUMIF(BC[],MID($A37,1,2)&amp;"*",bc_2016),IF(RIGHT($A37,1)="0",SUMIF(BC[],MID($A37,1,3)&amp;"*",bc_2016),SUMIF(BC[],$A37,bc_2016))))</f>
        <v>0</v>
      </c>
      <c r="E37" s="157"/>
    </row>
    <row r="38" spans="1:5">
      <c r="A38" s="158">
        <v>1190</v>
      </c>
      <c r="B38" s="15" t="s">
        <v>13</v>
      </c>
      <c r="C38" s="112">
        <f ca="1">IF(RIGHT($A38,3)="000",SUMIF(BC[],MID($A38,1,1)&amp;"*",bc_2017),IF(RIGHT($A38,2)="00",SUMIF(BC[],MID($A38,1,2)&amp;"*",bc_2017),IF(RIGHT($A38,1)="0",SUMIF(BC[],MID($A38,1,3)&amp;"*",bc_2017),SUMIF(BC[],$A38,bc_2017))))</f>
        <v>0</v>
      </c>
      <c r="D38" s="112">
        <f ca="1">IF(RIGHT($A38,3)="000",SUMIF(BC[],MID($A38,1,1)&amp;"*",bc_2016),IF(RIGHT($A38,2)="00",SUMIF(BC[],MID($A38,1,2)&amp;"*",bc_2016),IF(RIGHT($A38,1)="0",SUMIF(BC[],MID($A38,1,3)&amp;"*",bc_2016),SUMIF(BC[],$A38,bc_2016))))</f>
        <v>0</v>
      </c>
      <c r="E38" s="157" t="s">
        <v>14</v>
      </c>
    </row>
    <row r="39" spans="1:5">
      <c r="A39" s="158">
        <v>1191</v>
      </c>
      <c r="B39" s="15" t="s">
        <v>427</v>
      </c>
      <c r="C39" s="112">
        <f ca="1">IF(RIGHT($A39,3)="000",SUMIF(BC[],MID($A39,1,1)&amp;"*",bc_2017),IF(RIGHT($A39,2)="00",SUMIF(BC[],MID($A39,1,2)&amp;"*",bc_2017),IF(RIGHT($A39,1)="0",SUMIF(BC[],MID($A39,1,3)&amp;"*",bc_2017),SUMIF(BC[],$A39,bc_2017))))</f>
        <v>0</v>
      </c>
      <c r="D39" s="112">
        <f ca="1">IF(RIGHT($A39,3)="000",SUMIF(BC[],MID($A39,1,1)&amp;"*",bc_2016),IF(RIGHT($A39,2)="00",SUMIF(BC[],MID($A39,1,2)&amp;"*",bc_2016),IF(RIGHT($A39,1)="0",SUMIF(BC[],MID($A39,1,3)&amp;"*",bc_2016),SUMIF(BC[],$A39,bc_2016))))</f>
        <v>0</v>
      </c>
      <c r="E39" s="157"/>
    </row>
    <row r="40" spans="1:5">
      <c r="A40" s="158">
        <v>1192</v>
      </c>
      <c r="B40" s="15" t="s">
        <v>428</v>
      </c>
      <c r="C40" s="112">
        <f ca="1">IF(RIGHT($A40,3)="000",SUMIF(BC[],MID($A40,1,1)&amp;"*",bc_2017),IF(RIGHT($A40,2)="00",SUMIF(BC[],MID($A40,1,2)&amp;"*",bc_2017),IF(RIGHT($A40,1)="0",SUMIF(BC[],MID($A40,1,3)&amp;"*",bc_2017),SUMIF(BC[],$A40,bc_2017))))</f>
        <v>0</v>
      </c>
      <c r="D40" s="112">
        <f ca="1">IF(RIGHT($A40,3)="000",SUMIF(BC[],MID($A40,1,1)&amp;"*",bc_2016),IF(RIGHT($A40,2)="00",SUMIF(BC[],MID($A40,1,2)&amp;"*",bc_2016),IF(RIGHT($A40,1)="0",SUMIF(BC[],MID($A40,1,3)&amp;"*",bc_2016),SUMIF(BC[],$A40,bc_2016))))</f>
        <v>0</v>
      </c>
      <c r="E40" s="157"/>
    </row>
    <row r="41" spans="1:5">
      <c r="A41" s="158">
        <v>1193</v>
      </c>
      <c r="B41" s="15" t="s">
        <v>429</v>
      </c>
      <c r="C41" s="112">
        <f ca="1">IF(RIGHT($A41,3)="000",SUMIF(BC[],MID($A41,1,1)&amp;"*",bc_2017),IF(RIGHT($A41,2)="00",SUMIF(BC[],MID($A41,1,2)&amp;"*",bc_2017),IF(RIGHT($A41,1)="0",SUMIF(BC[],MID($A41,1,3)&amp;"*",bc_2017),SUMIF(BC[],$A41,bc_2017))))</f>
        <v>0</v>
      </c>
      <c r="D41" s="112">
        <f ca="1">IF(RIGHT($A41,3)="000",SUMIF(BC[],MID($A41,1,1)&amp;"*",bc_2016),IF(RIGHT($A41,2)="00",SUMIF(BC[],MID($A41,1,2)&amp;"*",bc_2016),IF(RIGHT($A41,1)="0",SUMIF(BC[],MID($A41,1,3)&amp;"*",bc_2016),SUMIF(BC[],$A41,bc_2016))))</f>
        <v>0</v>
      </c>
      <c r="E41" s="157"/>
    </row>
    <row r="42" spans="1:5">
      <c r="A42" s="158">
        <v>1194</v>
      </c>
      <c r="B42" s="159" t="s">
        <v>823</v>
      </c>
      <c r="C42" s="112">
        <f ca="1">IF(RIGHT($A42,3)="000",SUMIF(BC[],MID($A42,1,1)&amp;"*",bc_2017),IF(RIGHT($A42,2)="00",SUMIF(BC[],MID($A42,1,2)&amp;"*",bc_2017),IF(RIGHT($A42,1)="0",SUMIF(BC[],MID($A42,1,3)&amp;"*",bc_2017),SUMIF(BC[],$A42,bc_2017))))</f>
        <v>0</v>
      </c>
      <c r="D42" s="112">
        <f ca="1">IF(RIGHT($A42,3)="000",SUMIF(BC[],MID($A42,1,1)&amp;"*",bc_2016),IF(RIGHT($A42,2)="00",SUMIF(BC[],MID($A42,1,2)&amp;"*",bc_2016),IF(RIGHT($A42,1)="0",SUMIF(BC[],MID($A42,1,3)&amp;"*",bc_2016),SUMIF(BC[],$A42,bc_2016))))</f>
        <v>0</v>
      </c>
      <c r="E42" s="157"/>
    </row>
    <row r="43" spans="1:5">
      <c r="A43" s="155">
        <v>1200</v>
      </c>
      <c r="B43" s="14" t="s">
        <v>15</v>
      </c>
      <c r="C43" s="112">
        <f ca="1">IF(RIGHT($A43,3)="000",SUMIF(BC[],MID($A43,1,1)&amp;"*",bc_2017),IF(RIGHT($A43,2)="00",SUMIF(BC[],MID($A43,1,2)&amp;"*",bc_2017),IF(RIGHT($A43,1)="0",SUMIF(BC[],MID($A43,1,3)&amp;"*",bc_2017),SUMIF(BC[],$A43,bc_2017))))</f>
        <v>20168155.649999999</v>
      </c>
      <c r="D43" s="112">
        <f ca="1">IF(RIGHT($A43,3)="000",SUMIF(BC[],MID($A43,1,1)&amp;"*",bc_2016),IF(RIGHT($A43,2)="00",SUMIF(BC[],MID($A43,1,2)&amp;"*",bc_2016),IF(RIGHT($A43,1)="0",SUMIF(BC[],MID($A43,1,3)&amp;"*",bc_2016),SUMIF(BC[],$A43,bc_2016))))</f>
        <v>19866003.479999993</v>
      </c>
      <c r="E43" s="157"/>
    </row>
    <row r="44" spans="1:5">
      <c r="A44" s="158">
        <v>1210</v>
      </c>
      <c r="B44" s="15" t="s">
        <v>16</v>
      </c>
      <c r="C44" s="112">
        <f ca="1">IF(RIGHT($A44,3)="000",SUMIF(BC[],MID($A44,1,1)&amp;"*",bc_2017),IF(RIGHT($A44,2)="00",SUMIF(BC[],MID($A44,1,2)&amp;"*",bc_2017),IF(RIGHT($A44,1)="0",SUMIF(BC[],MID($A44,1,3)&amp;"*",bc_2017),SUMIF(BC[],$A44,bc_2017))))</f>
        <v>0</v>
      </c>
      <c r="D44" s="112">
        <f ca="1">IF(RIGHT($A44,3)="000",SUMIF(BC[],MID($A44,1,1)&amp;"*",bc_2016),IF(RIGHT($A44,2)="00",SUMIF(BC[],MID($A44,1,2)&amp;"*",bc_2016),IF(RIGHT($A44,1)="0",SUMIF(BC[],MID($A44,1,3)&amp;"*",bc_2016),SUMIF(BC[],$A44,bc_2016))))</f>
        <v>0</v>
      </c>
      <c r="E44" s="157"/>
    </row>
    <row r="45" spans="1:5">
      <c r="A45" s="158">
        <v>1211</v>
      </c>
      <c r="B45" s="15" t="s">
        <v>430</v>
      </c>
      <c r="C45" s="112">
        <f ca="1">IF(RIGHT($A45,3)="000",SUMIF(BC[],MID($A45,1,1)&amp;"*",bc_2017),IF(RIGHT($A45,2)="00",SUMIF(BC[],MID($A45,1,2)&amp;"*",bc_2017),IF(RIGHT($A45,1)="0",SUMIF(BC[],MID($A45,1,3)&amp;"*",bc_2017),SUMIF(BC[],$A45,bc_2017))))</f>
        <v>0</v>
      </c>
      <c r="D45" s="112">
        <f ca="1">IF(RIGHT($A45,3)="000",SUMIF(BC[],MID($A45,1,1)&amp;"*",bc_2016),IF(RIGHT($A45,2)="00",SUMIF(BC[],MID($A45,1,2)&amp;"*",bc_2016),IF(RIGHT($A45,1)="0",SUMIF(BC[],MID($A45,1,3)&amp;"*",bc_2016),SUMIF(BC[],$A45,bc_2016))))</f>
        <v>0</v>
      </c>
      <c r="E45" s="157" t="s">
        <v>402</v>
      </c>
    </row>
    <row r="46" spans="1:5">
      <c r="A46" s="158">
        <v>1212</v>
      </c>
      <c r="B46" s="15" t="s">
        <v>431</v>
      </c>
      <c r="C46" s="112">
        <f ca="1">IF(RIGHT($A46,3)="000",SUMIF(BC[],MID($A46,1,1)&amp;"*",bc_2017),IF(RIGHT($A46,2)="00",SUMIF(BC[],MID($A46,1,2)&amp;"*",bc_2017),IF(RIGHT($A46,1)="0",SUMIF(BC[],MID($A46,1,3)&amp;"*",bc_2017),SUMIF(BC[],$A46,bc_2017))))</f>
        <v>0</v>
      </c>
      <c r="D46" s="112">
        <f ca="1">IF(RIGHT($A46,3)="000",SUMIF(BC[],MID($A46,1,1)&amp;"*",bc_2016),IF(RIGHT($A46,2)="00",SUMIF(BC[],MID($A46,1,2)&amp;"*",bc_2016),IF(RIGHT($A46,1)="0",SUMIF(BC[],MID($A46,1,3)&amp;"*",bc_2016),SUMIF(BC[],$A46,bc_2016))))</f>
        <v>0</v>
      </c>
      <c r="E46" s="157"/>
    </row>
    <row r="47" spans="1:5">
      <c r="A47" s="158">
        <v>1213</v>
      </c>
      <c r="B47" s="15" t="s">
        <v>432</v>
      </c>
      <c r="C47" s="112">
        <f ca="1">IF(RIGHT($A47,3)="000",SUMIF(BC[],MID($A47,1,1)&amp;"*",bc_2017),IF(RIGHT($A47,2)="00",SUMIF(BC[],MID($A47,1,2)&amp;"*",bc_2017),IF(RIGHT($A47,1)="0",SUMIF(BC[],MID($A47,1,3)&amp;"*",bc_2017),SUMIF(BC[],$A47,bc_2017))))</f>
        <v>0</v>
      </c>
      <c r="D47" s="112">
        <f ca="1">IF(RIGHT($A47,3)="000",SUMIF(BC[],MID($A47,1,1)&amp;"*",bc_2016),IF(RIGHT($A47,2)="00",SUMIF(BC[],MID($A47,1,2)&amp;"*",bc_2016),IF(RIGHT($A47,1)="0",SUMIF(BC[],MID($A47,1,3)&amp;"*",bc_2016),SUMIF(BC[],$A47,bc_2016))))</f>
        <v>0</v>
      </c>
      <c r="E47" s="157" t="s">
        <v>433</v>
      </c>
    </row>
    <row r="48" spans="1:5">
      <c r="A48" s="158">
        <v>1214</v>
      </c>
      <c r="B48" s="15" t="s">
        <v>434</v>
      </c>
      <c r="C48" s="112">
        <f ca="1">IF(RIGHT($A48,3)="000",SUMIF(BC[],MID($A48,1,1)&amp;"*",bc_2017),IF(RIGHT($A48,2)="00",SUMIF(BC[],MID($A48,1,2)&amp;"*",bc_2017),IF(RIGHT($A48,1)="0",SUMIF(BC[],MID($A48,1,3)&amp;"*",bc_2017),SUMIF(BC[],$A48,bc_2017))))</f>
        <v>0</v>
      </c>
      <c r="D48" s="112">
        <f ca="1">IF(RIGHT($A48,3)="000",SUMIF(BC[],MID($A48,1,1)&amp;"*",bc_2016),IF(RIGHT($A48,2)="00",SUMIF(BC[],MID($A48,1,2)&amp;"*",bc_2016),IF(RIGHT($A48,1)="0",SUMIF(BC[],MID($A48,1,3)&amp;"*",bc_2016),SUMIF(BC[],$A48,bc_2016))))</f>
        <v>0</v>
      </c>
      <c r="E48" s="157" t="s">
        <v>435</v>
      </c>
    </row>
    <row r="49" spans="1:5">
      <c r="A49" s="158">
        <v>1220</v>
      </c>
      <c r="B49" s="15" t="s">
        <v>17</v>
      </c>
      <c r="C49" s="112">
        <f ca="1">IF(RIGHT($A49,3)="000",SUMIF(BC[],MID($A49,1,1)&amp;"*",bc_2017),IF(RIGHT($A49,2)="00",SUMIF(BC[],MID($A49,1,2)&amp;"*",bc_2017),IF(RIGHT($A49,1)="0",SUMIF(BC[],MID($A49,1,3)&amp;"*",bc_2017),SUMIF(BC[],$A49,bc_2017))))</f>
        <v>0</v>
      </c>
      <c r="D49" s="112">
        <f ca="1">IF(RIGHT($A49,3)="000",SUMIF(BC[],MID($A49,1,1)&amp;"*",bc_2016),IF(RIGHT($A49,2)="00",SUMIF(BC[],MID($A49,1,2)&amp;"*",bc_2016),IF(RIGHT($A49,1)="0",SUMIF(BC[],MID($A49,1,3)&amp;"*",bc_2016),SUMIF(BC[],$A49,bc_2016))))</f>
        <v>0</v>
      </c>
      <c r="E49" s="157"/>
    </row>
    <row r="50" spans="1:5">
      <c r="A50" s="158">
        <v>1221</v>
      </c>
      <c r="B50" s="15" t="s">
        <v>436</v>
      </c>
      <c r="C50" s="112">
        <f ca="1">IF(RIGHT($A50,3)="000",SUMIF(BC[],MID($A50,1,1)&amp;"*",bc_2017),IF(RIGHT($A50,2)="00",SUMIF(BC[],MID($A50,1,2)&amp;"*",bc_2017),IF(RIGHT($A50,1)="0",SUMIF(BC[],MID($A50,1,3)&amp;"*",bc_2017),SUMIF(BC[],$A50,bc_2017))))</f>
        <v>0</v>
      </c>
      <c r="D50" s="112">
        <f ca="1">IF(RIGHT($A50,3)="000",SUMIF(BC[],MID($A50,1,1)&amp;"*",bc_2016),IF(RIGHT($A50,2)="00",SUMIF(BC[],MID($A50,1,2)&amp;"*",bc_2016),IF(RIGHT($A50,1)="0",SUMIF(BC[],MID($A50,1,3)&amp;"*",bc_2016),SUMIF(BC[],$A50,bc_2016))))</f>
        <v>0</v>
      </c>
      <c r="E50" s="157" t="s">
        <v>7</v>
      </c>
    </row>
    <row r="51" spans="1:5">
      <c r="A51" s="158">
        <v>1222</v>
      </c>
      <c r="B51" s="15" t="s">
        <v>437</v>
      </c>
      <c r="C51" s="112">
        <f ca="1">IF(RIGHT($A51,3)="000",SUMIF(BC[],MID($A51,1,1)&amp;"*",bc_2017),IF(RIGHT($A51,2)="00",SUMIF(BC[],MID($A51,1,2)&amp;"*",bc_2017),IF(RIGHT($A51,1)="0",SUMIF(BC[],MID($A51,1,3)&amp;"*",bc_2017),SUMIF(BC[],$A51,bc_2017))))</f>
        <v>0</v>
      </c>
      <c r="D51" s="112">
        <f ca="1">IF(RIGHT($A51,3)="000",SUMIF(BC[],MID($A51,1,1)&amp;"*",bc_2016),IF(RIGHT($A51,2)="00",SUMIF(BC[],MID($A51,1,2)&amp;"*",bc_2016),IF(RIGHT($A51,1)="0",SUMIF(BC[],MID($A51,1,3)&amp;"*",bc_2016),SUMIF(BC[],$A51,bc_2016))))</f>
        <v>0</v>
      </c>
      <c r="E51" s="157" t="s">
        <v>7</v>
      </c>
    </row>
    <row r="52" spans="1:5">
      <c r="A52" s="158">
        <v>1223</v>
      </c>
      <c r="B52" s="15" t="s">
        <v>438</v>
      </c>
      <c r="C52" s="112">
        <f ca="1">IF(RIGHT($A52,3)="000",SUMIF(BC[],MID($A52,1,1)&amp;"*",bc_2017),IF(RIGHT($A52,2)="00",SUMIF(BC[],MID($A52,1,2)&amp;"*",bc_2017),IF(RIGHT($A52,1)="0",SUMIF(BC[],MID($A52,1,3)&amp;"*",bc_2017),SUMIF(BC[],$A52,bc_2017))))</f>
        <v>0</v>
      </c>
      <c r="D52" s="112">
        <f ca="1">IF(RIGHT($A52,3)="000",SUMIF(BC[],MID($A52,1,1)&amp;"*",bc_2016),IF(RIGHT($A52,2)="00",SUMIF(BC[],MID($A52,1,2)&amp;"*",bc_2016),IF(RIGHT($A52,1)="0",SUMIF(BC[],MID($A52,1,3)&amp;"*",bc_2016),SUMIF(BC[],$A52,bc_2016))))</f>
        <v>0</v>
      </c>
      <c r="E52" s="157"/>
    </row>
    <row r="53" spans="1:5">
      <c r="A53" s="158">
        <v>1224</v>
      </c>
      <c r="B53" s="15" t="s">
        <v>439</v>
      </c>
      <c r="C53" s="112">
        <f ca="1">IF(RIGHT($A53,3)="000",SUMIF(BC[],MID($A53,1,1)&amp;"*",bc_2017),IF(RIGHT($A53,2)="00",SUMIF(BC[],MID($A53,1,2)&amp;"*",bc_2017),IF(RIGHT($A53,1)="0",SUMIF(BC[],MID($A53,1,3)&amp;"*",bc_2017),SUMIF(BC[],$A53,bc_2017))))</f>
        <v>0</v>
      </c>
      <c r="D53" s="112">
        <f ca="1">IF(RIGHT($A53,3)="000",SUMIF(BC[],MID($A53,1,1)&amp;"*",bc_2016),IF(RIGHT($A53,2)="00",SUMIF(BC[],MID($A53,1,2)&amp;"*",bc_2016),IF(RIGHT($A53,1)="0",SUMIF(BC[],MID($A53,1,3)&amp;"*",bc_2016),SUMIF(BC[],$A53,bc_2016))))</f>
        <v>0</v>
      </c>
      <c r="E53" s="157" t="s">
        <v>7</v>
      </c>
    </row>
    <row r="54" spans="1:5">
      <c r="A54" s="158">
        <v>1229</v>
      </c>
      <c r="B54" s="15" t="s">
        <v>440</v>
      </c>
      <c r="C54" s="112">
        <f ca="1">IF(RIGHT($A54,3)="000",SUMIF(BC[],MID($A54,1,1)&amp;"*",bc_2017),IF(RIGHT($A54,2)="00",SUMIF(BC[],MID($A54,1,2)&amp;"*",bc_2017),IF(RIGHT($A54,1)="0",SUMIF(BC[],MID($A54,1,3)&amp;"*",bc_2017),SUMIF(BC[],$A54,bc_2017))))</f>
        <v>0</v>
      </c>
      <c r="D54" s="112">
        <f ca="1">IF(RIGHT($A54,3)="000",SUMIF(BC[],MID($A54,1,1)&amp;"*",bc_2016),IF(RIGHT($A54,2)="00",SUMIF(BC[],MID($A54,1,2)&amp;"*",bc_2016),IF(RIGHT($A54,1)="0",SUMIF(BC[],MID($A54,1,3)&amp;"*",bc_2016),SUMIF(BC[],$A54,bc_2016))))</f>
        <v>0</v>
      </c>
      <c r="E54" s="157" t="s">
        <v>7</v>
      </c>
    </row>
    <row r="55" spans="1:5">
      <c r="A55" s="158">
        <v>1230</v>
      </c>
      <c r="B55" s="15" t="s">
        <v>18</v>
      </c>
      <c r="C55" s="112">
        <f ca="1">IF(RIGHT($A55,3)="000",SUMIF(BC[],MID($A55,1,1)&amp;"*",bc_2017),IF(RIGHT($A55,2)="00",SUMIF(BC[],MID($A55,1,2)&amp;"*",bc_2017),IF(RIGHT($A55,1)="0",SUMIF(BC[],MID($A55,1,3)&amp;"*",bc_2017),SUMIF(BC[],$A55,bc_2017))))</f>
        <v>0</v>
      </c>
      <c r="D55" s="112">
        <f ca="1">IF(RIGHT($A55,3)="000",SUMIF(BC[],MID($A55,1,1)&amp;"*",bc_2016),IF(RIGHT($A55,2)="00",SUMIF(BC[],MID($A55,1,2)&amp;"*",bc_2016),IF(RIGHT($A55,1)="0",SUMIF(BC[],MID($A55,1,3)&amp;"*",bc_2016),SUMIF(BC[],$A55,bc_2016))))</f>
        <v>0</v>
      </c>
      <c r="E55" s="157" t="s">
        <v>19</v>
      </c>
    </row>
    <row r="56" spans="1:5">
      <c r="A56" s="158">
        <v>1231</v>
      </c>
      <c r="B56" s="15" t="s">
        <v>441</v>
      </c>
      <c r="C56" s="112">
        <f ca="1">IF(RIGHT($A56,3)="000",SUMIF(BC[],MID($A56,1,1)&amp;"*",bc_2017),IF(RIGHT($A56,2)="00",SUMIF(BC[],MID($A56,1,2)&amp;"*",bc_2017),IF(RIGHT($A56,1)="0",SUMIF(BC[],MID($A56,1,3)&amp;"*",bc_2017),SUMIF(BC[],$A56,bc_2017))))</f>
        <v>0</v>
      </c>
      <c r="D56" s="112">
        <f ca="1">IF(RIGHT($A56,3)="000",SUMIF(BC[],MID($A56,1,1)&amp;"*",bc_2016),IF(RIGHT($A56,2)="00",SUMIF(BC[],MID($A56,1,2)&amp;"*",bc_2016),IF(RIGHT($A56,1)="0",SUMIF(BC[],MID($A56,1,3)&amp;"*",bc_2016),SUMIF(BC[],$A56,bc_2016))))</f>
        <v>0</v>
      </c>
      <c r="E56" s="157"/>
    </row>
    <row r="57" spans="1:5">
      <c r="A57" s="158">
        <v>1232</v>
      </c>
      <c r="B57" s="15" t="s">
        <v>442</v>
      </c>
      <c r="C57" s="112">
        <f ca="1">IF(RIGHT($A57,3)="000",SUMIF(BC[],MID($A57,1,1)&amp;"*",bc_2017),IF(RIGHT($A57,2)="00",SUMIF(BC[],MID($A57,1,2)&amp;"*",bc_2017),IF(RIGHT($A57,1)="0",SUMIF(BC[],MID($A57,1,3)&amp;"*",bc_2017),SUMIF(BC[],$A57,bc_2017))))</f>
        <v>0</v>
      </c>
      <c r="D57" s="112">
        <f ca="1">IF(RIGHT($A57,3)="000",SUMIF(BC[],MID($A57,1,1)&amp;"*",bc_2016),IF(RIGHT($A57,2)="00",SUMIF(BC[],MID($A57,1,2)&amp;"*",bc_2016),IF(RIGHT($A57,1)="0",SUMIF(BC[],MID($A57,1,3)&amp;"*",bc_2016),SUMIF(BC[],$A57,bc_2016))))</f>
        <v>0</v>
      </c>
      <c r="E57" s="157"/>
    </row>
    <row r="58" spans="1:5">
      <c r="A58" s="158">
        <v>1233</v>
      </c>
      <c r="B58" s="15" t="s">
        <v>443</v>
      </c>
      <c r="C58" s="112">
        <f ca="1">IF(RIGHT($A58,3)="000",SUMIF(BC[],MID($A58,1,1)&amp;"*",bc_2017),IF(RIGHT($A58,2)="00",SUMIF(BC[],MID($A58,1,2)&amp;"*",bc_2017),IF(RIGHT($A58,1)="0",SUMIF(BC[],MID($A58,1,3)&amp;"*",bc_2017),SUMIF(BC[],$A58,bc_2017))))</f>
        <v>0</v>
      </c>
      <c r="D58" s="112">
        <f ca="1">IF(RIGHT($A58,3)="000",SUMIF(BC[],MID($A58,1,1)&amp;"*",bc_2016),IF(RIGHT($A58,2)="00",SUMIF(BC[],MID($A58,1,2)&amp;"*",bc_2016),IF(RIGHT($A58,1)="0",SUMIF(BC[],MID($A58,1,3)&amp;"*",bc_2016),SUMIF(BC[],$A58,bc_2016))))</f>
        <v>0</v>
      </c>
      <c r="E58" s="157"/>
    </row>
    <row r="59" spans="1:5">
      <c r="A59" s="158">
        <v>1234</v>
      </c>
      <c r="B59" s="15" t="s">
        <v>444</v>
      </c>
      <c r="C59" s="112">
        <f ca="1">IF(RIGHT($A59,3)="000",SUMIF(BC[],MID($A59,1,1)&amp;"*",bc_2017),IF(RIGHT($A59,2)="00",SUMIF(BC[],MID($A59,1,2)&amp;"*",bc_2017),IF(RIGHT($A59,1)="0",SUMIF(BC[],MID($A59,1,3)&amp;"*",bc_2017),SUMIF(BC[],$A59,bc_2017))))</f>
        <v>0</v>
      </c>
      <c r="D59" s="112">
        <f ca="1">IF(RIGHT($A59,3)="000",SUMIF(BC[],MID($A59,1,1)&amp;"*",bc_2016),IF(RIGHT($A59,2)="00",SUMIF(BC[],MID($A59,1,2)&amp;"*",bc_2016),IF(RIGHT($A59,1)="0",SUMIF(BC[],MID($A59,1,3)&amp;"*",bc_2016),SUMIF(BC[],$A59,bc_2016))))</f>
        <v>0</v>
      </c>
      <c r="E59" s="157"/>
    </row>
    <row r="60" spans="1:5">
      <c r="A60" s="158">
        <v>1235</v>
      </c>
      <c r="B60" s="15" t="s">
        <v>445</v>
      </c>
      <c r="C60" s="112">
        <f ca="1">IF(RIGHT($A60,3)="000",SUMIF(BC[],MID($A60,1,1)&amp;"*",bc_2017),IF(RIGHT($A60,2)="00",SUMIF(BC[],MID($A60,1,2)&amp;"*",bc_2017),IF(RIGHT($A60,1)="0",SUMIF(BC[],MID($A60,1,3)&amp;"*",bc_2017),SUMIF(BC[],$A60,bc_2017))))</f>
        <v>0</v>
      </c>
      <c r="D60" s="112">
        <f ca="1">IF(RIGHT($A60,3)="000",SUMIF(BC[],MID($A60,1,1)&amp;"*",bc_2016),IF(RIGHT($A60,2)="00",SUMIF(BC[],MID($A60,1,2)&amp;"*",bc_2016),IF(RIGHT($A60,1)="0",SUMIF(BC[],MID($A60,1,3)&amp;"*",bc_2016),SUMIF(BC[],$A60,bc_2016))))</f>
        <v>0</v>
      </c>
      <c r="E60" s="157"/>
    </row>
    <row r="61" spans="1:5">
      <c r="A61" s="158">
        <v>1236</v>
      </c>
      <c r="B61" s="15" t="s">
        <v>446</v>
      </c>
      <c r="C61" s="112">
        <f ca="1">IF(RIGHT($A61,3)="000",SUMIF(BC[],MID($A61,1,1)&amp;"*",bc_2017),IF(RIGHT($A61,2)="00",SUMIF(BC[],MID($A61,1,2)&amp;"*",bc_2017),IF(RIGHT($A61,1)="0",SUMIF(BC[],MID($A61,1,3)&amp;"*",bc_2017),SUMIF(BC[],$A61,bc_2017))))</f>
        <v>0</v>
      </c>
      <c r="D61" s="112">
        <f ca="1">IF(RIGHT($A61,3)="000",SUMIF(BC[],MID($A61,1,1)&amp;"*",bc_2016),IF(RIGHT($A61,2)="00",SUMIF(BC[],MID($A61,1,2)&amp;"*",bc_2016),IF(RIGHT($A61,1)="0",SUMIF(BC[],MID($A61,1,3)&amp;"*",bc_2016),SUMIF(BC[],$A61,bc_2016))))</f>
        <v>0</v>
      </c>
      <c r="E61" s="157"/>
    </row>
    <row r="62" spans="1:5">
      <c r="A62" s="158">
        <v>1239</v>
      </c>
      <c r="B62" s="15" t="s">
        <v>447</v>
      </c>
      <c r="C62" s="112">
        <f ca="1">IF(RIGHT($A62,3)="000",SUMIF(BC[],MID($A62,1,1)&amp;"*",bc_2017),IF(RIGHT($A62,2)="00",SUMIF(BC[],MID($A62,1,2)&amp;"*",bc_2017),IF(RIGHT($A62,1)="0",SUMIF(BC[],MID($A62,1,3)&amp;"*",bc_2017),SUMIF(BC[],$A62,bc_2017))))</f>
        <v>0</v>
      </c>
      <c r="D62" s="112">
        <f ca="1">IF(RIGHT($A62,3)="000",SUMIF(BC[],MID($A62,1,1)&amp;"*",bc_2016),IF(RIGHT($A62,2)="00",SUMIF(BC[],MID($A62,1,2)&amp;"*",bc_2016),IF(RIGHT($A62,1)="0",SUMIF(BC[],MID($A62,1,3)&amp;"*",bc_2016),SUMIF(BC[],$A62,bc_2016))))</f>
        <v>0</v>
      </c>
      <c r="E62" s="157"/>
    </row>
    <row r="63" spans="1:5">
      <c r="A63" s="158">
        <v>1240</v>
      </c>
      <c r="B63" s="15" t="s">
        <v>20</v>
      </c>
      <c r="C63" s="112">
        <f ca="1">IF(RIGHT($A63,3)="000",SUMIF(BC[],MID($A63,1,1)&amp;"*",bc_2017),IF(RIGHT($A63,2)="00",SUMIF(BC[],MID($A63,1,2)&amp;"*",bc_2017),IF(RIGHT($A63,1)="0",SUMIF(BC[],MID($A63,1,3)&amp;"*",bc_2017),SUMIF(BC[],$A63,bc_2017))))</f>
        <v>17883200.050000001</v>
      </c>
      <c r="D63" s="112">
        <f ca="1">IF(RIGHT($A63,3)="000",SUMIF(BC[],MID($A63,1,1)&amp;"*",bc_2016),IF(RIGHT($A63,2)="00",SUMIF(BC[],MID($A63,1,2)&amp;"*",bc_2016),IF(RIGHT($A63,1)="0",SUMIF(BC[],MID($A63,1,3)&amp;"*",bc_2016),SUMIF(BC[],$A63,bc_2016))))</f>
        <v>15855010.120000001</v>
      </c>
      <c r="E63" s="157" t="s">
        <v>19</v>
      </c>
    </row>
    <row r="64" spans="1:5">
      <c r="A64" s="158">
        <v>1241</v>
      </c>
      <c r="B64" s="15" t="s">
        <v>21</v>
      </c>
      <c r="C64" s="112">
        <f ca="1">IF(RIGHT($A64,3)="000",SUMIF(BC[],MID($A64,1,1)&amp;"*",bc_2017),IF(RIGHT($A64,2)="00",SUMIF(BC[],MID($A64,1,2)&amp;"*",bc_2017),IF(RIGHT($A64,1)="0",SUMIF(BC[],MID($A64,1,3)&amp;"*",bc_2017),SUMIF(BC[],$A64,bc_2017))))</f>
        <v>12155713.010000002</v>
      </c>
      <c r="D64" s="112">
        <f ca="1">IF(RIGHT($A64,3)="000",SUMIF(BC[],MID($A64,1,1)&amp;"*",bc_2016),IF(RIGHT($A64,2)="00",SUMIF(BC[],MID($A64,1,2)&amp;"*",bc_2016),IF(RIGHT($A64,1)="0",SUMIF(BC[],MID($A64,1,3)&amp;"*",bc_2016),SUMIF(BC[],$A64,bc_2016))))</f>
        <v>10780784.810000001</v>
      </c>
      <c r="E64" s="157"/>
    </row>
    <row r="65" spans="1:5">
      <c r="A65" s="158">
        <v>1242</v>
      </c>
      <c r="B65" s="15" t="s">
        <v>22</v>
      </c>
      <c r="C65" s="112">
        <f ca="1">IF(RIGHT($A65,3)="000",SUMIF(BC[],MID($A65,1,1)&amp;"*",bc_2017),IF(RIGHT($A65,2)="00",SUMIF(BC[],MID($A65,1,2)&amp;"*",bc_2017),IF(RIGHT($A65,1)="0",SUMIF(BC[],MID($A65,1,3)&amp;"*",bc_2017),SUMIF(BC[],$A65,bc_2017))))</f>
        <v>0</v>
      </c>
      <c r="D65" s="112">
        <f ca="1">IF(RIGHT($A65,3)="000",SUMIF(BC[],MID($A65,1,1)&amp;"*",bc_2016),IF(RIGHT($A65,2)="00",SUMIF(BC[],MID($A65,1,2)&amp;"*",bc_2016),IF(RIGHT($A65,1)="0",SUMIF(BC[],MID($A65,1,3)&amp;"*",bc_2016),SUMIF(BC[],$A65,bc_2016))))</f>
        <v>0</v>
      </c>
      <c r="E65" s="157"/>
    </row>
    <row r="66" spans="1:5">
      <c r="A66" s="158">
        <v>1243</v>
      </c>
      <c r="B66" s="15" t="s">
        <v>23</v>
      </c>
      <c r="C66" s="112">
        <f ca="1">IF(RIGHT($A66,3)="000",SUMIF(BC[],MID($A66,1,1)&amp;"*",bc_2017),IF(RIGHT($A66,2)="00",SUMIF(BC[],MID($A66,1,2)&amp;"*",bc_2017),IF(RIGHT($A66,1)="0",SUMIF(BC[],MID($A66,1,3)&amp;"*",bc_2017),SUMIF(BC[],$A66,bc_2017))))</f>
        <v>0</v>
      </c>
      <c r="D66" s="112">
        <f ca="1">IF(RIGHT($A66,3)="000",SUMIF(BC[],MID($A66,1,1)&amp;"*",bc_2016),IF(RIGHT($A66,2)="00",SUMIF(BC[],MID($A66,1,2)&amp;"*",bc_2016),IF(RIGHT($A66,1)="0",SUMIF(BC[],MID($A66,1,3)&amp;"*",bc_2016),SUMIF(BC[],$A66,bc_2016))))</f>
        <v>0</v>
      </c>
      <c r="E66" s="157"/>
    </row>
    <row r="67" spans="1:5">
      <c r="A67" s="158">
        <v>1244</v>
      </c>
      <c r="B67" s="15" t="s">
        <v>24</v>
      </c>
      <c r="C67" s="112">
        <f ca="1">IF(RIGHT($A67,3)="000",SUMIF(BC[],MID($A67,1,1)&amp;"*",bc_2017),IF(RIGHT($A67,2)="00",SUMIF(BC[],MID($A67,1,2)&amp;"*",bc_2017),IF(RIGHT($A67,1)="0",SUMIF(BC[],MID($A67,1,3)&amp;"*",bc_2017),SUMIF(BC[],$A67,bc_2017))))</f>
        <v>4807787.01</v>
      </c>
      <c r="D67" s="112">
        <f ca="1">IF(RIGHT($A67,3)="000",SUMIF(BC[],MID($A67,1,1)&amp;"*",bc_2016),IF(RIGHT($A67,2)="00",SUMIF(BC[],MID($A67,1,2)&amp;"*",bc_2016),IF(RIGHT($A67,1)="0",SUMIF(BC[],MID($A67,1,3)&amp;"*",bc_2016),SUMIF(BC[],$A67,bc_2016))))</f>
        <v>4248189.0199999996</v>
      </c>
      <c r="E67" s="157"/>
    </row>
    <row r="68" spans="1:5">
      <c r="A68" s="158">
        <v>1245</v>
      </c>
      <c r="B68" s="15" t="s">
        <v>25</v>
      </c>
      <c r="C68" s="112">
        <f ca="1">IF(RIGHT($A68,3)="000",SUMIF(BC[],MID($A68,1,1)&amp;"*",bc_2017),IF(RIGHT($A68,2)="00",SUMIF(BC[],MID($A68,1,2)&amp;"*",bc_2017),IF(RIGHT($A68,1)="0",SUMIF(BC[],MID($A68,1,3)&amp;"*",bc_2017),SUMIF(BC[],$A68,bc_2017))))</f>
        <v>0</v>
      </c>
      <c r="D68" s="112">
        <f ca="1">IF(RIGHT($A68,3)="000",SUMIF(BC[],MID($A68,1,1)&amp;"*",bc_2016),IF(RIGHT($A68,2)="00",SUMIF(BC[],MID($A68,1,2)&amp;"*",bc_2016),IF(RIGHT($A68,1)="0",SUMIF(BC[],MID($A68,1,3)&amp;"*",bc_2016),SUMIF(BC[],$A68,bc_2016))))</f>
        <v>0</v>
      </c>
      <c r="E68" s="157"/>
    </row>
    <row r="69" spans="1:5">
      <c r="A69" s="158">
        <v>1246</v>
      </c>
      <c r="B69" s="15" t="s">
        <v>26</v>
      </c>
      <c r="C69" s="112">
        <f ca="1">IF(RIGHT($A69,3)="000",SUMIF(BC[],MID($A69,1,1)&amp;"*",bc_2017),IF(RIGHT($A69,2)="00",SUMIF(BC[],MID($A69,1,2)&amp;"*",bc_2017),IF(RIGHT($A69,1)="0",SUMIF(BC[],MID($A69,1,3)&amp;"*",bc_2017),SUMIF(BC[],$A69,bc_2017))))</f>
        <v>719437.04</v>
      </c>
      <c r="D69" s="112">
        <f ca="1">IF(RIGHT($A69,3)="000",SUMIF(BC[],MID($A69,1,1)&amp;"*",bc_2016),IF(RIGHT($A69,2)="00",SUMIF(BC[],MID($A69,1,2)&amp;"*",bc_2016),IF(RIGHT($A69,1)="0",SUMIF(BC[],MID($A69,1,3)&amp;"*",bc_2016),SUMIF(BC[],$A69,bc_2016))))</f>
        <v>625773.30000000005</v>
      </c>
      <c r="E69" s="157"/>
    </row>
    <row r="70" spans="1:5">
      <c r="A70" s="158">
        <v>1247</v>
      </c>
      <c r="B70" s="15" t="s">
        <v>448</v>
      </c>
      <c r="C70" s="112">
        <f ca="1">IF(RIGHT($A70,3)="000",SUMIF(BC[],MID($A70,1,1)&amp;"*",bc_2017),IF(RIGHT($A70,2)="00",SUMIF(BC[],MID($A70,1,2)&amp;"*",bc_2017),IF(RIGHT($A70,1)="0",SUMIF(BC[],MID($A70,1,3)&amp;"*",bc_2017),SUMIF(BC[],$A70,bc_2017))))</f>
        <v>200262.99</v>
      </c>
      <c r="D70" s="112">
        <f ca="1">IF(RIGHT($A70,3)="000",SUMIF(BC[],MID($A70,1,1)&amp;"*",bc_2016),IF(RIGHT($A70,2)="00",SUMIF(BC[],MID($A70,1,2)&amp;"*",bc_2016),IF(RIGHT($A70,1)="0",SUMIF(BC[],MID($A70,1,3)&amp;"*",bc_2016),SUMIF(BC[],$A70,bc_2016))))</f>
        <v>200262.99</v>
      </c>
      <c r="E70" s="157"/>
    </row>
    <row r="71" spans="1:5">
      <c r="A71" s="158">
        <v>1248</v>
      </c>
      <c r="B71" s="15" t="s">
        <v>27</v>
      </c>
      <c r="C71" s="112">
        <f ca="1">IF(RIGHT($A71,3)="000",SUMIF(BC[],MID($A71,1,1)&amp;"*",bc_2017),IF(RIGHT($A71,2)="00",SUMIF(BC[],MID($A71,1,2)&amp;"*",bc_2017),IF(RIGHT($A71,1)="0",SUMIF(BC[],MID($A71,1,3)&amp;"*",bc_2017),SUMIF(BC[],$A71,bc_2017))))</f>
        <v>0</v>
      </c>
      <c r="D71" s="112">
        <f ca="1">IF(RIGHT($A71,3)="000",SUMIF(BC[],MID($A71,1,1)&amp;"*",bc_2016),IF(RIGHT($A71,2)="00",SUMIF(BC[],MID($A71,1,2)&amp;"*",bc_2016),IF(RIGHT($A71,1)="0",SUMIF(BC[],MID($A71,1,3)&amp;"*",bc_2016),SUMIF(BC[],$A71,bc_2016))))</f>
        <v>0</v>
      </c>
      <c r="E71" s="157"/>
    </row>
    <row r="72" spans="1:5">
      <c r="A72" s="158">
        <v>1250</v>
      </c>
      <c r="B72" s="15" t="s">
        <v>28</v>
      </c>
      <c r="C72" s="112">
        <f ca="1">IF(RIGHT($A72,3)="000",SUMIF(BC[],MID($A72,1,1)&amp;"*",bc_2017),IF(RIGHT($A72,2)="00",SUMIF(BC[],MID($A72,1,2)&amp;"*",bc_2017),IF(RIGHT($A72,1)="0",SUMIF(BC[],MID($A72,1,3)&amp;"*",bc_2017),SUMIF(BC[],$A72,bc_2017))))</f>
        <v>12948932.159999998</v>
      </c>
      <c r="D72" s="112">
        <f ca="1">IF(RIGHT($A72,3)="000",SUMIF(BC[],MID($A72,1,1)&amp;"*",bc_2016),IF(RIGHT($A72,2)="00",SUMIF(BC[],MID($A72,1,2)&amp;"*",bc_2016),IF(RIGHT($A72,1)="0",SUMIF(BC[],MID($A72,1,3)&amp;"*",bc_2016),SUMIF(BC[],$A72,bc_2016))))</f>
        <v>12823516.859999999</v>
      </c>
      <c r="E72" s="157" t="s">
        <v>29</v>
      </c>
    </row>
    <row r="73" spans="1:5">
      <c r="A73" s="158">
        <v>1251</v>
      </c>
      <c r="B73" s="15" t="s">
        <v>449</v>
      </c>
      <c r="C73" s="112">
        <f ca="1">IF(RIGHT($A73,3)="000",SUMIF(BC[],MID($A73,1,1)&amp;"*",bc_2017),IF(RIGHT($A73,2)="00",SUMIF(BC[],MID($A73,1,2)&amp;"*",bc_2017),IF(RIGHT($A73,1)="0",SUMIF(BC[],MID($A73,1,3)&amp;"*",bc_2017),SUMIF(BC[],$A73,bc_2017))))</f>
        <v>12295170.92</v>
      </c>
      <c r="D73" s="112">
        <f ca="1">IF(RIGHT($A73,3)="000",SUMIF(BC[],MID($A73,1,1)&amp;"*",bc_2016),IF(RIGHT($A73,2)="00",SUMIF(BC[],MID($A73,1,2)&amp;"*",bc_2016),IF(RIGHT($A73,1)="0",SUMIF(BC[],MID($A73,1,3)&amp;"*",bc_2016),SUMIF(BC[],$A73,bc_2016))))</f>
        <v>12295170.92</v>
      </c>
      <c r="E73" s="157"/>
    </row>
    <row r="74" spans="1:5">
      <c r="A74" s="158">
        <v>1252</v>
      </c>
      <c r="B74" s="15" t="s">
        <v>450</v>
      </c>
      <c r="C74" s="112">
        <f ca="1">IF(RIGHT($A74,3)="000",SUMIF(BC[],MID($A74,1,1)&amp;"*",bc_2017),IF(RIGHT($A74,2)="00",SUMIF(BC[],MID($A74,1,2)&amp;"*",bc_2017),IF(RIGHT($A74,1)="0",SUMIF(BC[],MID($A74,1,3)&amp;"*",bc_2017),SUMIF(BC[],$A74,bc_2017))))</f>
        <v>653761.24</v>
      </c>
      <c r="D74" s="112">
        <f ca="1">IF(RIGHT($A74,3)="000",SUMIF(BC[],MID($A74,1,1)&amp;"*",bc_2016),IF(RIGHT($A74,2)="00",SUMIF(BC[],MID($A74,1,2)&amp;"*",bc_2016),IF(RIGHT($A74,1)="0",SUMIF(BC[],MID($A74,1,3)&amp;"*",bc_2016),SUMIF(BC[],$A74,bc_2016))))</f>
        <v>528345.94000000006</v>
      </c>
      <c r="E74" s="157"/>
    </row>
    <row r="75" spans="1:5">
      <c r="A75" s="158">
        <v>1253</v>
      </c>
      <c r="B75" s="15" t="s">
        <v>451</v>
      </c>
      <c r="C75" s="112">
        <f ca="1">IF(RIGHT($A75,3)="000",SUMIF(BC[],MID($A75,1,1)&amp;"*",bc_2017),IF(RIGHT($A75,2)="00",SUMIF(BC[],MID($A75,1,2)&amp;"*",bc_2017),IF(RIGHT($A75,1)="0",SUMIF(BC[],MID($A75,1,3)&amp;"*",bc_2017),SUMIF(BC[],$A75,bc_2017))))</f>
        <v>0</v>
      </c>
      <c r="D75" s="112">
        <f ca="1">IF(RIGHT($A75,3)="000",SUMIF(BC[],MID($A75,1,1)&amp;"*",bc_2016),IF(RIGHT($A75,2)="00",SUMIF(BC[],MID($A75,1,2)&amp;"*",bc_2016),IF(RIGHT($A75,1)="0",SUMIF(BC[],MID($A75,1,3)&amp;"*",bc_2016),SUMIF(BC[],$A75,bc_2016))))</f>
        <v>0</v>
      </c>
      <c r="E75" s="157"/>
    </row>
    <row r="76" spans="1:5">
      <c r="A76" s="158">
        <v>1254</v>
      </c>
      <c r="B76" s="15" t="s">
        <v>452</v>
      </c>
      <c r="C76" s="112">
        <f ca="1">IF(RIGHT($A76,3)="000",SUMIF(BC[],MID($A76,1,1)&amp;"*",bc_2017),IF(RIGHT($A76,2)="00",SUMIF(BC[],MID($A76,1,2)&amp;"*",bc_2017),IF(RIGHT($A76,1)="0",SUMIF(BC[],MID($A76,1,3)&amp;"*",bc_2017),SUMIF(BC[],$A76,bc_2017))))</f>
        <v>0</v>
      </c>
      <c r="D76" s="112">
        <f ca="1">IF(RIGHT($A76,3)="000",SUMIF(BC[],MID($A76,1,1)&amp;"*",bc_2016),IF(RIGHT($A76,2)="00",SUMIF(BC[],MID($A76,1,2)&amp;"*",bc_2016),IF(RIGHT($A76,1)="0",SUMIF(BC[],MID($A76,1,3)&amp;"*",bc_2016),SUMIF(BC[],$A76,bc_2016))))</f>
        <v>0</v>
      </c>
      <c r="E76" s="157"/>
    </row>
    <row r="77" spans="1:5">
      <c r="A77" s="158">
        <v>1259</v>
      </c>
      <c r="B77" s="15" t="s">
        <v>453</v>
      </c>
      <c r="C77" s="112">
        <f ca="1">IF(RIGHT($A77,3)="000",SUMIF(BC[],MID($A77,1,1)&amp;"*",bc_2017),IF(RIGHT($A77,2)="00",SUMIF(BC[],MID($A77,1,2)&amp;"*",bc_2017),IF(RIGHT($A77,1)="0",SUMIF(BC[],MID($A77,1,3)&amp;"*",bc_2017),SUMIF(BC[],$A77,bc_2017))))</f>
        <v>0</v>
      </c>
      <c r="D77" s="112">
        <f ca="1">IF(RIGHT($A77,3)="000",SUMIF(BC[],MID($A77,1,1)&amp;"*",bc_2016),IF(RIGHT($A77,2)="00",SUMIF(BC[],MID($A77,1,2)&amp;"*",bc_2016),IF(RIGHT($A77,1)="0",SUMIF(BC[],MID($A77,1,3)&amp;"*",bc_2016),SUMIF(BC[],$A77,bc_2016))))</f>
        <v>0</v>
      </c>
      <c r="E77" s="157"/>
    </row>
    <row r="78" spans="1:5">
      <c r="A78" s="158">
        <v>1260</v>
      </c>
      <c r="B78" s="15" t="s">
        <v>30</v>
      </c>
      <c r="C78" s="112">
        <f ca="1">IF(RIGHT($A78,3)="000",SUMIF(BC[],MID($A78,1,1)&amp;"*",bc_2017),IF(RIGHT($A78,2)="00",SUMIF(BC[],MID($A78,1,2)&amp;"*",bc_2017),IF(RIGHT($A78,1)="0",SUMIF(BC[],MID($A78,1,3)&amp;"*",bc_2017),SUMIF(BC[],$A78,bc_2017))))</f>
        <v>-10699176.560000001</v>
      </c>
      <c r="D78" s="112">
        <f ca="1">IF(RIGHT($A78,3)="000",SUMIF(BC[],MID($A78,1,1)&amp;"*",bc_2016),IF(RIGHT($A78,2)="00",SUMIF(BC[],MID($A78,1,2)&amp;"*",bc_2016),IF(RIGHT($A78,1)="0",SUMIF(BC[],MID($A78,1,3)&amp;"*",bc_2016),SUMIF(BC[],$A78,bc_2016))))</f>
        <v>-8858009.2199999988</v>
      </c>
      <c r="E78" s="157"/>
    </row>
    <row r="79" spans="1:5">
      <c r="A79" s="158">
        <v>1261</v>
      </c>
      <c r="B79" s="15" t="s">
        <v>454</v>
      </c>
      <c r="C79" s="112">
        <f ca="1">IF(RIGHT($A79,3)="000",SUMIF(BC[],MID($A79,1,1)&amp;"*",bc_2017),IF(RIGHT($A79,2)="00",SUMIF(BC[],MID($A79,1,2)&amp;"*",bc_2017),IF(RIGHT($A79,1)="0",SUMIF(BC[],MID($A79,1,3)&amp;"*",bc_2017),SUMIF(BC[],$A79,bc_2017))))</f>
        <v>0</v>
      </c>
      <c r="D79" s="112">
        <f ca="1">IF(RIGHT($A79,3)="000",SUMIF(BC[],MID($A79,1,1)&amp;"*",bc_2016),IF(RIGHT($A79,2)="00",SUMIF(BC[],MID($A79,1,2)&amp;"*",bc_2016),IF(RIGHT($A79,1)="0",SUMIF(BC[],MID($A79,1,3)&amp;"*",bc_2016),SUMIF(BC[],$A79,bc_2016))))</f>
        <v>0</v>
      </c>
      <c r="E79" s="157" t="s">
        <v>19</v>
      </c>
    </row>
    <row r="80" spans="1:5">
      <c r="A80" s="158">
        <v>1262</v>
      </c>
      <c r="B80" s="15" t="s">
        <v>455</v>
      </c>
      <c r="C80" s="112">
        <f ca="1">IF(RIGHT($A80,3)="000",SUMIF(BC[],MID($A80,1,1)&amp;"*",bc_2017),IF(RIGHT($A80,2)="00",SUMIF(BC[],MID($A80,1,2)&amp;"*",bc_2017),IF(RIGHT($A80,1)="0",SUMIF(BC[],MID($A80,1,3)&amp;"*",bc_2017),SUMIF(BC[],$A80,bc_2017))))</f>
        <v>0</v>
      </c>
      <c r="D80" s="112">
        <f ca="1">IF(RIGHT($A80,3)="000",SUMIF(BC[],MID($A80,1,1)&amp;"*",bc_2016),IF(RIGHT($A80,2)="00",SUMIF(BC[],MID($A80,1,2)&amp;"*",bc_2016),IF(RIGHT($A80,1)="0",SUMIF(BC[],MID($A80,1,3)&amp;"*",bc_2016),SUMIF(BC[],$A80,bc_2016))))</f>
        <v>0</v>
      </c>
      <c r="E80" s="157" t="s">
        <v>19</v>
      </c>
    </row>
    <row r="81" spans="1:5">
      <c r="A81" s="158">
        <v>1263</v>
      </c>
      <c r="B81" s="15" t="s">
        <v>456</v>
      </c>
      <c r="C81" s="112">
        <f ca="1">IF(RIGHT($A81,3)="000",SUMIF(BC[],MID($A81,1,1)&amp;"*",bc_2017),IF(RIGHT($A81,2)="00",SUMIF(BC[],MID($A81,1,2)&amp;"*",bc_2017),IF(RIGHT($A81,1)="0",SUMIF(BC[],MID($A81,1,3)&amp;"*",bc_2017),SUMIF(BC[],$A81,bc_2017))))</f>
        <v>-10699176.560000001</v>
      </c>
      <c r="D81" s="112">
        <f ca="1">IF(RIGHT($A81,3)="000",SUMIF(BC[],MID($A81,1,1)&amp;"*",bc_2016),IF(RIGHT($A81,2)="00",SUMIF(BC[],MID($A81,1,2)&amp;"*",bc_2016),IF(RIGHT($A81,1)="0",SUMIF(BC[],MID($A81,1,3)&amp;"*",bc_2016),SUMIF(BC[],$A81,bc_2016))))</f>
        <v>-8858009.2199999988</v>
      </c>
      <c r="E81" s="157" t="s">
        <v>19</v>
      </c>
    </row>
    <row r="82" spans="1:5">
      <c r="A82" s="158">
        <v>1264</v>
      </c>
      <c r="B82" s="15" t="s">
        <v>457</v>
      </c>
      <c r="C82" s="112">
        <f ca="1">IF(RIGHT($A82,3)="000",SUMIF(BC[],MID($A82,1,1)&amp;"*",bc_2017),IF(RIGHT($A82,2)="00",SUMIF(BC[],MID($A82,1,2)&amp;"*",bc_2017),IF(RIGHT($A82,1)="0",SUMIF(BC[],MID($A82,1,3)&amp;"*",bc_2017),SUMIF(BC[],$A82,bc_2017))))</f>
        <v>0</v>
      </c>
      <c r="D82" s="112">
        <f ca="1">IF(RIGHT($A82,3)="000",SUMIF(BC[],MID($A82,1,1)&amp;"*",bc_2016),IF(RIGHT($A82,2)="00",SUMIF(BC[],MID($A82,1,2)&amp;"*",bc_2016),IF(RIGHT($A82,1)="0",SUMIF(BC[],MID($A82,1,3)&amp;"*",bc_2016),SUMIF(BC[],$A82,bc_2016))))</f>
        <v>0</v>
      </c>
      <c r="E82" s="157" t="s">
        <v>19</v>
      </c>
    </row>
    <row r="83" spans="1:5">
      <c r="A83" s="158">
        <v>1265</v>
      </c>
      <c r="B83" s="15" t="s">
        <v>458</v>
      </c>
      <c r="C83" s="112">
        <f ca="1">IF(RIGHT($A83,3)="000",SUMIF(BC[],MID($A83,1,1)&amp;"*",bc_2017),IF(RIGHT($A83,2)="00",SUMIF(BC[],MID($A83,1,2)&amp;"*",bc_2017),IF(RIGHT($A83,1)="0",SUMIF(BC[],MID($A83,1,3)&amp;"*",bc_2017),SUMIF(BC[],$A83,bc_2017))))</f>
        <v>0</v>
      </c>
      <c r="D83" s="112">
        <f ca="1">IF(RIGHT($A83,3)="000",SUMIF(BC[],MID($A83,1,1)&amp;"*",bc_2016),IF(RIGHT($A83,2)="00",SUMIF(BC[],MID($A83,1,2)&amp;"*",bc_2016),IF(RIGHT($A83,1)="0",SUMIF(BC[],MID($A83,1,3)&amp;"*",bc_2016),SUMIF(BC[],$A83,bc_2016))))</f>
        <v>0</v>
      </c>
      <c r="E83" s="157" t="s">
        <v>29</v>
      </c>
    </row>
    <row r="84" spans="1:5">
      <c r="A84" s="158">
        <v>1270</v>
      </c>
      <c r="B84" s="15" t="s">
        <v>31</v>
      </c>
      <c r="C84" s="112">
        <f ca="1">IF(RIGHT($A84,3)="000",SUMIF(BC[],MID($A84,1,1)&amp;"*",bc_2017),IF(RIGHT($A84,2)="00",SUMIF(BC[],MID($A84,1,2)&amp;"*",bc_2017),IF(RIGHT($A84,1)="0",SUMIF(BC[],MID($A84,1,3)&amp;"*",bc_2017),SUMIF(BC[],$A84,bc_2017))))</f>
        <v>35200</v>
      </c>
      <c r="D84" s="112">
        <f ca="1">IF(RIGHT($A84,3)="000",SUMIF(BC[],MID($A84,1,1)&amp;"*",bc_2016),IF(RIGHT($A84,2)="00",SUMIF(BC[],MID($A84,1,2)&amp;"*",bc_2016),IF(RIGHT($A84,1)="0",SUMIF(BC[],MID($A84,1,3)&amp;"*",bc_2016),SUMIF(BC[],$A84,bc_2016))))</f>
        <v>45485.72</v>
      </c>
      <c r="E84" s="157" t="s">
        <v>29</v>
      </c>
    </row>
    <row r="85" spans="1:5">
      <c r="A85" s="158">
        <v>1271</v>
      </c>
      <c r="B85" s="15" t="s">
        <v>459</v>
      </c>
      <c r="C85" s="112">
        <f ca="1">IF(RIGHT($A85,3)="000",SUMIF(BC[],MID($A85,1,1)&amp;"*",bc_2017),IF(RIGHT($A85,2)="00",SUMIF(BC[],MID($A85,1,2)&amp;"*",bc_2017),IF(RIGHT($A85,1)="0",SUMIF(BC[],MID($A85,1,3)&amp;"*",bc_2017),SUMIF(BC[],$A85,bc_2017))))</f>
        <v>0</v>
      </c>
      <c r="D85" s="112">
        <f ca="1">IF(RIGHT($A85,3)="000",SUMIF(BC[],MID($A85,1,1)&amp;"*",bc_2016),IF(RIGHT($A85,2)="00",SUMIF(BC[],MID($A85,1,2)&amp;"*",bc_2016),IF(RIGHT($A85,1)="0",SUMIF(BC[],MID($A85,1,3)&amp;"*",bc_2016),SUMIF(BC[],$A85,bc_2016))))</f>
        <v>0</v>
      </c>
      <c r="E85" s="157"/>
    </row>
    <row r="86" spans="1:5">
      <c r="A86" s="158">
        <v>1272</v>
      </c>
      <c r="B86" s="15" t="s">
        <v>460</v>
      </c>
      <c r="C86" s="112">
        <f ca="1">IF(RIGHT($A86,3)="000",SUMIF(BC[],MID($A86,1,1)&amp;"*",bc_2017),IF(RIGHT($A86,2)="00",SUMIF(BC[],MID($A86,1,2)&amp;"*",bc_2017),IF(RIGHT($A86,1)="0",SUMIF(BC[],MID($A86,1,3)&amp;"*",bc_2017),SUMIF(BC[],$A86,bc_2017))))</f>
        <v>0</v>
      </c>
      <c r="D86" s="112">
        <f ca="1">IF(RIGHT($A86,3)="000",SUMIF(BC[],MID($A86,1,1)&amp;"*",bc_2016),IF(RIGHT($A86,2)="00",SUMIF(BC[],MID($A86,1,2)&amp;"*",bc_2016),IF(RIGHT($A86,1)="0",SUMIF(BC[],MID($A86,1,3)&amp;"*",bc_2016),SUMIF(BC[],$A86,bc_2016))))</f>
        <v>0</v>
      </c>
      <c r="E86" s="157"/>
    </row>
    <row r="87" spans="1:5">
      <c r="A87" s="158">
        <v>1273</v>
      </c>
      <c r="B87" s="15" t="s">
        <v>461</v>
      </c>
      <c r="C87" s="112">
        <f ca="1">IF(RIGHT($A87,3)="000",SUMIF(BC[],MID($A87,1,1)&amp;"*",bc_2017),IF(RIGHT($A87,2)="00",SUMIF(BC[],MID($A87,1,2)&amp;"*",bc_2017),IF(RIGHT($A87,1)="0",SUMIF(BC[],MID($A87,1,3)&amp;"*",bc_2017),SUMIF(BC[],$A87,bc_2017))))</f>
        <v>35200</v>
      </c>
      <c r="D87" s="112">
        <f ca="1">IF(RIGHT($A87,3)="000",SUMIF(BC[],MID($A87,1,1)&amp;"*",bc_2016),IF(RIGHT($A87,2)="00",SUMIF(BC[],MID($A87,1,2)&amp;"*",bc_2016),IF(RIGHT($A87,1)="0",SUMIF(BC[],MID($A87,1,3)&amp;"*",bc_2016),SUMIF(BC[],$A87,bc_2016))))</f>
        <v>45485.72</v>
      </c>
      <c r="E87" s="157"/>
    </row>
    <row r="88" spans="1:5">
      <c r="A88" s="158">
        <v>1274</v>
      </c>
      <c r="B88" s="15" t="s">
        <v>462</v>
      </c>
      <c r="C88" s="112">
        <f ca="1">IF(RIGHT($A88,3)="000",SUMIF(BC[],MID($A88,1,1)&amp;"*",bc_2017),IF(RIGHT($A88,2)="00",SUMIF(BC[],MID($A88,1,2)&amp;"*",bc_2017),IF(RIGHT($A88,1)="0",SUMIF(BC[],MID($A88,1,3)&amp;"*",bc_2017),SUMIF(BC[],$A88,bc_2017))))</f>
        <v>0</v>
      </c>
      <c r="D88" s="112">
        <f ca="1">IF(RIGHT($A88,3)="000",SUMIF(BC[],MID($A88,1,1)&amp;"*",bc_2016),IF(RIGHT($A88,2)="00",SUMIF(BC[],MID($A88,1,2)&amp;"*",bc_2016),IF(RIGHT($A88,1)="0",SUMIF(BC[],MID($A88,1,3)&amp;"*",bc_2016),SUMIF(BC[],$A88,bc_2016))))</f>
        <v>0</v>
      </c>
      <c r="E88" s="157"/>
    </row>
    <row r="89" spans="1:5">
      <c r="A89" s="158">
        <v>1275</v>
      </c>
      <c r="B89" s="15" t="s">
        <v>463</v>
      </c>
      <c r="C89" s="112">
        <f ca="1">IF(RIGHT($A89,3)="000",SUMIF(BC[],MID($A89,1,1)&amp;"*",bc_2017),IF(RIGHT($A89,2)="00",SUMIF(BC[],MID($A89,1,2)&amp;"*",bc_2017),IF(RIGHT($A89,1)="0",SUMIF(BC[],MID($A89,1,3)&amp;"*",bc_2017),SUMIF(BC[],$A89,bc_2017))))</f>
        <v>0</v>
      </c>
      <c r="D89" s="112">
        <f ca="1">IF(RIGHT($A89,3)="000",SUMIF(BC[],MID($A89,1,1)&amp;"*",bc_2016),IF(RIGHT($A89,2)="00",SUMIF(BC[],MID($A89,1,2)&amp;"*",bc_2016),IF(RIGHT($A89,1)="0",SUMIF(BC[],MID($A89,1,3)&amp;"*",bc_2016),SUMIF(BC[],$A89,bc_2016))))</f>
        <v>0</v>
      </c>
      <c r="E89" s="157"/>
    </row>
    <row r="90" spans="1:5">
      <c r="A90" s="158">
        <v>1279</v>
      </c>
      <c r="B90" s="15" t="s">
        <v>464</v>
      </c>
      <c r="C90" s="112">
        <f ca="1">IF(RIGHT($A90,3)="000",SUMIF(BC[],MID($A90,1,1)&amp;"*",bc_2017),IF(RIGHT($A90,2)="00",SUMIF(BC[],MID($A90,1,2)&amp;"*",bc_2017),IF(RIGHT($A90,1)="0",SUMIF(BC[],MID($A90,1,3)&amp;"*",bc_2017),SUMIF(BC[],$A90,bc_2017))))</f>
        <v>0</v>
      </c>
      <c r="D90" s="112">
        <f ca="1">IF(RIGHT($A90,3)="000",SUMIF(BC[],MID($A90,1,1)&amp;"*",bc_2016),IF(RIGHT($A90,2)="00",SUMIF(BC[],MID($A90,1,2)&amp;"*",bc_2016),IF(RIGHT($A90,1)="0",SUMIF(BC[],MID($A90,1,3)&amp;"*",bc_2016),SUMIF(BC[],$A90,bc_2016))))</f>
        <v>0</v>
      </c>
      <c r="E90" s="157"/>
    </row>
    <row r="91" spans="1:5">
      <c r="A91" s="158">
        <v>1280</v>
      </c>
      <c r="B91" s="15" t="s">
        <v>32</v>
      </c>
      <c r="C91" s="112">
        <f ca="1">IF(RIGHT($A91,3)="000",SUMIF(BC[],MID($A91,1,1)&amp;"*",bc_2017),IF(RIGHT($A91,2)="00",SUMIF(BC[],MID($A91,1,2)&amp;"*",bc_2017),IF(RIGHT($A91,1)="0",SUMIF(BC[],MID($A91,1,3)&amp;"*",bc_2017),SUMIF(BC[],$A91,bc_2017))))</f>
        <v>0</v>
      </c>
      <c r="D91" s="112">
        <f ca="1">IF(RIGHT($A91,3)="000",SUMIF(BC[],MID($A91,1,1)&amp;"*",bc_2016),IF(RIGHT($A91,2)="00",SUMIF(BC[],MID($A91,1,2)&amp;"*",bc_2016),IF(RIGHT($A91,1)="0",SUMIF(BC[],MID($A91,1,3)&amp;"*",bc_2016),SUMIF(BC[],$A91,bc_2016))))</f>
        <v>0</v>
      </c>
      <c r="E91" s="157" t="s">
        <v>33</v>
      </c>
    </row>
    <row r="92" spans="1:5">
      <c r="A92" s="158">
        <v>1281</v>
      </c>
      <c r="B92" s="15" t="s">
        <v>465</v>
      </c>
      <c r="C92" s="112">
        <f ca="1">IF(RIGHT($A92,3)="000",SUMIF(BC[],MID($A92,1,1)&amp;"*",bc_2017),IF(RIGHT($A92,2)="00",SUMIF(BC[],MID($A92,1,2)&amp;"*",bc_2017),IF(RIGHT($A92,1)="0",SUMIF(BC[],MID($A92,1,3)&amp;"*",bc_2017),SUMIF(BC[],$A92,bc_2017))))</f>
        <v>0</v>
      </c>
      <c r="D92" s="112">
        <f ca="1">IF(RIGHT($A92,3)="000",SUMIF(BC[],MID($A92,1,1)&amp;"*",bc_2016),IF(RIGHT($A92,2)="00",SUMIF(BC[],MID($A92,1,2)&amp;"*",bc_2016),IF(RIGHT($A92,1)="0",SUMIF(BC[],MID($A92,1,3)&amp;"*",bc_2016),SUMIF(BC[],$A92,bc_2016))))</f>
        <v>0</v>
      </c>
      <c r="E92" s="157"/>
    </row>
    <row r="93" spans="1:5">
      <c r="A93" s="158">
        <v>1282</v>
      </c>
      <c r="B93" s="15" t="s">
        <v>466</v>
      </c>
      <c r="C93" s="112">
        <f ca="1">IF(RIGHT($A93,3)="000",SUMIF(BC[],MID($A93,1,1)&amp;"*",bc_2017),IF(RIGHT($A93,2)="00",SUMIF(BC[],MID($A93,1,2)&amp;"*",bc_2017),IF(RIGHT($A93,1)="0",SUMIF(BC[],MID($A93,1,3)&amp;"*",bc_2017),SUMIF(BC[],$A93,bc_2017))))</f>
        <v>0</v>
      </c>
      <c r="D93" s="112">
        <f ca="1">IF(RIGHT($A93,3)="000",SUMIF(BC[],MID($A93,1,1)&amp;"*",bc_2016),IF(RIGHT($A93,2)="00",SUMIF(BC[],MID($A93,1,2)&amp;"*",bc_2016),IF(RIGHT($A93,1)="0",SUMIF(BC[],MID($A93,1,3)&amp;"*",bc_2016),SUMIF(BC[],$A93,bc_2016))))</f>
        <v>0</v>
      </c>
      <c r="E93" s="157"/>
    </row>
    <row r="94" spans="1:5">
      <c r="A94" s="158">
        <v>1283</v>
      </c>
      <c r="B94" s="15" t="s">
        <v>467</v>
      </c>
      <c r="C94" s="112">
        <f ca="1">IF(RIGHT($A94,3)="000",SUMIF(BC[],MID($A94,1,1)&amp;"*",bc_2017),IF(RIGHT($A94,2)="00",SUMIF(BC[],MID($A94,1,2)&amp;"*",bc_2017),IF(RIGHT($A94,1)="0",SUMIF(BC[],MID($A94,1,3)&amp;"*",bc_2017),SUMIF(BC[],$A94,bc_2017))))</f>
        <v>0</v>
      </c>
      <c r="D94" s="112">
        <f ca="1">IF(RIGHT($A94,3)="000",SUMIF(BC[],MID($A94,1,1)&amp;"*",bc_2016),IF(RIGHT($A94,2)="00",SUMIF(BC[],MID($A94,1,2)&amp;"*",bc_2016),IF(RIGHT($A94,1)="0",SUMIF(BC[],MID($A94,1,3)&amp;"*",bc_2016),SUMIF(BC[],$A94,bc_2016))))</f>
        <v>0</v>
      </c>
      <c r="E94" s="157"/>
    </row>
    <row r="95" spans="1:5">
      <c r="A95" s="158">
        <v>1284</v>
      </c>
      <c r="B95" s="15" t="s">
        <v>468</v>
      </c>
      <c r="C95" s="112">
        <f ca="1">IF(RIGHT($A95,3)="000",SUMIF(BC[],MID($A95,1,1)&amp;"*",bc_2017),IF(RIGHT($A95,2)="00",SUMIF(BC[],MID($A95,1,2)&amp;"*",bc_2017),IF(RIGHT($A95,1)="0",SUMIF(BC[],MID($A95,1,3)&amp;"*",bc_2017),SUMIF(BC[],$A95,bc_2017))))</f>
        <v>0</v>
      </c>
      <c r="D95" s="112">
        <f ca="1">IF(RIGHT($A95,3)="000",SUMIF(BC[],MID($A95,1,1)&amp;"*",bc_2016),IF(RIGHT($A95,2)="00",SUMIF(BC[],MID($A95,1,2)&amp;"*",bc_2016),IF(RIGHT($A95,1)="0",SUMIF(BC[],MID($A95,1,3)&amp;"*",bc_2016),SUMIF(BC[],$A95,bc_2016))))</f>
        <v>0</v>
      </c>
      <c r="E95" s="157"/>
    </row>
    <row r="96" spans="1:5">
      <c r="A96" s="158">
        <v>1289</v>
      </c>
      <c r="B96" s="15" t="s">
        <v>469</v>
      </c>
      <c r="C96" s="112">
        <f ca="1">IF(RIGHT($A96,3)="000",SUMIF(BC[],MID($A96,1,1)&amp;"*",bc_2017),IF(RIGHT($A96,2)="00",SUMIF(BC[],MID($A96,1,2)&amp;"*",bc_2017),IF(RIGHT($A96,1)="0",SUMIF(BC[],MID($A96,1,3)&amp;"*",bc_2017),SUMIF(BC[],$A96,bc_2017))))</f>
        <v>0</v>
      </c>
      <c r="D96" s="112">
        <f ca="1">IF(RIGHT($A96,3)="000",SUMIF(BC[],MID($A96,1,1)&amp;"*",bc_2016),IF(RIGHT($A96,2)="00",SUMIF(BC[],MID($A96,1,2)&amp;"*",bc_2016),IF(RIGHT($A96,1)="0",SUMIF(BC[],MID($A96,1,3)&amp;"*",bc_2016),SUMIF(BC[],$A96,bc_2016))))</f>
        <v>0</v>
      </c>
      <c r="E96" s="157"/>
    </row>
    <row r="97" spans="1:5">
      <c r="A97" s="158">
        <v>1290</v>
      </c>
      <c r="B97" s="15" t="s">
        <v>34</v>
      </c>
      <c r="C97" s="112">
        <f ca="1">IF(RIGHT($A97,3)="000",SUMIF(BC[],MID($A97,1,1)&amp;"*",bc_2017),IF(RIGHT($A97,2)="00",SUMIF(BC[],MID($A97,1,2)&amp;"*",bc_2017),IF(RIGHT($A97,1)="0",SUMIF(BC[],MID($A97,1,3)&amp;"*",bc_2017),SUMIF(BC[],$A97,bc_2017))))</f>
        <v>0</v>
      </c>
      <c r="D97" s="112">
        <f ca="1">IF(RIGHT($A97,3)="000",SUMIF(BC[],MID($A97,1,1)&amp;"*",bc_2016),IF(RIGHT($A97,2)="00",SUMIF(BC[],MID($A97,1,2)&amp;"*",bc_2016),IF(RIGHT($A97,1)="0",SUMIF(BC[],MID($A97,1,3)&amp;"*",bc_2016),SUMIF(BC[],$A97,bc_2016))))</f>
        <v>0</v>
      </c>
      <c r="E97" s="157" t="s">
        <v>14</v>
      </c>
    </row>
    <row r="98" spans="1:5">
      <c r="A98" s="158">
        <v>1291</v>
      </c>
      <c r="B98" s="15" t="s">
        <v>470</v>
      </c>
      <c r="C98" s="112">
        <f ca="1">IF(RIGHT($A98,3)="000",SUMIF(BC[],MID($A98,1,1)&amp;"*",bc_2017),IF(RIGHT($A98,2)="00",SUMIF(BC[],MID($A98,1,2)&amp;"*",bc_2017),IF(RIGHT($A98,1)="0",SUMIF(BC[],MID($A98,1,3)&amp;"*",bc_2017),SUMIF(BC[],$A98,bc_2017))))</f>
        <v>0</v>
      </c>
      <c r="D98" s="112">
        <f ca="1">IF(RIGHT($A98,3)="000",SUMIF(BC[],MID($A98,1,1)&amp;"*",bc_2016),IF(RIGHT($A98,2)="00",SUMIF(BC[],MID($A98,1,2)&amp;"*",bc_2016),IF(RIGHT($A98,1)="0",SUMIF(BC[],MID($A98,1,3)&amp;"*",bc_2016),SUMIF(BC[],$A98,bc_2016))))</f>
        <v>0</v>
      </c>
      <c r="E98" s="157"/>
    </row>
    <row r="99" spans="1:5">
      <c r="A99" s="158">
        <v>1292</v>
      </c>
      <c r="B99" s="15" t="s">
        <v>471</v>
      </c>
      <c r="C99" s="112">
        <f ca="1">IF(RIGHT($A99,3)="000",SUMIF(BC[],MID($A99,1,1)&amp;"*",bc_2017),IF(RIGHT($A99,2)="00",SUMIF(BC[],MID($A99,1,2)&amp;"*",bc_2017),IF(RIGHT($A99,1)="0",SUMIF(BC[],MID($A99,1,3)&amp;"*",bc_2017),SUMIF(BC[],$A99,bc_2017))))</f>
        <v>0</v>
      </c>
      <c r="D99" s="112">
        <f ca="1">IF(RIGHT($A99,3)="000",SUMIF(BC[],MID($A99,1,1)&amp;"*",bc_2016),IF(RIGHT($A99,2)="00",SUMIF(BC[],MID($A99,1,2)&amp;"*",bc_2016),IF(RIGHT($A99,1)="0",SUMIF(BC[],MID($A99,1,3)&amp;"*",bc_2016),SUMIF(BC[],$A99,bc_2016))))</f>
        <v>0</v>
      </c>
      <c r="E99" s="157"/>
    </row>
    <row r="100" spans="1:5">
      <c r="A100" s="158">
        <v>1293</v>
      </c>
      <c r="B100" s="15" t="s">
        <v>472</v>
      </c>
      <c r="C100" s="112">
        <f ca="1">IF(RIGHT($A100,3)="000",SUMIF(BC[],MID($A100,1,1)&amp;"*",bc_2017),IF(RIGHT($A100,2)="00",SUMIF(BC[],MID($A100,1,2)&amp;"*",bc_2017),IF(RIGHT($A100,1)="0",SUMIF(BC[],MID($A100,1,3)&amp;"*",bc_2017),SUMIF(BC[],$A100,bc_2017))))</f>
        <v>0</v>
      </c>
      <c r="D100" s="112">
        <f ca="1">IF(RIGHT($A100,3)="000",SUMIF(BC[],MID($A100,1,1)&amp;"*",bc_2016),IF(RIGHT($A100,2)="00",SUMIF(BC[],MID($A100,1,2)&amp;"*",bc_2016),IF(RIGHT($A100,1)="0",SUMIF(BC[],MID($A100,1,3)&amp;"*",bc_2016),SUMIF(BC[],$A100,bc_2016))))</f>
        <v>0</v>
      </c>
      <c r="E100" s="157"/>
    </row>
    <row r="101" spans="1:5" s="154" customFormat="1">
      <c r="A101" s="155">
        <v>2000</v>
      </c>
      <c r="B101" s="14" t="s">
        <v>35</v>
      </c>
      <c r="C101" s="112">
        <f ca="1">-IF(RIGHT($A101,3)="000",SUMIF(BC[],MID($A101,1,1)&amp;"*",bc_2017),IF(RIGHT($A101,2)="00",SUMIF(BC[],MID($A101,1,2)&amp;"*",bc_2017),IF(RIGHT($A101,1)="0",SUMIF(BC[],MID($A101,1,3)&amp;"*",bc_2017),SUMIF(BC[],$A101,bc_2017))))</f>
        <v>7271230.9600000009</v>
      </c>
      <c r="D101" s="112">
        <f ca="1">-IF(RIGHT($A101,3)="000",SUMIF(BC[],MID($A101,1,1)&amp;"*",bc_2016),IF(RIGHT($A101,2)="00",SUMIF(BC[],MID($A101,1,2)&amp;"*",bc_2016),IF(RIGHT($A101,1)="0",SUMIF(BC[],MID($A101,1,3)&amp;"*",bc_2016),SUMIF(BC[],$A101,bc_2016))))</f>
        <v>5457146.0099999998</v>
      </c>
      <c r="E101" s="160"/>
    </row>
    <row r="102" spans="1:5">
      <c r="A102" s="155">
        <v>2100</v>
      </c>
      <c r="B102" s="14" t="s">
        <v>36</v>
      </c>
      <c r="C102" s="112">
        <f ca="1">-IF(RIGHT($A102,3)="000",SUMIF(BC[],MID($A102,1,1)&amp;"*",bc_2017),IF(RIGHT($A102,2)="00",SUMIF(BC[],MID($A102,1,2)&amp;"*",bc_2017),IF(RIGHT($A102,1)="0",SUMIF(BC[],MID($A102,1,3)&amp;"*",bc_2017),SUMIF(BC[],$A102,bc_2017))))</f>
        <v>5037258.57</v>
      </c>
      <c r="D102" s="112">
        <f ca="1">-IF(RIGHT($A102,3)="000",SUMIF(BC[],MID($A102,1,1)&amp;"*",bc_2016),IF(RIGHT($A102,2)="00",SUMIF(BC[],MID($A102,1,2)&amp;"*",bc_2016),IF(RIGHT($A102,1)="0",SUMIF(BC[],MID($A102,1,3)&amp;"*",bc_2016),SUMIF(BC[],$A102,bc_2016))))</f>
        <v>3398732.3299999996</v>
      </c>
      <c r="E102" s="157"/>
    </row>
    <row r="103" spans="1:5">
      <c r="A103" s="158">
        <v>2110</v>
      </c>
      <c r="B103" s="15" t="s">
        <v>37</v>
      </c>
      <c r="C103" s="112">
        <f ca="1">-IF(RIGHT($A103,3)="000",SUMIF(BC[],MID($A103,1,1)&amp;"*",bc_2017),IF(RIGHT($A103,2)="00",SUMIF(BC[],MID($A103,1,2)&amp;"*",bc_2017),IF(RIGHT($A103,1)="0",SUMIF(BC[],MID($A103,1,3)&amp;"*",bc_2017),SUMIF(BC[],$A103,bc_2017))))</f>
        <v>5018758.57</v>
      </c>
      <c r="D103" s="112">
        <f ca="1">-IF(RIGHT($A103,3)="000",SUMIF(BC[],MID($A103,1,1)&amp;"*",bc_2016),IF(RIGHT($A103,2)="00",SUMIF(BC[],MID($A103,1,2)&amp;"*",bc_2016),IF(RIGHT($A103,1)="0",SUMIF(BC[],MID($A103,1,3)&amp;"*",bc_2016),SUMIF(BC[],$A103,bc_2016))))</f>
        <v>3380232.3299999996</v>
      </c>
      <c r="E103" s="157" t="s">
        <v>38</v>
      </c>
    </row>
    <row r="104" spans="1:5">
      <c r="A104" s="158">
        <v>2111</v>
      </c>
      <c r="B104" s="15" t="s">
        <v>473</v>
      </c>
      <c r="C104" s="112">
        <f ca="1">-IF(RIGHT($A104,3)="000",SUMIF(BC[],MID($A104,1,1)&amp;"*",bc_2017),IF(RIGHT($A104,2)="00",SUMIF(BC[],MID($A104,1,2)&amp;"*",bc_2017),IF(RIGHT($A104,1)="0",SUMIF(BC[],MID($A104,1,3)&amp;"*",bc_2017),SUMIF(BC[],$A104,bc_2017))))</f>
        <v>1186099.8500000001</v>
      </c>
      <c r="D104" s="112">
        <f ca="1">-IF(RIGHT($A104,3)="000",SUMIF(BC[],MID($A104,1,1)&amp;"*",bc_2016),IF(RIGHT($A104,2)="00",SUMIF(BC[],MID($A104,1,2)&amp;"*",bc_2016),IF(RIGHT($A104,1)="0",SUMIF(BC[],MID($A104,1,3)&amp;"*",bc_2016),SUMIF(BC[],$A104,bc_2016))))</f>
        <v>44312.2</v>
      </c>
      <c r="E104" s="157"/>
    </row>
    <row r="105" spans="1:5">
      <c r="A105" s="158">
        <v>2112</v>
      </c>
      <c r="B105" s="15" t="s">
        <v>474</v>
      </c>
      <c r="C105" s="112">
        <f ca="1">-IF(RIGHT($A105,3)="000",SUMIF(BC[],MID($A105,1,1)&amp;"*",bc_2017),IF(RIGHT($A105,2)="00",SUMIF(BC[],MID($A105,1,2)&amp;"*",bc_2017),IF(RIGHT($A105,1)="0",SUMIF(BC[],MID($A105,1,3)&amp;"*",bc_2017),SUMIF(BC[],$A105,bc_2017))))</f>
        <v>135009</v>
      </c>
      <c r="D105" s="112">
        <f ca="1">-IF(RIGHT($A105,3)="000",SUMIF(BC[],MID($A105,1,1)&amp;"*",bc_2016),IF(RIGHT($A105,2)="00",SUMIF(BC[],MID($A105,1,2)&amp;"*",bc_2016),IF(RIGHT($A105,1)="0",SUMIF(BC[],MID($A105,1,3)&amp;"*",bc_2016),SUMIF(BC[],$A105,bc_2016))))</f>
        <v>168006.59999999998</v>
      </c>
      <c r="E105" s="157"/>
    </row>
    <row r="106" spans="1:5">
      <c r="A106" s="158">
        <v>2113</v>
      </c>
      <c r="B106" s="15" t="s">
        <v>475</v>
      </c>
      <c r="C106" s="112">
        <f ca="1">-IF(RIGHT($A106,3)="000",SUMIF(BC[],MID($A106,1,1)&amp;"*",bc_2017),IF(RIGHT($A106,2)="00",SUMIF(BC[],MID($A106,1,2)&amp;"*",bc_2017),IF(RIGHT($A106,1)="0",SUMIF(BC[],MID($A106,1,3)&amp;"*",bc_2017),SUMIF(BC[],$A106,bc_2017))))</f>
        <v>0</v>
      </c>
      <c r="D106" s="112">
        <f ca="1">-IF(RIGHT($A106,3)="000",SUMIF(BC[],MID($A106,1,1)&amp;"*",bc_2016),IF(RIGHT($A106,2)="00",SUMIF(BC[],MID($A106,1,2)&amp;"*",bc_2016),IF(RIGHT($A106,1)="0",SUMIF(BC[],MID($A106,1,3)&amp;"*",bc_2016),SUMIF(BC[],$A106,bc_2016))))</f>
        <v>0</v>
      </c>
      <c r="E106" s="157"/>
    </row>
    <row r="107" spans="1:5">
      <c r="A107" s="158">
        <v>2114</v>
      </c>
      <c r="B107" s="15" t="s">
        <v>476</v>
      </c>
      <c r="C107" s="112">
        <f ca="1">-IF(RIGHT($A107,3)="000",SUMIF(BC[],MID($A107,1,1)&amp;"*",bc_2017),IF(RIGHT($A107,2)="00",SUMIF(BC[],MID($A107,1,2)&amp;"*",bc_2017),IF(RIGHT($A107,1)="0",SUMIF(BC[],MID($A107,1,3)&amp;"*",bc_2017),SUMIF(BC[],$A107,bc_2017))))</f>
        <v>0</v>
      </c>
      <c r="D107" s="112">
        <f ca="1">-IF(RIGHT($A107,3)="000",SUMIF(BC[],MID($A107,1,1)&amp;"*",bc_2016),IF(RIGHT($A107,2)="00",SUMIF(BC[],MID($A107,1,2)&amp;"*",bc_2016),IF(RIGHT($A107,1)="0",SUMIF(BC[],MID($A107,1,3)&amp;"*",bc_2016),SUMIF(BC[],$A107,bc_2016))))</f>
        <v>0</v>
      </c>
      <c r="E107" s="157"/>
    </row>
    <row r="108" spans="1:5">
      <c r="A108" s="158">
        <v>2115</v>
      </c>
      <c r="B108" s="15" t="s">
        <v>477</v>
      </c>
      <c r="C108" s="112">
        <f ca="1">-IF(RIGHT($A108,3)="000",SUMIF(BC[],MID($A108,1,1)&amp;"*",bc_2017),IF(RIGHT($A108,2)="00",SUMIF(BC[],MID($A108,1,2)&amp;"*",bc_2017),IF(RIGHT($A108,1)="0",SUMIF(BC[],MID($A108,1,3)&amp;"*",bc_2017),SUMIF(BC[],$A108,bc_2017))))</f>
        <v>0</v>
      </c>
      <c r="D108" s="112">
        <f ca="1">-IF(RIGHT($A108,3)="000",SUMIF(BC[],MID($A108,1,1)&amp;"*",bc_2016),IF(RIGHT($A108,2)="00",SUMIF(BC[],MID($A108,1,2)&amp;"*",bc_2016),IF(RIGHT($A108,1)="0",SUMIF(BC[],MID($A108,1,3)&amp;"*",bc_2016),SUMIF(BC[],$A108,bc_2016))))</f>
        <v>0</v>
      </c>
      <c r="E108" s="157"/>
    </row>
    <row r="109" spans="1:5">
      <c r="A109" s="158">
        <v>2116</v>
      </c>
      <c r="B109" s="15" t="s">
        <v>478</v>
      </c>
      <c r="C109" s="112">
        <f ca="1">-IF(RIGHT($A109,3)="000",SUMIF(BC[],MID($A109,1,1)&amp;"*",bc_2017),IF(RIGHT($A109,2)="00",SUMIF(BC[],MID($A109,1,2)&amp;"*",bc_2017),IF(RIGHT($A109,1)="0",SUMIF(BC[],MID($A109,1,3)&amp;"*",bc_2017),SUMIF(BC[],$A109,bc_2017))))</f>
        <v>0</v>
      </c>
      <c r="D109" s="112">
        <f ca="1">-IF(RIGHT($A109,3)="000",SUMIF(BC[],MID($A109,1,1)&amp;"*",bc_2016),IF(RIGHT($A109,2)="00",SUMIF(BC[],MID($A109,1,2)&amp;"*",bc_2016),IF(RIGHT($A109,1)="0",SUMIF(BC[],MID($A109,1,3)&amp;"*",bc_2016),SUMIF(BC[],$A109,bc_2016))))</f>
        <v>0</v>
      </c>
      <c r="E109" s="157"/>
    </row>
    <row r="110" spans="1:5">
      <c r="A110" s="158">
        <v>2117</v>
      </c>
      <c r="B110" s="15" t="s">
        <v>479</v>
      </c>
      <c r="C110" s="112">
        <f ca="1">-IF(RIGHT($A110,3)="000",SUMIF(BC[],MID($A110,1,1)&amp;"*",bc_2017),IF(RIGHT($A110,2)="00",SUMIF(BC[],MID($A110,1,2)&amp;"*",bc_2017),IF(RIGHT($A110,1)="0",SUMIF(BC[],MID($A110,1,3)&amp;"*",bc_2017),SUMIF(BC[],$A110,bc_2017))))</f>
        <v>3697649.72</v>
      </c>
      <c r="D110" s="112">
        <f ca="1">-IF(RIGHT($A110,3)="000",SUMIF(BC[],MID($A110,1,1)&amp;"*",bc_2016),IF(RIGHT($A110,2)="00",SUMIF(BC[],MID($A110,1,2)&amp;"*",bc_2016),IF(RIGHT($A110,1)="0",SUMIF(BC[],MID($A110,1,3)&amp;"*",bc_2016),SUMIF(BC[],$A110,bc_2016))))</f>
        <v>3137332.29</v>
      </c>
      <c r="E110" s="157"/>
    </row>
    <row r="111" spans="1:5">
      <c r="A111" s="158">
        <v>2118</v>
      </c>
      <c r="B111" s="15" t="s">
        <v>480</v>
      </c>
      <c r="C111" s="112">
        <f ca="1">-IF(RIGHT($A111,3)="000",SUMIF(BC[],MID($A111,1,1)&amp;"*",bc_2017),IF(RIGHT($A111,2)="00",SUMIF(BC[],MID($A111,1,2)&amp;"*",bc_2017),IF(RIGHT($A111,1)="0",SUMIF(BC[],MID($A111,1,3)&amp;"*",bc_2017),SUMIF(BC[],$A111,bc_2017))))</f>
        <v>0</v>
      </c>
      <c r="D111" s="112">
        <f ca="1">-IF(RIGHT($A111,3)="000",SUMIF(BC[],MID($A111,1,1)&amp;"*",bc_2016),IF(RIGHT($A111,2)="00",SUMIF(BC[],MID($A111,1,2)&amp;"*",bc_2016),IF(RIGHT($A111,1)="0",SUMIF(BC[],MID($A111,1,3)&amp;"*",bc_2016),SUMIF(BC[],$A111,bc_2016))))</f>
        <v>0</v>
      </c>
      <c r="E111" s="157"/>
    </row>
    <row r="112" spans="1:5">
      <c r="A112" s="158">
        <v>2119</v>
      </c>
      <c r="B112" s="15" t="s">
        <v>481</v>
      </c>
      <c r="C112" s="112">
        <f ca="1">-IF(RIGHT($A112,3)="000",SUMIF(BC[],MID($A112,1,1)&amp;"*",bc_2017),IF(RIGHT($A112,2)="00",SUMIF(BC[],MID($A112,1,2)&amp;"*",bc_2017),IF(RIGHT($A112,1)="0",SUMIF(BC[],MID($A112,1,3)&amp;"*",bc_2017),SUMIF(BC[],$A112,bc_2017))))</f>
        <v>0</v>
      </c>
      <c r="D112" s="112">
        <f ca="1">-IF(RIGHT($A112,3)="000",SUMIF(BC[],MID($A112,1,1)&amp;"*",bc_2016),IF(RIGHT($A112,2)="00",SUMIF(BC[],MID($A112,1,2)&amp;"*",bc_2016),IF(RIGHT($A112,1)="0",SUMIF(BC[],MID($A112,1,3)&amp;"*",bc_2016),SUMIF(BC[],$A112,bc_2016))))</f>
        <v>30581.239999999998</v>
      </c>
      <c r="E112" s="157"/>
    </row>
    <row r="113" spans="1:5">
      <c r="A113" s="158">
        <v>2120</v>
      </c>
      <c r="B113" s="15" t="s">
        <v>39</v>
      </c>
      <c r="C113" s="112">
        <f ca="1">-IF(RIGHT($A113,3)="000",SUMIF(BC[],MID($A113,1,1)&amp;"*",bc_2017),IF(RIGHT($A113,2)="00",SUMIF(BC[],MID($A113,1,2)&amp;"*",bc_2017),IF(RIGHT($A113,1)="0",SUMIF(BC[],MID($A113,1,3)&amp;"*",bc_2017),SUMIF(BC[],$A113,bc_2017))))</f>
        <v>0</v>
      </c>
      <c r="D113" s="112">
        <f ca="1">-IF(RIGHT($A113,3)="000",SUMIF(BC[],MID($A113,1,1)&amp;"*",bc_2016),IF(RIGHT($A113,2)="00",SUMIF(BC[],MID($A113,1,2)&amp;"*",bc_2016),IF(RIGHT($A113,1)="0",SUMIF(BC[],MID($A113,1,3)&amp;"*",bc_2016),SUMIF(BC[],$A113,bc_2016))))</f>
        <v>0</v>
      </c>
      <c r="E113" s="157" t="s">
        <v>38</v>
      </c>
    </row>
    <row r="114" spans="1:5">
      <c r="A114" s="158">
        <v>2121</v>
      </c>
      <c r="B114" s="15" t="s">
        <v>482</v>
      </c>
      <c r="C114" s="112">
        <f ca="1">-IF(RIGHT($A114,3)="000",SUMIF(BC[],MID($A114,1,1)&amp;"*",bc_2017),IF(RIGHT($A114,2)="00",SUMIF(BC[],MID($A114,1,2)&amp;"*",bc_2017),IF(RIGHT($A114,1)="0",SUMIF(BC[],MID($A114,1,3)&amp;"*",bc_2017),SUMIF(BC[],$A114,bc_2017))))</f>
        <v>0</v>
      </c>
      <c r="D114" s="112">
        <f ca="1">-IF(RIGHT($A114,3)="000",SUMIF(BC[],MID($A114,1,1)&amp;"*",bc_2016),IF(RIGHT($A114,2)="00",SUMIF(BC[],MID($A114,1,2)&amp;"*",bc_2016),IF(RIGHT($A114,1)="0",SUMIF(BC[],MID($A114,1,3)&amp;"*",bc_2016),SUMIF(BC[],$A114,bc_2016))))</f>
        <v>0</v>
      </c>
      <c r="E114" s="157"/>
    </row>
    <row r="115" spans="1:5">
      <c r="A115" s="158">
        <v>2122</v>
      </c>
      <c r="B115" s="15" t="s">
        <v>483</v>
      </c>
      <c r="C115" s="112">
        <f ca="1">-IF(RIGHT($A115,3)="000",SUMIF(BC[],MID($A115,1,1)&amp;"*",bc_2017),IF(RIGHT($A115,2)="00",SUMIF(BC[],MID($A115,1,2)&amp;"*",bc_2017),IF(RIGHT($A115,1)="0",SUMIF(BC[],MID($A115,1,3)&amp;"*",bc_2017),SUMIF(BC[],$A115,bc_2017))))</f>
        <v>0</v>
      </c>
      <c r="D115" s="112">
        <f ca="1">-IF(RIGHT($A115,3)="000",SUMIF(BC[],MID($A115,1,1)&amp;"*",bc_2016),IF(RIGHT($A115,2)="00",SUMIF(BC[],MID($A115,1,2)&amp;"*",bc_2016),IF(RIGHT($A115,1)="0",SUMIF(BC[],MID($A115,1,3)&amp;"*",bc_2016),SUMIF(BC[],$A115,bc_2016))))</f>
        <v>0</v>
      </c>
      <c r="E115" s="157"/>
    </row>
    <row r="116" spans="1:5">
      <c r="A116" s="158">
        <v>2129</v>
      </c>
      <c r="B116" s="15" t="s">
        <v>484</v>
      </c>
      <c r="C116" s="112">
        <f ca="1">-IF(RIGHT($A116,3)="000",SUMIF(BC[],MID($A116,1,1)&amp;"*",bc_2017),IF(RIGHT($A116,2)="00",SUMIF(BC[],MID($A116,1,2)&amp;"*",bc_2017),IF(RIGHT($A116,1)="0",SUMIF(BC[],MID($A116,1,3)&amp;"*",bc_2017),SUMIF(BC[],$A116,bc_2017))))</f>
        <v>0</v>
      </c>
      <c r="D116" s="112">
        <f ca="1">-IF(RIGHT($A116,3)="000",SUMIF(BC[],MID($A116,1,1)&amp;"*",bc_2016),IF(RIGHT($A116,2)="00",SUMIF(BC[],MID($A116,1,2)&amp;"*",bc_2016),IF(RIGHT($A116,1)="0",SUMIF(BC[],MID($A116,1,3)&amp;"*",bc_2016),SUMIF(BC[],$A116,bc_2016))))</f>
        <v>0</v>
      </c>
      <c r="E116" s="157"/>
    </row>
    <row r="117" spans="1:5">
      <c r="A117" s="158">
        <v>2130</v>
      </c>
      <c r="B117" s="15" t="s">
        <v>40</v>
      </c>
      <c r="C117" s="112">
        <f ca="1">-IF(RIGHT($A117,3)="000",SUMIF(BC[],MID($A117,1,1)&amp;"*",bc_2017),IF(RIGHT($A117,2)="00",SUMIF(BC[],MID($A117,1,2)&amp;"*",bc_2017),IF(RIGHT($A117,1)="0",SUMIF(BC[],MID($A117,1,3)&amp;"*",bc_2017),SUMIF(BC[],$A117,bc_2017))))</f>
        <v>0</v>
      </c>
      <c r="D117" s="112">
        <f ca="1">-IF(RIGHT($A117,3)="000",SUMIF(BC[],MID($A117,1,1)&amp;"*",bc_2016),IF(RIGHT($A117,2)="00",SUMIF(BC[],MID($A117,1,2)&amp;"*",bc_2016),IF(RIGHT($A117,1)="0",SUMIF(BC[],MID($A117,1,3)&amp;"*",bc_2016),SUMIF(BC[],$A117,bc_2016))))</f>
        <v>0</v>
      </c>
      <c r="E117" s="157" t="s">
        <v>52</v>
      </c>
    </row>
    <row r="118" spans="1:5">
      <c r="A118" s="158">
        <v>2131</v>
      </c>
      <c r="B118" s="15" t="s">
        <v>485</v>
      </c>
      <c r="C118" s="112">
        <f ca="1">-IF(RIGHT($A118,3)="000",SUMIF(BC[],MID($A118,1,1)&amp;"*",bc_2017),IF(RIGHT($A118,2)="00",SUMIF(BC[],MID($A118,1,2)&amp;"*",bc_2017),IF(RIGHT($A118,1)="0",SUMIF(BC[],MID($A118,1,3)&amp;"*",bc_2017),SUMIF(BC[],$A118,bc_2017))))</f>
        <v>0</v>
      </c>
      <c r="D118" s="112">
        <f ca="1">-IF(RIGHT($A118,3)="000",SUMIF(BC[],MID($A118,1,1)&amp;"*",bc_2016),IF(RIGHT($A118,2)="00",SUMIF(BC[],MID($A118,1,2)&amp;"*",bc_2016),IF(RIGHT($A118,1)="0",SUMIF(BC[],MID($A118,1,3)&amp;"*",bc_2016),SUMIF(BC[],$A118,bc_2016))))</f>
        <v>0</v>
      </c>
      <c r="E118" s="157"/>
    </row>
    <row r="119" spans="1:5">
      <c r="A119" s="158">
        <v>2132</v>
      </c>
      <c r="B119" s="15" t="s">
        <v>486</v>
      </c>
      <c r="C119" s="112">
        <f ca="1">-IF(RIGHT($A119,3)="000",SUMIF(BC[],MID($A119,1,1)&amp;"*",bc_2017),IF(RIGHT($A119,2)="00",SUMIF(BC[],MID($A119,1,2)&amp;"*",bc_2017),IF(RIGHT($A119,1)="0",SUMIF(BC[],MID($A119,1,3)&amp;"*",bc_2017),SUMIF(BC[],$A119,bc_2017))))</f>
        <v>0</v>
      </c>
      <c r="D119" s="112">
        <f ca="1">-IF(RIGHT($A119,3)="000",SUMIF(BC[],MID($A119,1,1)&amp;"*",bc_2016),IF(RIGHT($A119,2)="00",SUMIF(BC[],MID($A119,1,2)&amp;"*",bc_2016),IF(RIGHT($A119,1)="0",SUMIF(BC[],MID($A119,1,3)&amp;"*",bc_2016),SUMIF(BC[],$A119,bc_2016))))</f>
        <v>0</v>
      </c>
      <c r="E119" s="157"/>
    </row>
    <row r="120" spans="1:5">
      <c r="A120" s="158">
        <v>2133</v>
      </c>
      <c r="B120" s="15" t="s">
        <v>487</v>
      </c>
      <c r="C120" s="112">
        <f ca="1">-IF(RIGHT($A120,3)="000",SUMIF(BC[],MID($A120,1,1)&amp;"*",bc_2017),IF(RIGHT($A120,2)="00",SUMIF(BC[],MID($A120,1,2)&amp;"*",bc_2017),IF(RIGHT($A120,1)="0",SUMIF(BC[],MID($A120,1,3)&amp;"*",bc_2017),SUMIF(BC[],$A120,bc_2017))))</f>
        <v>0</v>
      </c>
      <c r="D120" s="112">
        <f ca="1">-IF(RIGHT($A120,3)="000",SUMIF(BC[],MID($A120,1,1)&amp;"*",bc_2016),IF(RIGHT($A120,2)="00",SUMIF(BC[],MID($A120,1,2)&amp;"*",bc_2016),IF(RIGHT($A120,1)="0",SUMIF(BC[],MID($A120,1,3)&amp;"*",bc_2016),SUMIF(BC[],$A120,bc_2016))))</f>
        <v>0</v>
      </c>
      <c r="E120" s="157"/>
    </row>
    <row r="121" spans="1:5">
      <c r="A121" s="158">
        <v>2140</v>
      </c>
      <c r="B121" s="15" t="s">
        <v>41</v>
      </c>
      <c r="C121" s="112">
        <f ca="1">-IF(RIGHT($A121,3)="000",SUMIF(BC[],MID($A121,1,1)&amp;"*",bc_2017),IF(RIGHT($A121,2)="00",SUMIF(BC[],MID($A121,1,2)&amp;"*",bc_2017),IF(RIGHT($A121,1)="0",SUMIF(BC[],MID($A121,1,3)&amp;"*",bc_2017),SUMIF(BC[],$A121,bc_2017))))</f>
        <v>0</v>
      </c>
      <c r="D121" s="112">
        <f ca="1">-IF(RIGHT($A121,3)="000",SUMIF(BC[],MID($A121,1,1)&amp;"*",bc_2016),IF(RIGHT($A121,2)="00",SUMIF(BC[],MID($A121,1,2)&amp;"*",bc_2016),IF(RIGHT($A121,1)="0",SUMIF(BC[],MID($A121,1,3)&amp;"*",bc_2016),SUMIF(BC[],$A121,bc_2016))))</f>
        <v>0</v>
      </c>
      <c r="E121" s="157"/>
    </row>
    <row r="122" spans="1:5">
      <c r="A122" s="158">
        <v>2141</v>
      </c>
      <c r="B122" s="15" t="s">
        <v>488</v>
      </c>
      <c r="C122" s="112">
        <f ca="1">-IF(RIGHT($A122,3)="000",SUMIF(BC[],MID($A122,1,1)&amp;"*",bc_2017),IF(RIGHT($A122,2)="00",SUMIF(BC[],MID($A122,1,2)&amp;"*",bc_2017),IF(RIGHT($A122,1)="0",SUMIF(BC[],MID($A122,1,3)&amp;"*",bc_2017),SUMIF(BC[],$A122,bc_2017))))</f>
        <v>0</v>
      </c>
      <c r="D122" s="112">
        <f ca="1">-IF(RIGHT($A122,3)="000",SUMIF(BC[],MID($A122,1,1)&amp;"*",bc_2016),IF(RIGHT($A122,2)="00",SUMIF(BC[],MID($A122,1,2)&amp;"*",bc_2016),IF(RIGHT($A122,1)="0",SUMIF(BC[],MID($A122,1,3)&amp;"*",bc_2016),SUMIF(BC[],$A122,bc_2016))))</f>
        <v>0</v>
      </c>
      <c r="E122" s="157"/>
    </row>
    <row r="123" spans="1:5">
      <c r="A123" s="158">
        <v>2142</v>
      </c>
      <c r="B123" s="15" t="s">
        <v>489</v>
      </c>
      <c r="C123" s="112">
        <f ca="1">-IF(RIGHT($A123,3)="000",SUMIF(BC[],MID($A123,1,1)&amp;"*",bc_2017),IF(RIGHT($A123,2)="00",SUMIF(BC[],MID($A123,1,2)&amp;"*",bc_2017),IF(RIGHT($A123,1)="0",SUMIF(BC[],MID($A123,1,3)&amp;"*",bc_2017),SUMIF(BC[],$A123,bc_2017))))</f>
        <v>0</v>
      </c>
      <c r="D123" s="112">
        <f ca="1">-IF(RIGHT($A123,3)="000",SUMIF(BC[],MID($A123,1,1)&amp;"*",bc_2016),IF(RIGHT($A123,2)="00",SUMIF(BC[],MID($A123,1,2)&amp;"*",bc_2016),IF(RIGHT($A123,1)="0",SUMIF(BC[],MID($A123,1,3)&amp;"*",bc_2016),SUMIF(BC[],$A123,bc_2016))))</f>
        <v>0</v>
      </c>
      <c r="E123" s="157"/>
    </row>
    <row r="124" spans="1:5">
      <c r="A124" s="158">
        <v>2150</v>
      </c>
      <c r="B124" s="15" t="s">
        <v>42</v>
      </c>
      <c r="C124" s="112">
        <f ca="1">-IF(RIGHT($A124,3)="000",SUMIF(BC[],MID($A124,1,1)&amp;"*",bc_2017),IF(RIGHT($A124,2)="00",SUMIF(BC[],MID($A124,1,2)&amp;"*",bc_2017),IF(RIGHT($A124,1)="0",SUMIF(BC[],MID($A124,1,3)&amp;"*",bc_2017),SUMIF(BC[],$A124,bc_2017))))</f>
        <v>18500</v>
      </c>
      <c r="D124" s="112">
        <f ca="1">-IF(RIGHT($A124,3)="000",SUMIF(BC[],MID($A124,1,1)&amp;"*",bc_2016),IF(RIGHT($A124,2)="00",SUMIF(BC[],MID($A124,1,2)&amp;"*",bc_2016),IF(RIGHT($A124,1)="0",SUMIF(BC[],MID($A124,1,3)&amp;"*",bc_2016),SUMIF(BC[],$A124,bc_2016))))</f>
        <v>18500</v>
      </c>
      <c r="E124" s="157"/>
    </row>
    <row r="125" spans="1:5">
      <c r="A125" s="158">
        <v>2151</v>
      </c>
      <c r="B125" s="15" t="s">
        <v>490</v>
      </c>
      <c r="C125" s="112">
        <f ca="1">-IF(RIGHT($A125,3)="000",SUMIF(BC[],MID($A125,1,1)&amp;"*",bc_2017),IF(RIGHT($A125,2)="00",SUMIF(BC[],MID($A125,1,2)&amp;"*",bc_2017),IF(RIGHT($A125,1)="0",SUMIF(BC[],MID($A125,1,3)&amp;"*",bc_2017),SUMIF(BC[],$A125,bc_2017))))</f>
        <v>0</v>
      </c>
      <c r="D125" s="112">
        <f ca="1">-IF(RIGHT($A125,3)="000",SUMIF(BC[],MID($A125,1,1)&amp;"*",bc_2016),IF(RIGHT($A125,2)="00",SUMIF(BC[],MID($A125,1,2)&amp;"*",bc_2016),IF(RIGHT($A125,1)="0",SUMIF(BC[],MID($A125,1,3)&amp;"*",bc_2016),SUMIF(BC[],$A125,bc_2016))))</f>
        <v>0</v>
      </c>
      <c r="E125" s="157"/>
    </row>
    <row r="126" spans="1:5">
      <c r="A126" s="158">
        <v>2152</v>
      </c>
      <c r="B126" s="15" t="s">
        <v>491</v>
      </c>
      <c r="C126" s="112">
        <f ca="1">-IF(RIGHT($A126,3)="000",SUMIF(BC[],MID($A126,1,1)&amp;"*",bc_2017),IF(RIGHT($A126,2)="00",SUMIF(BC[],MID($A126,1,2)&amp;"*",bc_2017),IF(RIGHT($A126,1)="0",SUMIF(BC[],MID($A126,1,3)&amp;"*",bc_2017),SUMIF(BC[],$A126,bc_2017))))</f>
        <v>0</v>
      </c>
      <c r="D126" s="112">
        <f ca="1">-IF(RIGHT($A126,3)="000",SUMIF(BC[],MID($A126,1,1)&amp;"*",bc_2016),IF(RIGHT($A126,2)="00",SUMIF(BC[],MID($A126,1,2)&amp;"*",bc_2016),IF(RIGHT($A126,1)="0",SUMIF(BC[],MID($A126,1,3)&amp;"*",bc_2016),SUMIF(BC[],$A126,bc_2016))))</f>
        <v>0</v>
      </c>
      <c r="E126" s="157"/>
    </row>
    <row r="127" spans="1:5">
      <c r="A127" s="158">
        <v>2159</v>
      </c>
      <c r="B127" s="15" t="s">
        <v>492</v>
      </c>
      <c r="C127" s="112">
        <f ca="1">-IF(RIGHT($A127,3)="000",SUMIF(BC[],MID($A127,1,1)&amp;"*",bc_2017),IF(RIGHT($A127,2)="00",SUMIF(BC[],MID($A127,1,2)&amp;"*",bc_2017),IF(RIGHT($A127,1)="0",SUMIF(BC[],MID($A127,1,3)&amp;"*",bc_2017),SUMIF(BC[],$A127,bc_2017))))</f>
        <v>18500</v>
      </c>
      <c r="D127" s="112">
        <f ca="1">-IF(RIGHT($A127,3)="000",SUMIF(BC[],MID($A127,1,1)&amp;"*",bc_2016),IF(RIGHT($A127,2)="00",SUMIF(BC[],MID($A127,1,2)&amp;"*",bc_2016),IF(RIGHT($A127,1)="0",SUMIF(BC[],MID($A127,1,3)&amp;"*",bc_2016),SUMIF(BC[],$A127,bc_2016))))</f>
        <v>18500</v>
      </c>
      <c r="E127" s="157" t="s">
        <v>43</v>
      </c>
    </row>
    <row r="128" spans="1:5">
      <c r="A128" s="158">
        <v>2160</v>
      </c>
      <c r="B128" s="15" t="s">
        <v>44</v>
      </c>
      <c r="C128" s="112">
        <f ca="1">-IF(RIGHT($A128,3)="000",SUMIF(BC[],MID($A128,1,1)&amp;"*",bc_2017),IF(RIGHT($A128,2)="00",SUMIF(BC[],MID($A128,1,2)&amp;"*",bc_2017),IF(RIGHT($A128,1)="0",SUMIF(BC[],MID($A128,1,3)&amp;"*",bc_2017),SUMIF(BC[],$A128,bc_2017))))</f>
        <v>0</v>
      </c>
      <c r="D128" s="112">
        <f ca="1">-IF(RIGHT($A128,3)="000",SUMIF(BC[],MID($A128,1,1)&amp;"*",bc_2016),IF(RIGHT($A128,2)="00",SUMIF(BC[],MID($A128,1,2)&amp;"*",bc_2016),IF(RIGHT($A128,1)="0",SUMIF(BC[],MID($A128,1,3)&amp;"*",bc_2016),SUMIF(BC[],$A128,bc_2016))))</f>
        <v>0</v>
      </c>
      <c r="E128" s="157" t="s">
        <v>45</v>
      </c>
    </row>
    <row r="129" spans="1:5">
      <c r="A129" s="158">
        <v>2161</v>
      </c>
      <c r="B129" s="15" t="s">
        <v>493</v>
      </c>
      <c r="C129" s="112">
        <f ca="1">-IF(RIGHT($A129,3)="000",SUMIF(BC[],MID($A129,1,1)&amp;"*",bc_2017),IF(RIGHT($A129,2)="00",SUMIF(BC[],MID($A129,1,2)&amp;"*",bc_2017),IF(RIGHT($A129,1)="0",SUMIF(BC[],MID($A129,1,3)&amp;"*",bc_2017),SUMIF(BC[],$A129,bc_2017))))</f>
        <v>0</v>
      </c>
      <c r="D129" s="112">
        <f ca="1">-IF(RIGHT($A129,3)="000",SUMIF(BC[],MID($A129,1,1)&amp;"*",bc_2016),IF(RIGHT($A129,2)="00",SUMIF(BC[],MID($A129,1,2)&amp;"*",bc_2016),IF(RIGHT($A129,1)="0",SUMIF(BC[],MID($A129,1,3)&amp;"*",bc_2016),SUMIF(BC[],$A129,bc_2016))))</f>
        <v>0</v>
      </c>
      <c r="E129" s="157"/>
    </row>
    <row r="130" spans="1:5">
      <c r="A130" s="158">
        <v>2162</v>
      </c>
      <c r="B130" s="15" t="s">
        <v>494</v>
      </c>
      <c r="C130" s="112">
        <f ca="1">-IF(RIGHT($A130,3)="000",SUMIF(BC[],MID($A130,1,1)&amp;"*",bc_2017),IF(RIGHT($A130,2)="00",SUMIF(BC[],MID($A130,1,2)&amp;"*",bc_2017),IF(RIGHT($A130,1)="0",SUMIF(BC[],MID($A130,1,3)&amp;"*",bc_2017),SUMIF(BC[],$A130,bc_2017))))</f>
        <v>0</v>
      </c>
      <c r="D130" s="112">
        <f ca="1">-IF(RIGHT($A130,3)="000",SUMIF(BC[],MID($A130,1,1)&amp;"*",bc_2016),IF(RIGHT($A130,2)="00",SUMIF(BC[],MID($A130,1,2)&amp;"*",bc_2016),IF(RIGHT($A130,1)="0",SUMIF(BC[],MID($A130,1,3)&amp;"*",bc_2016),SUMIF(BC[],$A130,bc_2016))))</f>
        <v>0</v>
      </c>
      <c r="E130" s="157"/>
    </row>
    <row r="131" spans="1:5">
      <c r="A131" s="158">
        <v>2163</v>
      </c>
      <c r="B131" s="15" t="s">
        <v>495</v>
      </c>
      <c r="C131" s="112">
        <f ca="1">-IF(RIGHT($A131,3)="000",SUMIF(BC[],MID($A131,1,1)&amp;"*",bc_2017),IF(RIGHT($A131,2)="00",SUMIF(BC[],MID($A131,1,2)&amp;"*",bc_2017),IF(RIGHT($A131,1)="0",SUMIF(BC[],MID($A131,1,3)&amp;"*",bc_2017),SUMIF(BC[],$A131,bc_2017))))</f>
        <v>0</v>
      </c>
      <c r="D131" s="112">
        <f ca="1">-IF(RIGHT($A131,3)="000",SUMIF(BC[],MID($A131,1,1)&amp;"*",bc_2016),IF(RIGHT($A131,2)="00",SUMIF(BC[],MID($A131,1,2)&amp;"*",bc_2016),IF(RIGHT($A131,1)="0",SUMIF(BC[],MID($A131,1,3)&amp;"*",bc_2016),SUMIF(BC[],$A131,bc_2016))))</f>
        <v>0</v>
      </c>
      <c r="E131" s="157"/>
    </row>
    <row r="132" spans="1:5">
      <c r="A132" s="158">
        <v>2164</v>
      </c>
      <c r="B132" s="15" t="s">
        <v>496</v>
      </c>
      <c r="C132" s="112">
        <f ca="1">-IF(RIGHT($A132,3)="000",SUMIF(BC[],MID($A132,1,1)&amp;"*",bc_2017),IF(RIGHT($A132,2)="00",SUMIF(BC[],MID($A132,1,2)&amp;"*",bc_2017),IF(RIGHT($A132,1)="0",SUMIF(BC[],MID($A132,1,3)&amp;"*",bc_2017),SUMIF(BC[],$A132,bc_2017))))</f>
        <v>0</v>
      </c>
      <c r="D132" s="112">
        <f ca="1">-IF(RIGHT($A132,3)="000",SUMIF(BC[],MID($A132,1,1)&amp;"*",bc_2016),IF(RIGHT($A132,2)="00",SUMIF(BC[],MID($A132,1,2)&amp;"*",bc_2016),IF(RIGHT($A132,1)="0",SUMIF(BC[],MID($A132,1,3)&amp;"*",bc_2016),SUMIF(BC[],$A132,bc_2016))))</f>
        <v>0</v>
      </c>
      <c r="E132" s="157"/>
    </row>
    <row r="133" spans="1:5">
      <c r="A133" s="158">
        <v>2165</v>
      </c>
      <c r="B133" s="15" t="s">
        <v>497</v>
      </c>
      <c r="C133" s="112">
        <f ca="1">-IF(RIGHT($A133,3)="000",SUMIF(BC[],MID($A133,1,1)&amp;"*",bc_2017),IF(RIGHT($A133,2)="00",SUMIF(BC[],MID($A133,1,2)&amp;"*",bc_2017),IF(RIGHT($A133,1)="0",SUMIF(BC[],MID($A133,1,3)&amp;"*",bc_2017),SUMIF(BC[],$A133,bc_2017))))</f>
        <v>0</v>
      </c>
      <c r="D133" s="112">
        <f ca="1">-IF(RIGHT($A133,3)="000",SUMIF(BC[],MID($A133,1,1)&amp;"*",bc_2016),IF(RIGHT($A133,2)="00",SUMIF(BC[],MID($A133,1,2)&amp;"*",bc_2016),IF(RIGHT($A133,1)="0",SUMIF(BC[],MID($A133,1,3)&amp;"*",bc_2016),SUMIF(BC[],$A133,bc_2016))))</f>
        <v>0</v>
      </c>
      <c r="E133" s="157"/>
    </row>
    <row r="134" spans="1:5">
      <c r="A134" s="158">
        <v>2166</v>
      </c>
      <c r="B134" s="15" t="s">
        <v>498</v>
      </c>
      <c r="C134" s="112">
        <f ca="1">-IF(RIGHT($A134,3)="000",SUMIF(BC[],MID($A134,1,1)&amp;"*",bc_2017),IF(RIGHT($A134,2)="00",SUMIF(BC[],MID($A134,1,2)&amp;"*",bc_2017),IF(RIGHT($A134,1)="0",SUMIF(BC[],MID($A134,1,3)&amp;"*",bc_2017),SUMIF(BC[],$A134,bc_2017))))</f>
        <v>0</v>
      </c>
      <c r="D134" s="112">
        <f ca="1">-IF(RIGHT($A134,3)="000",SUMIF(BC[],MID($A134,1,1)&amp;"*",bc_2016),IF(RIGHT($A134,2)="00",SUMIF(BC[],MID($A134,1,2)&amp;"*",bc_2016),IF(RIGHT($A134,1)="0",SUMIF(BC[],MID($A134,1,3)&amp;"*",bc_2016),SUMIF(BC[],$A134,bc_2016))))</f>
        <v>0</v>
      </c>
      <c r="E134" s="157"/>
    </row>
    <row r="135" spans="1:5">
      <c r="A135" s="158">
        <v>2170</v>
      </c>
      <c r="B135" s="15" t="s">
        <v>46</v>
      </c>
      <c r="C135" s="112">
        <f ca="1">-IF(RIGHT($A135,3)="000",SUMIF(BC[],MID($A135,1,1)&amp;"*",bc_2017),IF(RIGHT($A135,2)="00",SUMIF(BC[],MID($A135,1,2)&amp;"*",bc_2017),IF(RIGHT($A135,1)="0",SUMIF(BC[],MID($A135,1,3)&amp;"*",bc_2017),SUMIF(BC[],$A135,bc_2017))))</f>
        <v>0</v>
      </c>
      <c r="D135" s="112">
        <f ca="1">-IF(RIGHT($A135,3)="000",SUMIF(BC[],MID($A135,1,1)&amp;"*",bc_2016),IF(RIGHT($A135,2)="00",SUMIF(BC[],MID($A135,1,2)&amp;"*",bc_2016),IF(RIGHT($A135,1)="0",SUMIF(BC[],MID($A135,1,3)&amp;"*",bc_2016),SUMIF(BC[],$A135,bc_2016))))</f>
        <v>0</v>
      </c>
      <c r="E135" s="157"/>
    </row>
    <row r="136" spans="1:5">
      <c r="A136" s="158">
        <v>2171</v>
      </c>
      <c r="B136" s="15" t="s">
        <v>499</v>
      </c>
      <c r="C136" s="112">
        <f ca="1">-IF(RIGHT($A136,3)="000",SUMIF(BC[],MID($A136,1,1)&amp;"*",bc_2017),IF(RIGHT($A136,2)="00",SUMIF(BC[],MID($A136,1,2)&amp;"*",bc_2017),IF(RIGHT($A136,1)="0",SUMIF(BC[],MID($A136,1,3)&amp;"*",bc_2017),SUMIF(BC[],$A136,bc_2017))))</f>
        <v>0</v>
      </c>
      <c r="D136" s="112">
        <f ca="1">-IF(RIGHT($A136,3)="000",SUMIF(BC[],MID($A136,1,1)&amp;"*",bc_2016),IF(RIGHT($A136,2)="00",SUMIF(BC[],MID($A136,1,2)&amp;"*",bc_2016),IF(RIGHT($A136,1)="0",SUMIF(BC[],MID($A136,1,3)&amp;"*",bc_2016),SUMIF(BC[],$A136,bc_2016))))</f>
        <v>0</v>
      </c>
      <c r="E136" s="157"/>
    </row>
    <row r="137" spans="1:5">
      <c r="A137" s="158">
        <v>2172</v>
      </c>
      <c r="B137" s="15" t="s">
        <v>500</v>
      </c>
      <c r="C137" s="112">
        <f ca="1">-IF(RIGHT($A137,3)="000",SUMIF(BC[],MID($A137,1,1)&amp;"*",bc_2017),IF(RIGHT($A137,2)="00",SUMIF(BC[],MID($A137,1,2)&amp;"*",bc_2017),IF(RIGHT($A137,1)="0",SUMIF(BC[],MID($A137,1,3)&amp;"*",bc_2017),SUMIF(BC[],$A137,bc_2017))))</f>
        <v>0</v>
      </c>
      <c r="D137" s="112">
        <f ca="1">-IF(RIGHT($A137,3)="000",SUMIF(BC[],MID($A137,1,1)&amp;"*",bc_2016),IF(RIGHT($A137,2)="00",SUMIF(BC[],MID($A137,1,2)&amp;"*",bc_2016),IF(RIGHT($A137,1)="0",SUMIF(BC[],MID($A137,1,3)&amp;"*",bc_2016),SUMIF(BC[],$A137,bc_2016))))</f>
        <v>0</v>
      </c>
      <c r="E137" s="157"/>
    </row>
    <row r="138" spans="1:5">
      <c r="A138" s="158">
        <v>2179</v>
      </c>
      <c r="B138" s="15" t="s">
        <v>501</v>
      </c>
      <c r="C138" s="112">
        <f ca="1">-IF(RIGHT($A138,3)="000",SUMIF(BC[],MID($A138,1,1)&amp;"*",bc_2017),IF(RIGHT($A138,2)="00",SUMIF(BC[],MID($A138,1,2)&amp;"*",bc_2017),IF(RIGHT($A138,1)="0",SUMIF(BC[],MID($A138,1,3)&amp;"*",bc_2017),SUMIF(BC[],$A138,bc_2017))))</f>
        <v>0</v>
      </c>
      <c r="D138" s="112">
        <f ca="1">-IF(RIGHT($A138,3)="000",SUMIF(BC[],MID($A138,1,1)&amp;"*",bc_2016),IF(RIGHT($A138,2)="00",SUMIF(BC[],MID($A138,1,2)&amp;"*",bc_2016),IF(RIGHT($A138,1)="0",SUMIF(BC[],MID($A138,1,3)&amp;"*",bc_2016),SUMIF(BC[],$A138,bc_2016))))</f>
        <v>0</v>
      </c>
      <c r="E138" s="157"/>
    </row>
    <row r="139" spans="1:5">
      <c r="A139" s="158">
        <v>2190</v>
      </c>
      <c r="B139" s="15" t="s">
        <v>47</v>
      </c>
      <c r="C139" s="112">
        <f ca="1">-IF(RIGHT($A139,3)="000",SUMIF(BC[],MID($A139,1,1)&amp;"*",bc_2017),IF(RIGHT($A139,2)="00",SUMIF(BC[],MID($A139,1,2)&amp;"*",bc_2017),IF(RIGHT($A139,1)="0",SUMIF(BC[],MID($A139,1,3)&amp;"*",bc_2017),SUMIF(BC[],$A139,bc_2017))))</f>
        <v>0</v>
      </c>
      <c r="D139" s="112">
        <f ca="1">-IF(RIGHT($A139,3)="000",SUMIF(BC[],MID($A139,1,1)&amp;"*",bc_2016),IF(RIGHT($A139,2)="00",SUMIF(BC[],MID($A139,1,2)&amp;"*",bc_2016),IF(RIGHT($A139,1)="0",SUMIF(BC[],MID($A139,1,3)&amp;"*",bc_2016),SUMIF(BC[],$A139,bc_2016))))</f>
        <v>0</v>
      </c>
      <c r="E139" s="157"/>
    </row>
    <row r="140" spans="1:5">
      <c r="A140" s="158">
        <v>2191</v>
      </c>
      <c r="B140" s="15" t="s">
        <v>502</v>
      </c>
      <c r="C140" s="112">
        <f ca="1">-IF(RIGHT($A140,3)="000",SUMIF(BC[],MID($A140,1,1)&amp;"*",bc_2017),IF(RIGHT($A140,2)="00",SUMIF(BC[],MID($A140,1,2)&amp;"*",bc_2017),IF(RIGHT($A140,1)="0",SUMIF(BC[],MID($A140,1,3)&amp;"*",bc_2017),SUMIF(BC[],$A140,bc_2017))))</f>
        <v>0</v>
      </c>
      <c r="D140" s="112">
        <f ca="1">-IF(RIGHT($A140,3)="000",SUMIF(BC[],MID($A140,1,1)&amp;"*",bc_2016),IF(RIGHT($A140,2)="00",SUMIF(BC[],MID($A140,1,2)&amp;"*",bc_2016),IF(RIGHT($A140,1)="0",SUMIF(BC[],MID($A140,1,3)&amp;"*",bc_2016),SUMIF(BC[],$A140,bc_2016))))</f>
        <v>0</v>
      </c>
      <c r="E140" s="157"/>
    </row>
    <row r="141" spans="1:5">
      <c r="A141" s="158">
        <v>2192</v>
      </c>
      <c r="B141" s="15" t="s">
        <v>503</v>
      </c>
      <c r="C141" s="112">
        <f ca="1">-IF(RIGHT($A141,3)="000",SUMIF(BC[],MID($A141,1,1)&amp;"*",bc_2017),IF(RIGHT($A141,2)="00",SUMIF(BC[],MID($A141,1,2)&amp;"*",bc_2017),IF(RIGHT($A141,1)="0",SUMIF(BC[],MID($A141,1,3)&amp;"*",bc_2017),SUMIF(BC[],$A141,bc_2017))))</f>
        <v>0</v>
      </c>
      <c r="D141" s="112">
        <f ca="1">-IF(RIGHT($A141,3)="000",SUMIF(BC[],MID($A141,1,1)&amp;"*",bc_2016),IF(RIGHT($A141,2)="00",SUMIF(BC[],MID($A141,1,2)&amp;"*",bc_2016),IF(RIGHT($A141,1)="0",SUMIF(BC[],MID($A141,1,3)&amp;"*",bc_2016),SUMIF(BC[],$A141,bc_2016))))</f>
        <v>0</v>
      </c>
      <c r="E141" s="157"/>
    </row>
    <row r="142" spans="1:5">
      <c r="A142" s="158">
        <v>2199</v>
      </c>
      <c r="B142" s="15" t="s">
        <v>504</v>
      </c>
      <c r="C142" s="112">
        <f ca="1">-IF(RIGHT($A142,3)="000",SUMIF(BC[],MID($A142,1,1)&amp;"*",bc_2017),IF(RIGHT($A142,2)="00",SUMIF(BC[],MID($A142,1,2)&amp;"*",bc_2017),IF(RIGHT($A142,1)="0",SUMIF(BC[],MID($A142,1,3)&amp;"*",bc_2017),SUMIF(BC[],$A142,bc_2017))))</f>
        <v>0</v>
      </c>
      <c r="D142" s="112">
        <f ca="1">-IF(RIGHT($A142,3)="000",SUMIF(BC[],MID($A142,1,1)&amp;"*",bc_2016),IF(RIGHT($A142,2)="00",SUMIF(BC[],MID($A142,1,2)&amp;"*",bc_2016),IF(RIGHT($A142,1)="0",SUMIF(BC[],MID($A142,1,3)&amp;"*",bc_2016),SUMIF(BC[],$A142,bc_2016))))</f>
        <v>0</v>
      </c>
      <c r="E142" s="157" t="s">
        <v>43</v>
      </c>
    </row>
    <row r="143" spans="1:5">
      <c r="A143" s="155">
        <v>2200</v>
      </c>
      <c r="B143" s="14" t="s">
        <v>48</v>
      </c>
      <c r="C143" s="112">
        <f ca="1">-IF(RIGHT($A143,3)="000",SUMIF(BC[],MID($A143,1,1)&amp;"*",bc_2017),IF(RIGHT($A143,2)="00",SUMIF(BC[],MID($A143,1,2)&amp;"*",bc_2017),IF(RIGHT($A143,1)="0",SUMIF(BC[],MID($A143,1,3)&amp;"*",bc_2017),SUMIF(BC[],$A143,bc_2017))))</f>
        <v>2233972.39</v>
      </c>
      <c r="D143" s="112">
        <f ca="1">-IF(RIGHT($A143,3)="000",SUMIF(BC[],MID($A143,1,1)&amp;"*",bc_2016),IF(RIGHT($A143,2)="00",SUMIF(BC[],MID($A143,1,2)&amp;"*",bc_2016),IF(RIGHT($A143,1)="0",SUMIF(BC[],MID($A143,1,3)&amp;"*",bc_2016),SUMIF(BC[],$A143,bc_2016))))</f>
        <v>2058413.68</v>
      </c>
      <c r="E143" s="157"/>
    </row>
    <row r="144" spans="1:5">
      <c r="A144" s="158">
        <v>2210</v>
      </c>
      <c r="B144" s="15" t="s">
        <v>49</v>
      </c>
      <c r="C144" s="112">
        <f ca="1">-IF(RIGHT($A144,3)="000",SUMIF(BC[],MID($A144,1,1)&amp;"*",bc_2017),IF(RIGHT($A144,2)="00",SUMIF(BC[],MID($A144,1,2)&amp;"*",bc_2017),IF(RIGHT($A144,1)="0",SUMIF(BC[],MID($A144,1,3)&amp;"*",bc_2017),SUMIF(BC[],$A144,bc_2017))))</f>
        <v>0</v>
      </c>
      <c r="D144" s="112">
        <f ca="1">-IF(RIGHT($A144,3)="000",SUMIF(BC[],MID($A144,1,1)&amp;"*",bc_2016),IF(RIGHT($A144,2)="00",SUMIF(BC[],MID($A144,1,2)&amp;"*",bc_2016),IF(RIGHT($A144,1)="0",SUMIF(BC[],MID($A144,1,3)&amp;"*",bc_2016),SUMIF(BC[],$A144,bc_2016))))</f>
        <v>0</v>
      </c>
      <c r="E144" s="157"/>
    </row>
    <row r="145" spans="1:5">
      <c r="A145" s="158">
        <v>2211</v>
      </c>
      <c r="B145" s="15" t="s">
        <v>505</v>
      </c>
      <c r="C145" s="112">
        <f ca="1">-IF(RIGHT($A145,3)="000",SUMIF(BC[],MID($A145,1,1)&amp;"*",bc_2017),IF(RIGHT($A145,2)="00",SUMIF(BC[],MID($A145,1,2)&amp;"*",bc_2017),IF(RIGHT($A145,1)="0",SUMIF(BC[],MID($A145,1,3)&amp;"*",bc_2017),SUMIF(BC[],$A145,bc_2017))))</f>
        <v>0</v>
      </c>
      <c r="D145" s="112">
        <f ca="1">-IF(RIGHT($A145,3)="000",SUMIF(BC[],MID($A145,1,1)&amp;"*",bc_2016),IF(RIGHT($A145,2)="00",SUMIF(BC[],MID($A145,1,2)&amp;"*",bc_2016),IF(RIGHT($A145,1)="0",SUMIF(BC[],MID($A145,1,3)&amp;"*",bc_2016),SUMIF(BC[],$A145,bc_2016))))</f>
        <v>0</v>
      </c>
      <c r="E145" s="157"/>
    </row>
    <row r="146" spans="1:5">
      <c r="A146" s="158">
        <v>2212</v>
      </c>
      <c r="B146" s="15" t="s">
        <v>506</v>
      </c>
      <c r="C146" s="112">
        <f ca="1">-IF(RIGHT($A146,3)="000",SUMIF(BC[],MID($A146,1,1)&amp;"*",bc_2017),IF(RIGHT($A146,2)="00",SUMIF(BC[],MID($A146,1,2)&amp;"*",bc_2017),IF(RIGHT($A146,1)="0",SUMIF(BC[],MID($A146,1,3)&amp;"*",bc_2017),SUMIF(BC[],$A146,bc_2017))))</f>
        <v>0</v>
      </c>
      <c r="D146" s="112">
        <f ca="1">-IF(RIGHT($A146,3)="000",SUMIF(BC[],MID($A146,1,1)&amp;"*",bc_2016),IF(RIGHT($A146,2)="00",SUMIF(BC[],MID($A146,1,2)&amp;"*",bc_2016),IF(RIGHT($A146,1)="0",SUMIF(BC[],MID($A146,1,3)&amp;"*",bc_2016),SUMIF(BC[],$A146,bc_2016))))</f>
        <v>0</v>
      </c>
      <c r="E146" s="157"/>
    </row>
    <row r="147" spans="1:5">
      <c r="A147" s="158">
        <v>2220</v>
      </c>
      <c r="B147" s="15" t="s">
        <v>50</v>
      </c>
      <c r="C147" s="112">
        <f ca="1">-IF(RIGHT($A147,3)="000",SUMIF(BC[],MID($A147,1,1)&amp;"*",bc_2017),IF(RIGHT($A147,2)="00",SUMIF(BC[],MID($A147,1,2)&amp;"*",bc_2017),IF(RIGHT($A147,1)="0",SUMIF(BC[],MID($A147,1,3)&amp;"*",bc_2017),SUMIF(BC[],$A147,bc_2017))))</f>
        <v>0</v>
      </c>
      <c r="D147" s="112">
        <f ca="1">-IF(RIGHT($A147,3)="000",SUMIF(BC[],MID($A147,1,1)&amp;"*",bc_2016),IF(RIGHT($A147,2)="00",SUMIF(BC[],MID($A147,1,2)&amp;"*",bc_2016),IF(RIGHT($A147,1)="0",SUMIF(BC[],MID($A147,1,3)&amp;"*",bc_2016),SUMIF(BC[],$A147,bc_2016))))</f>
        <v>0</v>
      </c>
      <c r="E147" s="157"/>
    </row>
    <row r="148" spans="1:5">
      <c r="A148" s="158">
        <v>2221</v>
      </c>
      <c r="B148" s="15" t="s">
        <v>507</v>
      </c>
      <c r="C148" s="112">
        <f ca="1">-IF(RIGHT($A148,3)="000",SUMIF(BC[],MID($A148,1,1)&amp;"*",bc_2017),IF(RIGHT($A148,2)="00",SUMIF(BC[],MID($A148,1,2)&amp;"*",bc_2017),IF(RIGHT($A148,1)="0",SUMIF(BC[],MID($A148,1,3)&amp;"*",bc_2017),SUMIF(BC[],$A148,bc_2017))))</f>
        <v>0</v>
      </c>
      <c r="D148" s="112">
        <f ca="1">-IF(RIGHT($A148,3)="000",SUMIF(BC[],MID($A148,1,1)&amp;"*",bc_2016),IF(RIGHT($A148,2)="00",SUMIF(BC[],MID($A148,1,2)&amp;"*",bc_2016),IF(RIGHT($A148,1)="0",SUMIF(BC[],MID($A148,1,3)&amp;"*",bc_2016),SUMIF(BC[],$A148,bc_2016))))</f>
        <v>0</v>
      </c>
      <c r="E148" s="157"/>
    </row>
    <row r="149" spans="1:5">
      <c r="A149" s="158">
        <v>2222</v>
      </c>
      <c r="B149" s="15" t="s">
        <v>508</v>
      </c>
      <c r="C149" s="112">
        <f ca="1">-IF(RIGHT($A149,3)="000",SUMIF(BC[],MID($A149,1,1)&amp;"*",bc_2017),IF(RIGHT($A149,2)="00",SUMIF(BC[],MID($A149,1,2)&amp;"*",bc_2017),IF(RIGHT($A149,1)="0",SUMIF(BC[],MID($A149,1,3)&amp;"*",bc_2017),SUMIF(BC[],$A149,bc_2017))))</f>
        <v>0</v>
      </c>
      <c r="D149" s="112">
        <f ca="1">-IF(RIGHT($A149,3)="000",SUMIF(BC[],MID($A149,1,1)&amp;"*",bc_2016),IF(RIGHT($A149,2)="00",SUMIF(BC[],MID($A149,1,2)&amp;"*",bc_2016),IF(RIGHT($A149,1)="0",SUMIF(BC[],MID($A149,1,3)&amp;"*",bc_2016),SUMIF(BC[],$A149,bc_2016))))</f>
        <v>0</v>
      </c>
      <c r="E149" s="157"/>
    </row>
    <row r="150" spans="1:5">
      <c r="A150" s="158">
        <v>2229</v>
      </c>
      <c r="B150" s="15" t="s">
        <v>509</v>
      </c>
      <c r="C150" s="112">
        <f ca="1">-IF(RIGHT($A150,3)="000",SUMIF(BC[],MID($A150,1,1)&amp;"*",bc_2017),IF(RIGHT($A150,2)="00",SUMIF(BC[],MID($A150,1,2)&amp;"*",bc_2017),IF(RIGHT($A150,1)="0",SUMIF(BC[],MID($A150,1,3)&amp;"*",bc_2017),SUMIF(BC[],$A150,bc_2017))))</f>
        <v>0</v>
      </c>
      <c r="D150" s="112">
        <f ca="1">-IF(RIGHT($A150,3)="000",SUMIF(BC[],MID($A150,1,1)&amp;"*",bc_2016),IF(RIGHT($A150,2)="00",SUMIF(BC[],MID($A150,1,2)&amp;"*",bc_2016),IF(RIGHT($A150,1)="0",SUMIF(BC[],MID($A150,1,3)&amp;"*",bc_2016),SUMIF(BC[],$A150,bc_2016))))</f>
        <v>0</v>
      </c>
      <c r="E150" s="157"/>
    </row>
    <row r="151" spans="1:5">
      <c r="A151" s="158">
        <v>2230</v>
      </c>
      <c r="B151" s="15" t="s">
        <v>51</v>
      </c>
      <c r="C151" s="112">
        <f ca="1">-IF(RIGHT($A151,3)="000",SUMIF(BC[],MID($A151,1,1)&amp;"*",bc_2017),IF(RIGHT($A151,2)="00",SUMIF(BC[],MID($A151,1,2)&amp;"*",bc_2017),IF(RIGHT($A151,1)="0",SUMIF(BC[],MID($A151,1,3)&amp;"*",bc_2017),SUMIF(BC[],$A151,bc_2017))))</f>
        <v>0</v>
      </c>
      <c r="D151" s="112">
        <f ca="1">-IF(RIGHT($A151,3)="000",SUMIF(BC[],MID($A151,1,1)&amp;"*",bc_2016),IF(RIGHT($A151,2)="00",SUMIF(BC[],MID($A151,1,2)&amp;"*",bc_2016),IF(RIGHT($A151,1)="0",SUMIF(BC[],MID($A151,1,3)&amp;"*",bc_2016),SUMIF(BC[],$A151,bc_2016))))</f>
        <v>0</v>
      </c>
      <c r="E151" s="157" t="s">
        <v>52</v>
      </c>
    </row>
    <row r="152" spans="1:5">
      <c r="A152" s="158">
        <v>2231</v>
      </c>
      <c r="B152" s="15" t="s">
        <v>510</v>
      </c>
      <c r="C152" s="112">
        <f ca="1">-IF(RIGHT($A152,3)="000",SUMIF(BC[],MID($A152,1,1)&amp;"*",bc_2017),IF(RIGHT($A152,2)="00",SUMIF(BC[],MID($A152,1,2)&amp;"*",bc_2017),IF(RIGHT($A152,1)="0",SUMIF(BC[],MID($A152,1,3)&amp;"*",bc_2017),SUMIF(BC[],$A152,bc_2017))))</f>
        <v>0</v>
      </c>
      <c r="D152" s="112">
        <f ca="1">-IF(RIGHT($A152,3)="000",SUMIF(BC[],MID($A152,1,1)&amp;"*",bc_2016),IF(RIGHT($A152,2)="00",SUMIF(BC[],MID($A152,1,2)&amp;"*",bc_2016),IF(RIGHT($A152,1)="0",SUMIF(BC[],MID($A152,1,3)&amp;"*",bc_2016),SUMIF(BC[],$A152,bc_2016))))</f>
        <v>0</v>
      </c>
      <c r="E152" s="157"/>
    </row>
    <row r="153" spans="1:5">
      <c r="A153" s="158">
        <v>2232</v>
      </c>
      <c r="B153" s="15" t="s">
        <v>511</v>
      </c>
      <c r="C153" s="112">
        <f ca="1">-IF(RIGHT($A153,3)="000",SUMIF(BC[],MID($A153,1,1)&amp;"*",bc_2017),IF(RIGHT($A153,2)="00",SUMIF(BC[],MID($A153,1,2)&amp;"*",bc_2017),IF(RIGHT($A153,1)="0",SUMIF(BC[],MID($A153,1,3)&amp;"*",bc_2017),SUMIF(BC[],$A153,bc_2017))))</f>
        <v>0</v>
      </c>
      <c r="D153" s="112">
        <f ca="1">-IF(RIGHT($A153,3)="000",SUMIF(BC[],MID($A153,1,1)&amp;"*",bc_2016),IF(RIGHT($A153,2)="00",SUMIF(BC[],MID($A153,1,2)&amp;"*",bc_2016),IF(RIGHT($A153,1)="0",SUMIF(BC[],MID($A153,1,3)&amp;"*",bc_2016),SUMIF(BC[],$A153,bc_2016))))</f>
        <v>0</v>
      </c>
      <c r="E153" s="157"/>
    </row>
    <row r="154" spans="1:5">
      <c r="A154" s="158">
        <v>2233</v>
      </c>
      <c r="B154" s="15" t="s">
        <v>512</v>
      </c>
      <c r="C154" s="112">
        <f ca="1">-IF(RIGHT($A154,3)="000",SUMIF(BC[],MID($A154,1,1)&amp;"*",bc_2017),IF(RIGHT($A154,2)="00",SUMIF(BC[],MID($A154,1,2)&amp;"*",bc_2017),IF(RIGHT($A154,1)="0",SUMIF(BC[],MID($A154,1,3)&amp;"*",bc_2017),SUMIF(BC[],$A154,bc_2017))))</f>
        <v>0</v>
      </c>
      <c r="D154" s="112">
        <f ca="1">-IF(RIGHT($A154,3)="000",SUMIF(BC[],MID($A154,1,1)&amp;"*",bc_2016),IF(RIGHT($A154,2)="00",SUMIF(BC[],MID($A154,1,2)&amp;"*",bc_2016),IF(RIGHT($A154,1)="0",SUMIF(BC[],MID($A154,1,3)&amp;"*",bc_2016),SUMIF(BC[],$A154,bc_2016))))</f>
        <v>0</v>
      </c>
      <c r="E154" s="157"/>
    </row>
    <row r="155" spans="1:5">
      <c r="A155" s="158">
        <v>2234</v>
      </c>
      <c r="B155" s="15" t="s">
        <v>513</v>
      </c>
      <c r="C155" s="112">
        <f ca="1">-IF(RIGHT($A155,3)="000",SUMIF(BC[],MID($A155,1,1)&amp;"*",bc_2017),IF(RIGHT($A155,2)="00",SUMIF(BC[],MID($A155,1,2)&amp;"*",bc_2017),IF(RIGHT($A155,1)="0",SUMIF(BC[],MID($A155,1,3)&amp;"*",bc_2017),SUMIF(BC[],$A155,bc_2017))))</f>
        <v>0</v>
      </c>
      <c r="D155" s="112">
        <f ca="1">-IF(RIGHT($A155,3)="000",SUMIF(BC[],MID($A155,1,1)&amp;"*",bc_2016),IF(RIGHT($A155,2)="00",SUMIF(BC[],MID($A155,1,2)&amp;"*",bc_2016),IF(RIGHT($A155,1)="0",SUMIF(BC[],MID($A155,1,3)&amp;"*",bc_2016),SUMIF(BC[],$A155,bc_2016))))</f>
        <v>0</v>
      </c>
      <c r="E155" s="157"/>
    </row>
    <row r="156" spans="1:5">
      <c r="A156" s="158">
        <v>2235</v>
      </c>
      <c r="B156" s="15" t="s">
        <v>514</v>
      </c>
      <c r="C156" s="112">
        <f ca="1">-IF(RIGHT($A156,3)="000",SUMIF(BC[],MID($A156,1,1)&amp;"*",bc_2017),IF(RIGHT($A156,2)="00",SUMIF(BC[],MID($A156,1,2)&amp;"*",bc_2017),IF(RIGHT($A156,1)="0",SUMIF(BC[],MID($A156,1,3)&amp;"*",bc_2017),SUMIF(BC[],$A156,bc_2017))))</f>
        <v>0</v>
      </c>
      <c r="D156" s="112">
        <f ca="1">-IF(RIGHT($A156,3)="000",SUMIF(BC[],MID($A156,1,1)&amp;"*",bc_2016),IF(RIGHT($A156,2)="00",SUMIF(BC[],MID($A156,1,2)&amp;"*",bc_2016),IF(RIGHT($A156,1)="0",SUMIF(BC[],MID($A156,1,3)&amp;"*",bc_2016),SUMIF(BC[],$A156,bc_2016))))</f>
        <v>0</v>
      </c>
      <c r="E156" s="157"/>
    </row>
    <row r="157" spans="1:5">
      <c r="A157" s="158">
        <v>2240</v>
      </c>
      <c r="B157" s="15" t="s">
        <v>53</v>
      </c>
      <c r="C157" s="112">
        <f ca="1">-IF(RIGHT($A157,3)="000",SUMIF(BC[],MID($A157,1,1)&amp;"*",bc_2017),IF(RIGHT($A157,2)="00",SUMIF(BC[],MID($A157,1,2)&amp;"*",bc_2017),IF(RIGHT($A157,1)="0",SUMIF(BC[],MID($A157,1,3)&amp;"*",bc_2017),SUMIF(BC[],$A157,bc_2017))))</f>
        <v>0</v>
      </c>
      <c r="D157" s="112">
        <f ca="1">-IF(RIGHT($A157,3)="000",SUMIF(BC[],MID($A157,1,1)&amp;"*",bc_2016),IF(RIGHT($A157,2)="00",SUMIF(BC[],MID($A157,1,2)&amp;"*",bc_2016),IF(RIGHT($A157,1)="0",SUMIF(BC[],MID($A157,1,3)&amp;"*",bc_2016),SUMIF(BC[],$A157,bc_2016))))</f>
        <v>0</v>
      </c>
      <c r="E157" s="157" t="s">
        <v>43</v>
      </c>
    </row>
    <row r="158" spans="1:5">
      <c r="A158" s="158">
        <v>2241</v>
      </c>
      <c r="B158" s="15" t="s">
        <v>515</v>
      </c>
      <c r="C158" s="112">
        <f ca="1">-IF(RIGHT($A158,3)="000",SUMIF(BC[],MID($A158,1,1)&amp;"*",bc_2017),IF(RIGHT($A158,2)="00",SUMIF(BC[],MID($A158,1,2)&amp;"*",bc_2017),IF(RIGHT($A158,1)="0",SUMIF(BC[],MID($A158,1,3)&amp;"*",bc_2017),SUMIF(BC[],$A158,bc_2017))))</f>
        <v>0</v>
      </c>
      <c r="D158" s="112">
        <f ca="1">-IF(RIGHT($A158,3)="000",SUMIF(BC[],MID($A158,1,1)&amp;"*",bc_2016),IF(RIGHT($A158,2)="00",SUMIF(BC[],MID($A158,1,2)&amp;"*",bc_2016),IF(RIGHT($A158,1)="0",SUMIF(BC[],MID($A158,1,3)&amp;"*",bc_2016),SUMIF(BC[],$A158,bc_2016))))</f>
        <v>0</v>
      </c>
      <c r="E158" s="157"/>
    </row>
    <row r="159" spans="1:5">
      <c r="A159" s="158">
        <v>2242</v>
      </c>
      <c r="B159" s="15" t="s">
        <v>516</v>
      </c>
      <c r="C159" s="112">
        <f ca="1">-IF(RIGHT($A159,3)="000",SUMIF(BC[],MID($A159,1,1)&amp;"*",bc_2017),IF(RIGHT($A159,2)="00",SUMIF(BC[],MID($A159,1,2)&amp;"*",bc_2017),IF(RIGHT($A159,1)="0",SUMIF(BC[],MID($A159,1,3)&amp;"*",bc_2017),SUMIF(BC[],$A159,bc_2017))))</f>
        <v>0</v>
      </c>
      <c r="D159" s="112">
        <f ca="1">-IF(RIGHT($A159,3)="000",SUMIF(BC[],MID($A159,1,1)&amp;"*",bc_2016),IF(RIGHT($A159,2)="00",SUMIF(BC[],MID($A159,1,2)&amp;"*",bc_2016),IF(RIGHT($A159,1)="0",SUMIF(BC[],MID($A159,1,3)&amp;"*",bc_2016),SUMIF(BC[],$A159,bc_2016))))</f>
        <v>0</v>
      </c>
      <c r="E159" s="157"/>
    </row>
    <row r="160" spans="1:5">
      <c r="A160" s="158">
        <v>2249</v>
      </c>
      <c r="B160" s="15" t="s">
        <v>517</v>
      </c>
      <c r="C160" s="112">
        <f ca="1">-IF(RIGHT($A160,3)="000",SUMIF(BC[],MID($A160,1,1)&amp;"*",bc_2017),IF(RIGHT($A160,2)="00",SUMIF(BC[],MID($A160,1,2)&amp;"*",bc_2017),IF(RIGHT($A160,1)="0",SUMIF(BC[],MID($A160,1,3)&amp;"*",bc_2017),SUMIF(BC[],$A160,bc_2017))))</f>
        <v>0</v>
      </c>
      <c r="D160" s="112">
        <f ca="1">-IF(RIGHT($A160,3)="000",SUMIF(BC[],MID($A160,1,1)&amp;"*",bc_2016),IF(RIGHT($A160,2)="00",SUMIF(BC[],MID($A160,1,2)&amp;"*",bc_2016),IF(RIGHT($A160,1)="0",SUMIF(BC[],MID($A160,1,3)&amp;"*",bc_2016),SUMIF(BC[],$A160,bc_2016))))</f>
        <v>0</v>
      </c>
      <c r="E160" s="157"/>
    </row>
    <row r="161" spans="1:5">
      <c r="A161" s="158">
        <v>2250</v>
      </c>
      <c r="B161" s="15" t="s">
        <v>54</v>
      </c>
      <c r="C161" s="112">
        <f ca="1">-IF(RIGHT($A161,3)="000",SUMIF(BC[],MID($A161,1,1)&amp;"*",bc_2017),IF(RIGHT($A161,2)="00",SUMIF(BC[],MID($A161,1,2)&amp;"*",bc_2017),IF(RIGHT($A161,1)="0",SUMIF(BC[],MID($A161,1,3)&amp;"*",bc_2017),SUMIF(BC[],$A161,bc_2017))))</f>
        <v>0</v>
      </c>
      <c r="D161" s="112">
        <f ca="1">-IF(RIGHT($A161,3)="000",SUMIF(BC[],MID($A161,1,1)&amp;"*",bc_2016),IF(RIGHT($A161,2)="00",SUMIF(BC[],MID($A161,1,2)&amp;"*",bc_2016),IF(RIGHT($A161,1)="0",SUMIF(BC[],MID($A161,1,3)&amp;"*",bc_2016),SUMIF(BC[],$A161,bc_2016))))</f>
        <v>0</v>
      </c>
      <c r="E161" s="157" t="s">
        <v>45</v>
      </c>
    </row>
    <row r="162" spans="1:5">
      <c r="A162" s="158">
        <v>2251</v>
      </c>
      <c r="B162" s="15" t="s">
        <v>518</v>
      </c>
      <c r="C162" s="112">
        <f ca="1">-IF(RIGHT($A162,3)="000",SUMIF(BC[],MID($A162,1,1)&amp;"*",bc_2017),IF(RIGHT($A162,2)="00",SUMIF(BC[],MID($A162,1,2)&amp;"*",bc_2017),IF(RIGHT($A162,1)="0",SUMIF(BC[],MID($A162,1,3)&amp;"*",bc_2017),SUMIF(BC[],$A162,bc_2017))))</f>
        <v>0</v>
      </c>
      <c r="D162" s="112">
        <f ca="1">-IF(RIGHT($A162,3)="000",SUMIF(BC[],MID($A162,1,1)&amp;"*",bc_2016),IF(RIGHT($A162,2)="00",SUMIF(BC[],MID($A162,1,2)&amp;"*",bc_2016),IF(RIGHT($A162,1)="0",SUMIF(BC[],MID($A162,1,3)&amp;"*",bc_2016),SUMIF(BC[],$A162,bc_2016))))</f>
        <v>0</v>
      </c>
      <c r="E162" s="157"/>
    </row>
    <row r="163" spans="1:5">
      <c r="A163" s="158">
        <v>2252</v>
      </c>
      <c r="B163" s="15" t="s">
        <v>519</v>
      </c>
      <c r="C163" s="112">
        <f ca="1">-IF(RIGHT($A163,3)="000",SUMIF(BC[],MID($A163,1,1)&amp;"*",bc_2017),IF(RIGHT($A163,2)="00",SUMIF(BC[],MID($A163,1,2)&amp;"*",bc_2017),IF(RIGHT($A163,1)="0",SUMIF(BC[],MID($A163,1,3)&amp;"*",bc_2017),SUMIF(BC[],$A163,bc_2017))))</f>
        <v>0</v>
      </c>
      <c r="D163" s="112">
        <f ca="1">-IF(RIGHT($A163,3)="000",SUMIF(BC[],MID($A163,1,1)&amp;"*",bc_2016),IF(RIGHT($A163,2)="00",SUMIF(BC[],MID($A163,1,2)&amp;"*",bc_2016),IF(RIGHT($A163,1)="0",SUMIF(BC[],MID($A163,1,3)&amp;"*",bc_2016),SUMIF(BC[],$A163,bc_2016))))</f>
        <v>0</v>
      </c>
      <c r="E163" s="157"/>
    </row>
    <row r="164" spans="1:5">
      <c r="A164" s="158">
        <v>2253</v>
      </c>
      <c r="B164" s="15" t="s">
        <v>520</v>
      </c>
      <c r="C164" s="112">
        <f ca="1">-IF(RIGHT($A164,3)="000",SUMIF(BC[],MID($A164,1,1)&amp;"*",bc_2017),IF(RIGHT($A164,2)="00",SUMIF(BC[],MID($A164,1,2)&amp;"*",bc_2017),IF(RIGHT($A164,1)="0",SUMIF(BC[],MID($A164,1,3)&amp;"*",bc_2017),SUMIF(BC[],$A164,bc_2017))))</f>
        <v>0</v>
      </c>
      <c r="D164" s="112">
        <f ca="1">-IF(RIGHT($A164,3)="000",SUMIF(BC[],MID($A164,1,1)&amp;"*",bc_2016),IF(RIGHT($A164,2)="00",SUMIF(BC[],MID($A164,1,2)&amp;"*",bc_2016),IF(RIGHT($A164,1)="0",SUMIF(BC[],MID($A164,1,3)&amp;"*",bc_2016),SUMIF(BC[],$A164,bc_2016))))</f>
        <v>0</v>
      </c>
      <c r="E164" s="157"/>
    </row>
    <row r="165" spans="1:5">
      <c r="A165" s="158">
        <v>2254</v>
      </c>
      <c r="B165" s="15" t="s">
        <v>521</v>
      </c>
      <c r="C165" s="112">
        <f ca="1">-IF(RIGHT($A165,3)="000",SUMIF(BC[],MID($A165,1,1)&amp;"*",bc_2017),IF(RIGHT($A165,2)="00",SUMIF(BC[],MID($A165,1,2)&amp;"*",bc_2017),IF(RIGHT($A165,1)="0",SUMIF(BC[],MID($A165,1,3)&amp;"*",bc_2017),SUMIF(BC[],$A165,bc_2017))))</f>
        <v>0</v>
      </c>
      <c r="D165" s="112">
        <f ca="1">-IF(RIGHT($A165,3)="000",SUMIF(BC[],MID($A165,1,1)&amp;"*",bc_2016),IF(RIGHT($A165,2)="00",SUMIF(BC[],MID($A165,1,2)&amp;"*",bc_2016),IF(RIGHT($A165,1)="0",SUMIF(BC[],MID($A165,1,3)&amp;"*",bc_2016),SUMIF(BC[],$A165,bc_2016))))</f>
        <v>0</v>
      </c>
      <c r="E165" s="157"/>
    </row>
    <row r="166" spans="1:5">
      <c r="A166" s="158">
        <v>2255</v>
      </c>
      <c r="B166" s="15" t="s">
        <v>522</v>
      </c>
      <c r="C166" s="112">
        <f ca="1">-IF(RIGHT($A166,3)="000",SUMIF(BC[],MID($A166,1,1)&amp;"*",bc_2017),IF(RIGHT($A166,2)="00",SUMIF(BC[],MID($A166,1,2)&amp;"*",bc_2017),IF(RIGHT($A166,1)="0",SUMIF(BC[],MID($A166,1,3)&amp;"*",bc_2017),SUMIF(BC[],$A166,bc_2017))))</f>
        <v>0</v>
      </c>
      <c r="D166" s="112">
        <f ca="1">-IF(RIGHT($A166,3)="000",SUMIF(BC[],MID($A166,1,1)&amp;"*",bc_2016),IF(RIGHT($A166,2)="00",SUMIF(BC[],MID($A166,1,2)&amp;"*",bc_2016),IF(RIGHT($A166,1)="0",SUMIF(BC[],MID($A166,1,3)&amp;"*",bc_2016),SUMIF(BC[],$A166,bc_2016))))</f>
        <v>0</v>
      </c>
      <c r="E166" s="157"/>
    </row>
    <row r="167" spans="1:5">
      <c r="A167" s="158">
        <v>2256</v>
      </c>
      <c r="B167" s="15" t="s">
        <v>523</v>
      </c>
      <c r="C167" s="112">
        <f ca="1">-IF(RIGHT($A167,3)="000",SUMIF(BC[],MID($A167,1,1)&amp;"*",bc_2017),IF(RIGHT($A167,2)="00",SUMIF(BC[],MID($A167,1,2)&amp;"*",bc_2017),IF(RIGHT($A167,1)="0",SUMIF(BC[],MID($A167,1,3)&amp;"*",bc_2017),SUMIF(BC[],$A167,bc_2017))))</f>
        <v>0</v>
      </c>
      <c r="D167" s="112">
        <f ca="1">-IF(RIGHT($A167,3)="000",SUMIF(BC[],MID($A167,1,1)&amp;"*",bc_2016),IF(RIGHT($A167,2)="00",SUMIF(BC[],MID($A167,1,2)&amp;"*",bc_2016),IF(RIGHT($A167,1)="0",SUMIF(BC[],MID($A167,1,3)&amp;"*",bc_2016),SUMIF(BC[],$A167,bc_2016))))</f>
        <v>0</v>
      </c>
      <c r="E167" s="157"/>
    </row>
    <row r="168" spans="1:5">
      <c r="A168" s="158">
        <v>2260</v>
      </c>
      <c r="B168" s="15" t="s">
        <v>55</v>
      </c>
      <c r="C168" s="112">
        <f ca="1">-IF(RIGHT($A168,3)="000",SUMIF(BC[],MID($A168,1,1)&amp;"*",bc_2017),IF(RIGHT($A168,2)="00",SUMIF(BC[],MID($A168,1,2)&amp;"*",bc_2017),IF(RIGHT($A168,1)="0",SUMIF(BC[],MID($A168,1,3)&amp;"*",bc_2017),SUMIF(BC[],$A168,bc_2017))))</f>
        <v>2233972.39</v>
      </c>
      <c r="D168" s="112">
        <f ca="1">-IF(RIGHT($A168,3)="000",SUMIF(BC[],MID($A168,1,1)&amp;"*",bc_2016),IF(RIGHT($A168,2)="00",SUMIF(BC[],MID($A168,1,2)&amp;"*",bc_2016),IF(RIGHT($A168,1)="0",SUMIF(BC[],MID($A168,1,3)&amp;"*",bc_2016),SUMIF(BC[],$A168,bc_2016))))</f>
        <v>2058413.68</v>
      </c>
      <c r="E168" s="157"/>
    </row>
    <row r="169" spans="1:5">
      <c r="A169" s="158">
        <v>2261</v>
      </c>
      <c r="B169" s="15" t="s">
        <v>524</v>
      </c>
      <c r="C169" s="112">
        <f ca="1">-IF(RIGHT($A169,3)="000",SUMIF(BC[],MID($A169,1,1)&amp;"*",bc_2017),IF(RIGHT($A169,2)="00",SUMIF(BC[],MID($A169,1,2)&amp;"*",bc_2017),IF(RIGHT($A169,1)="0",SUMIF(BC[],MID($A169,1,3)&amp;"*",bc_2017),SUMIF(BC[],$A169,bc_2017))))</f>
        <v>0</v>
      </c>
      <c r="D169" s="112">
        <f ca="1">-IF(RIGHT($A169,3)="000",SUMIF(BC[],MID($A169,1,1)&amp;"*",bc_2016),IF(RIGHT($A169,2)="00",SUMIF(BC[],MID($A169,1,2)&amp;"*",bc_2016),IF(RIGHT($A169,1)="0",SUMIF(BC[],MID($A169,1,3)&amp;"*",bc_2016),SUMIF(BC[],$A169,bc_2016))))</f>
        <v>0</v>
      </c>
      <c r="E169" s="157"/>
    </row>
    <row r="170" spans="1:5">
      <c r="A170" s="158">
        <v>2262</v>
      </c>
      <c r="B170" s="15" t="s">
        <v>525</v>
      </c>
      <c r="C170" s="112">
        <f ca="1">-IF(RIGHT($A170,3)="000",SUMIF(BC[],MID($A170,1,1)&amp;"*",bc_2017),IF(RIGHT($A170,2)="00",SUMIF(BC[],MID($A170,1,2)&amp;"*",bc_2017),IF(RIGHT($A170,1)="0",SUMIF(BC[],MID($A170,1,3)&amp;"*",bc_2017),SUMIF(BC[],$A170,bc_2017))))</f>
        <v>0</v>
      </c>
      <c r="D170" s="112">
        <f ca="1">-IF(RIGHT($A170,3)="000",SUMIF(BC[],MID($A170,1,1)&amp;"*",bc_2016),IF(RIGHT($A170,2)="00",SUMIF(BC[],MID($A170,1,2)&amp;"*",bc_2016),IF(RIGHT($A170,1)="0",SUMIF(BC[],MID($A170,1,3)&amp;"*",bc_2016),SUMIF(BC[],$A170,bc_2016))))</f>
        <v>0</v>
      </c>
      <c r="E170" s="157"/>
    </row>
    <row r="171" spans="1:5">
      <c r="A171" s="158">
        <v>2263</v>
      </c>
      <c r="B171" s="15" t="s">
        <v>526</v>
      </c>
      <c r="C171" s="112">
        <f ca="1">-IF(RIGHT($A171,3)="000",SUMIF(BC[],MID($A171,1,1)&amp;"*",bc_2017),IF(RIGHT($A171,2)="00",SUMIF(BC[],MID($A171,1,2)&amp;"*",bc_2017),IF(RIGHT($A171,1)="0",SUMIF(BC[],MID($A171,1,3)&amp;"*",bc_2017),SUMIF(BC[],$A171,bc_2017))))</f>
        <v>0</v>
      </c>
      <c r="D171" s="112">
        <f ca="1">-IF(RIGHT($A171,3)="000",SUMIF(BC[],MID($A171,1,1)&amp;"*",bc_2016),IF(RIGHT($A171,2)="00",SUMIF(BC[],MID($A171,1,2)&amp;"*",bc_2016),IF(RIGHT($A171,1)="0",SUMIF(BC[],MID($A171,1,3)&amp;"*",bc_2016),SUMIF(BC[],$A171,bc_2016))))</f>
        <v>0</v>
      </c>
      <c r="E171" s="157"/>
    </row>
    <row r="172" spans="1:5">
      <c r="A172" s="158">
        <v>2269</v>
      </c>
      <c r="B172" s="15" t="s">
        <v>527</v>
      </c>
      <c r="C172" s="112">
        <f ca="1">-IF(RIGHT($A172,3)="000",SUMIF(BC[],MID($A172,1,1)&amp;"*",bc_2017),IF(RIGHT($A172,2)="00",SUMIF(BC[],MID($A172,1,2)&amp;"*",bc_2017),IF(RIGHT($A172,1)="0",SUMIF(BC[],MID($A172,1,3)&amp;"*",bc_2017),SUMIF(BC[],$A172,bc_2017))))</f>
        <v>2233972.39</v>
      </c>
      <c r="D172" s="112">
        <f ca="1">-IF(RIGHT($A172,3)="000",SUMIF(BC[],MID($A172,1,1)&amp;"*",bc_2016),IF(RIGHT($A172,2)="00",SUMIF(BC[],MID($A172,1,2)&amp;"*",bc_2016),IF(RIGHT($A172,1)="0",SUMIF(BC[],MID($A172,1,3)&amp;"*",bc_2016),SUMIF(BC[],$A172,bc_2016))))</f>
        <v>2058413.68</v>
      </c>
      <c r="E172" s="157"/>
    </row>
    <row r="173" spans="1:5" s="154" customFormat="1">
      <c r="A173" s="155">
        <v>3000</v>
      </c>
      <c r="B173" s="14" t="s">
        <v>56</v>
      </c>
      <c r="C173" s="112">
        <f ca="1">+C174+C178+C193</f>
        <v>28627655.390000012</v>
      </c>
      <c r="D173" s="112">
        <f ca="1">+D174+D178+D193</f>
        <v>25770683.19000002</v>
      </c>
      <c r="E173" s="160"/>
    </row>
    <row r="174" spans="1:5">
      <c r="A174" s="155">
        <v>3100</v>
      </c>
      <c r="B174" s="14" t="s">
        <v>57</v>
      </c>
      <c r="C174" s="112">
        <f ca="1">SUM(C175:C177)</f>
        <v>27577726.700000003</v>
      </c>
      <c r="D174" s="112">
        <f ca="1">SUM(D175:D177)</f>
        <v>26724265.559999999</v>
      </c>
      <c r="E174" s="157" t="s">
        <v>58</v>
      </c>
    </row>
    <row r="175" spans="1:5">
      <c r="A175" s="158">
        <v>3110</v>
      </c>
      <c r="B175" s="15" t="s">
        <v>59</v>
      </c>
      <c r="C175" s="112">
        <f ca="1">-IF(RIGHT($A175,3)="000",SUMIF(BC[],MID($A175,1,1)&amp;"*",bc_2017),IF(RIGHT($A175,2)="00",SUMIF(BC[],MID($A175,1,2)&amp;"*",bc_2017),IF(RIGHT($A175,1)="0",SUMIF(BC[],MID($A175,1,3)&amp;"*",bc_2017),SUMIF(BC[],$A175,bc_2017))))</f>
        <v>27577726.700000003</v>
      </c>
      <c r="D175" s="112">
        <f ca="1">-IF(RIGHT($A175,3)="000",SUMIF(BC[],MID($A175,1,1)&amp;"*",bc_2016),IF(RIGHT($A175,2)="00",SUMIF(BC[],MID($A175,1,2)&amp;"*",bc_2016),IF(RIGHT($A175,1)="0",SUMIF(BC[],MID($A175,1,3)&amp;"*",bc_2016),SUMIF(BC[],$A175,bc_2016))))</f>
        <v>26724265.559999999</v>
      </c>
      <c r="E175" s="157"/>
    </row>
    <row r="176" spans="1:5">
      <c r="A176" s="158">
        <v>3120</v>
      </c>
      <c r="B176" s="15" t="s">
        <v>60</v>
      </c>
      <c r="C176" s="112">
        <f ca="1">-IF(RIGHT($A176,3)="000",SUMIF(BC[],MID($A176,1,1)&amp;"*",bc_2017),IF(RIGHT($A176,2)="00",SUMIF(BC[],MID($A176,1,2)&amp;"*",bc_2017),IF(RIGHT($A176,1)="0",SUMIF(BC[],MID($A176,1,3)&amp;"*",bc_2017),SUMIF(BC[],$A176,bc_2017))))</f>
        <v>0</v>
      </c>
      <c r="D176" s="112">
        <f ca="1">-IF(RIGHT($A176,3)="000",SUMIF(BC[],MID($A176,1,1)&amp;"*",bc_2016),IF(RIGHT($A176,2)="00",SUMIF(BC[],MID($A176,1,2)&amp;"*",bc_2016),IF(RIGHT($A176,1)="0",SUMIF(BC[],MID($A176,1,3)&amp;"*",bc_2016),SUMIF(BC[],$A176,bc_2016))))</f>
        <v>0</v>
      </c>
      <c r="E176" s="157"/>
    </row>
    <row r="177" spans="1:5">
      <c r="A177" s="158">
        <v>3130</v>
      </c>
      <c r="B177" s="15" t="s">
        <v>61</v>
      </c>
      <c r="C177" s="112">
        <f ca="1">-IF(RIGHT($A177,3)="000",SUMIF(BC[],MID($A177,1,1)&amp;"*",bc_2017),IF(RIGHT($A177,2)="00",SUMIF(BC[],MID($A177,1,2)&amp;"*",bc_2017),IF(RIGHT($A177,1)="0",SUMIF(BC[],MID($A177,1,3)&amp;"*",bc_2017),SUMIF(BC[],$A177,bc_2017))))</f>
        <v>0</v>
      </c>
      <c r="D177" s="112">
        <f ca="1">-IF(RIGHT($A177,3)="000",SUMIF(BC[],MID($A177,1,1)&amp;"*",bc_2016),IF(RIGHT($A177,2)="00",SUMIF(BC[],MID($A177,1,2)&amp;"*",bc_2016),IF(RIGHT($A177,1)="0",SUMIF(BC[],MID($A177,1,3)&amp;"*",bc_2016),SUMIF(BC[],$A177,bc_2016))))</f>
        <v>0</v>
      </c>
      <c r="E177" s="157"/>
    </row>
    <row r="178" spans="1:5">
      <c r="A178" s="155">
        <v>3200</v>
      </c>
      <c r="B178" s="14" t="s">
        <v>62</v>
      </c>
      <c r="C178" s="112">
        <f ca="1">+C179+C180+C181+C186+C190</f>
        <v>1049928.6900000083</v>
      </c>
      <c r="D178" s="112">
        <f ca="1">+D179+D180+D181+D186+D190</f>
        <v>-953582.36999997729</v>
      </c>
      <c r="E178" s="157" t="s">
        <v>63</v>
      </c>
    </row>
    <row r="179" spans="1:5">
      <c r="A179" s="158">
        <v>3210</v>
      </c>
      <c r="B179" s="15" t="s">
        <v>64</v>
      </c>
      <c r="C179" s="112">
        <f ca="1">-IF(RIGHT($A179,3)="000",SUMIF(BC[],MID($A179,1,1)&amp;"*",bc_2017),IF(RIGHT($A179,2)="00",SUMIF(BC[],MID($A179,1,2)&amp;"*",bc_2017),IF(RIGHT($A179,1)="0",SUMIF(BC[],MID($A179,1,3)&amp;"*",bc_2017),SUMIF(BC[],$A179,bc_2017))))+'0312_EA'!C207</f>
        <v>394466.96000000834</v>
      </c>
      <c r="D179" s="112">
        <f ca="1">-IF(RIGHT($A179,3)="000",SUMIF(BC[],MID($A179,1,1)&amp;"*",bc_2016),IF(RIGHT($A179,2)="00",SUMIF(BC[],MID($A179,1,2)&amp;"*",bc_2016),IF(RIGHT($A179,1)="0",SUMIF(BC[],MID($A179,1,3)&amp;"*",bc_2016),SUMIF(BC[],$A179,bc_2016))))+'0312_EA'!D207</f>
        <v>-1484625.6799999774</v>
      </c>
      <c r="E179" s="157"/>
    </row>
    <row r="180" spans="1:5">
      <c r="A180" s="158">
        <v>3220</v>
      </c>
      <c r="B180" s="15" t="s">
        <v>65</v>
      </c>
      <c r="C180" s="112">
        <f ca="1">-IF(RIGHT($A180,3)="000",SUMIF(BC[],MID($A180,1,1)&amp;"*",bc_2017),IF(RIGHT($A180,2)="00",SUMIF(BC[],MID($A180,1,2)&amp;"*",bc_2017),IF(RIGHT($A180,1)="0",SUMIF(BC[],MID($A180,1,3)&amp;"*",bc_2017),SUMIF(BC[],$A180,bc_2017))))</f>
        <v>655461.73</v>
      </c>
      <c r="D180" s="112">
        <f ca="1">-IF(RIGHT($A180,3)="000",SUMIF(BC[],MID($A180,1,1)&amp;"*",bc_2016),IF(RIGHT($A180,2)="00",SUMIF(BC[],MID($A180,1,2)&amp;"*",bc_2016),IF(RIGHT($A180,1)="0",SUMIF(BC[],MID($A180,1,3)&amp;"*",bc_2016),SUMIF(BC[],$A180,bc_2016))))</f>
        <v>531043.31000000006</v>
      </c>
      <c r="E180" s="157"/>
    </row>
    <row r="181" spans="1:5">
      <c r="A181" s="158">
        <v>3230</v>
      </c>
      <c r="B181" s="15" t="s">
        <v>66</v>
      </c>
      <c r="C181" s="112">
        <f ca="1">-IF(RIGHT($A181,3)="000",SUMIF(BC[],MID($A181,1,1)&amp;"*",bc_2017),IF(RIGHT($A181,2)="00",SUMIF(BC[],MID($A181,1,2)&amp;"*",bc_2017),IF(RIGHT($A181,1)="0",SUMIF(BC[],MID($A181,1,3)&amp;"*",bc_2017),SUMIF(BC[],$A181,bc_2017))))</f>
        <v>0</v>
      </c>
      <c r="D181" s="112">
        <f ca="1">-IF(RIGHT($A181,3)="000",SUMIF(BC[],MID($A181,1,1)&amp;"*",bc_2016),IF(RIGHT($A181,2)="00",SUMIF(BC[],MID($A181,1,2)&amp;"*",bc_2016),IF(RIGHT($A181,1)="0",SUMIF(BC[],MID($A181,1,3)&amp;"*",bc_2016),SUMIF(BC[],$A181,bc_2016))))</f>
        <v>0</v>
      </c>
      <c r="E181" s="157"/>
    </row>
    <row r="182" spans="1:5">
      <c r="A182" s="158">
        <v>3231</v>
      </c>
      <c r="B182" s="15" t="s">
        <v>528</v>
      </c>
      <c r="C182" s="112">
        <f ca="1">-IF(RIGHT($A182,3)="000",SUMIF(BC[],MID($A182,1,1)&amp;"*",bc_2017),IF(RIGHT($A182,2)="00",SUMIF(BC[],MID($A182,1,2)&amp;"*",bc_2017),IF(RIGHT($A182,1)="0",SUMIF(BC[],MID($A182,1,3)&amp;"*",bc_2017),SUMIF(BC[],$A182,bc_2017))))</f>
        <v>0</v>
      </c>
      <c r="D182" s="112">
        <f ca="1">-IF(RIGHT($A182,3)="000",SUMIF(BC[],MID($A182,1,1)&amp;"*",bc_2016),IF(RIGHT($A182,2)="00",SUMIF(BC[],MID($A182,1,2)&amp;"*",bc_2016),IF(RIGHT($A182,1)="0",SUMIF(BC[],MID($A182,1,3)&amp;"*",bc_2016),SUMIF(BC[],$A182,bc_2016))))</f>
        <v>0</v>
      </c>
      <c r="E182" s="157"/>
    </row>
    <row r="183" spans="1:5">
      <c r="A183" s="158">
        <v>3232</v>
      </c>
      <c r="B183" s="15" t="s">
        <v>529</v>
      </c>
      <c r="C183" s="112">
        <f ca="1">-IF(RIGHT($A183,3)="000",SUMIF(BC[],MID($A183,1,1)&amp;"*",bc_2017),IF(RIGHT($A183,2)="00",SUMIF(BC[],MID($A183,1,2)&amp;"*",bc_2017),IF(RIGHT($A183,1)="0",SUMIF(BC[],MID($A183,1,3)&amp;"*",bc_2017),SUMIF(BC[],$A183,bc_2017))))</f>
        <v>0</v>
      </c>
      <c r="D183" s="112">
        <f ca="1">-IF(RIGHT($A183,3)="000",SUMIF(BC[],MID($A183,1,1)&amp;"*",bc_2016),IF(RIGHT($A183,2)="00",SUMIF(BC[],MID($A183,1,2)&amp;"*",bc_2016),IF(RIGHT($A183,1)="0",SUMIF(BC[],MID($A183,1,3)&amp;"*",bc_2016),SUMIF(BC[],$A183,bc_2016))))</f>
        <v>0</v>
      </c>
      <c r="E183" s="157"/>
    </row>
    <row r="184" spans="1:5">
      <c r="A184" s="158">
        <v>3233</v>
      </c>
      <c r="B184" s="15" t="s">
        <v>530</v>
      </c>
      <c r="C184" s="112">
        <f ca="1">-IF(RIGHT($A184,3)="000",SUMIF(BC[],MID($A184,1,1)&amp;"*",bc_2017),IF(RIGHT($A184,2)="00",SUMIF(BC[],MID($A184,1,2)&amp;"*",bc_2017),IF(RIGHT($A184,1)="0",SUMIF(BC[],MID($A184,1,3)&amp;"*",bc_2017),SUMIF(BC[],$A184,bc_2017))))</f>
        <v>0</v>
      </c>
      <c r="D184" s="112">
        <f ca="1">-IF(RIGHT($A184,3)="000",SUMIF(BC[],MID($A184,1,1)&amp;"*",bc_2016),IF(RIGHT($A184,2)="00",SUMIF(BC[],MID($A184,1,2)&amp;"*",bc_2016),IF(RIGHT($A184,1)="0",SUMIF(BC[],MID($A184,1,3)&amp;"*",bc_2016),SUMIF(BC[],$A184,bc_2016))))</f>
        <v>0</v>
      </c>
      <c r="E184" s="157"/>
    </row>
    <row r="185" spans="1:5">
      <c r="A185" s="158">
        <v>3239</v>
      </c>
      <c r="B185" s="15" t="s">
        <v>531</v>
      </c>
      <c r="C185" s="112">
        <f ca="1">-IF(RIGHT($A185,3)="000",SUMIF(BC[],MID($A185,1,1)&amp;"*",bc_2017),IF(RIGHT($A185,2)="00",SUMIF(BC[],MID($A185,1,2)&amp;"*",bc_2017),IF(RIGHT($A185,1)="0",SUMIF(BC[],MID($A185,1,3)&amp;"*",bc_2017),SUMIF(BC[],$A185,bc_2017))))</f>
        <v>0</v>
      </c>
      <c r="D185" s="112">
        <f ca="1">-IF(RIGHT($A185,3)="000",SUMIF(BC[],MID($A185,1,1)&amp;"*",bc_2016),IF(RIGHT($A185,2)="00",SUMIF(BC[],MID($A185,1,2)&amp;"*",bc_2016),IF(RIGHT($A185,1)="0",SUMIF(BC[],MID($A185,1,3)&amp;"*",bc_2016),SUMIF(BC[],$A185,bc_2016))))</f>
        <v>0</v>
      </c>
      <c r="E185" s="157"/>
    </row>
    <row r="186" spans="1:5">
      <c r="A186" s="158">
        <v>3240</v>
      </c>
      <c r="B186" s="15" t="s">
        <v>67</v>
      </c>
      <c r="C186" s="112">
        <f ca="1">-IF(RIGHT($A186,3)="000",SUMIF(BC[],MID($A186,1,1)&amp;"*",bc_2017),IF(RIGHT($A186,2)="00",SUMIF(BC[],MID($A186,1,2)&amp;"*",bc_2017),IF(RIGHT($A186,1)="0",SUMIF(BC[],MID($A186,1,3)&amp;"*",bc_2017),SUMIF(BC[],$A186,bc_2017))))</f>
        <v>0</v>
      </c>
      <c r="D186" s="112">
        <f ca="1">-IF(RIGHT($A186,3)="000",SUMIF(BC[],MID($A186,1,1)&amp;"*",bc_2016),IF(RIGHT($A186,2)="00",SUMIF(BC[],MID($A186,1,2)&amp;"*",bc_2016),IF(RIGHT($A186,1)="0",SUMIF(BC[],MID($A186,1,3)&amp;"*",bc_2016),SUMIF(BC[],$A186,bc_2016))))</f>
        <v>0</v>
      </c>
      <c r="E186" s="157"/>
    </row>
    <row r="187" spans="1:5">
      <c r="A187" s="158">
        <v>3241</v>
      </c>
      <c r="B187" s="15" t="s">
        <v>532</v>
      </c>
      <c r="C187" s="112">
        <f ca="1">-IF(RIGHT($A187,3)="000",SUMIF(BC[],MID($A187,1,1)&amp;"*",bc_2017),IF(RIGHT($A187,2)="00",SUMIF(BC[],MID($A187,1,2)&amp;"*",bc_2017),IF(RIGHT($A187,1)="0",SUMIF(BC[],MID($A187,1,3)&amp;"*",bc_2017),SUMIF(BC[],$A187,bc_2017))))</f>
        <v>0</v>
      </c>
      <c r="D187" s="112">
        <f ca="1">-IF(RIGHT($A187,3)="000",SUMIF(BC[],MID($A187,1,1)&amp;"*",bc_2016),IF(RIGHT($A187,2)="00",SUMIF(BC[],MID($A187,1,2)&amp;"*",bc_2016),IF(RIGHT($A187,1)="0",SUMIF(BC[],MID($A187,1,3)&amp;"*",bc_2016),SUMIF(BC[],$A187,bc_2016))))</f>
        <v>0</v>
      </c>
      <c r="E187" s="157"/>
    </row>
    <row r="188" spans="1:5">
      <c r="A188" s="158">
        <v>3242</v>
      </c>
      <c r="B188" s="15" t="s">
        <v>533</v>
      </c>
      <c r="C188" s="112">
        <f ca="1">-IF(RIGHT($A188,3)="000",SUMIF(BC[],MID($A188,1,1)&amp;"*",bc_2017),IF(RIGHT($A188,2)="00",SUMIF(BC[],MID($A188,1,2)&amp;"*",bc_2017),IF(RIGHT($A188,1)="0",SUMIF(BC[],MID($A188,1,3)&amp;"*",bc_2017),SUMIF(BC[],$A188,bc_2017))))</f>
        <v>0</v>
      </c>
      <c r="D188" s="112">
        <f ca="1">-IF(RIGHT($A188,3)="000",SUMIF(BC[],MID($A188,1,1)&amp;"*",bc_2016),IF(RIGHT($A188,2)="00",SUMIF(BC[],MID($A188,1,2)&amp;"*",bc_2016),IF(RIGHT($A188,1)="0",SUMIF(BC[],MID($A188,1,3)&amp;"*",bc_2016),SUMIF(BC[],$A188,bc_2016))))</f>
        <v>0</v>
      </c>
      <c r="E188" s="157"/>
    </row>
    <row r="189" spans="1:5">
      <c r="A189" s="158">
        <v>3243</v>
      </c>
      <c r="B189" s="15" t="s">
        <v>534</v>
      </c>
      <c r="C189" s="112">
        <f ca="1">-IF(RIGHT($A189,3)="000",SUMIF(BC[],MID($A189,1,1)&amp;"*",bc_2017),IF(RIGHT($A189,2)="00",SUMIF(BC[],MID($A189,1,2)&amp;"*",bc_2017),IF(RIGHT($A189,1)="0",SUMIF(BC[],MID($A189,1,3)&amp;"*",bc_2017),SUMIF(BC[],$A189,bc_2017))))</f>
        <v>0</v>
      </c>
      <c r="D189" s="112">
        <f ca="1">-IF(RIGHT($A189,3)="000",SUMIF(BC[],MID($A189,1,1)&amp;"*",bc_2016),IF(RIGHT($A189,2)="00",SUMIF(BC[],MID($A189,1,2)&amp;"*",bc_2016),IF(RIGHT($A189,1)="0",SUMIF(BC[],MID($A189,1,3)&amp;"*",bc_2016),SUMIF(BC[],$A189,bc_2016))))</f>
        <v>0</v>
      </c>
      <c r="E189" s="157"/>
    </row>
    <row r="190" spans="1:5">
      <c r="A190" s="158">
        <v>3250</v>
      </c>
      <c r="B190" s="15" t="s">
        <v>68</v>
      </c>
      <c r="C190" s="112">
        <f ca="1">-IF(RIGHT($A190,3)="000",SUMIF(BC[],MID($A190,1,1)&amp;"*",bc_2017),IF(RIGHT($A190,2)="00",SUMIF(BC[],MID($A190,1,2)&amp;"*",bc_2017),IF(RIGHT($A190,1)="0",SUMIF(BC[],MID($A190,1,3)&amp;"*",bc_2017),SUMIF(BC[],$A190,bc_2017))))</f>
        <v>0</v>
      </c>
      <c r="D190" s="112">
        <f ca="1">-IF(RIGHT($A190,3)="000",SUMIF(BC[],MID($A190,1,1)&amp;"*",bc_2016),IF(RIGHT($A190,2)="00",SUMIF(BC[],MID($A190,1,2)&amp;"*",bc_2016),IF(RIGHT($A190,1)="0",SUMIF(BC[],MID($A190,1,3)&amp;"*",bc_2016),SUMIF(BC[],$A190,bc_2016))))</f>
        <v>0</v>
      </c>
      <c r="E190" s="157"/>
    </row>
    <row r="191" spans="1:5">
      <c r="A191" s="158">
        <v>3251</v>
      </c>
      <c r="B191" s="15" t="s">
        <v>535</v>
      </c>
      <c r="C191" s="112">
        <f ca="1">-IF(RIGHT($A191,3)="000",SUMIF(BC[],MID($A191,1,1)&amp;"*",bc_2017),IF(RIGHT($A191,2)="00",SUMIF(BC[],MID($A191,1,2)&amp;"*",bc_2017),IF(RIGHT($A191,1)="0",SUMIF(BC[],MID($A191,1,3)&amp;"*",bc_2017),SUMIF(BC[],$A191,bc_2017))))</f>
        <v>0</v>
      </c>
      <c r="D191" s="112">
        <f ca="1">-IF(RIGHT($A191,3)="000",SUMIF(BC[],MID($A191,1,1)&amp;"*",bc_2016),IF(RIGHT($A191,2)="00",SUMIF(BC[],MID($A191,1,2)&amp;"*",bc_2016),IF(RIGHT($A191,1)="0",SUMIF(BC[],MID($A191,1,3)&amp;"*",bc_2016),SUMIF(BC[],$A191,bc_2016))))</f>
        <v>0</v>
      </c>
      <c r="E191" s="157"/>
    </row>
    <row r="192" spans="1:5">
      <c r="A192" s="158">
        <v>3252</v>
      </c>
      <c r="B192" s="15" t="s">
        <v>536</v>
      </c>
      <c r="C192" s="112">
        <f ca="1">-IF(RIGHT($A192,3)="000",SUMIF(BC[],MID($A192,1,1)&amp;"*",bc_2017),IF(RIGHT($A192,2)="00",SUMIF(BC[],MID($A192,1,2)&amp;"*",bc_2017),IF(RIGHT($A192,1)="0",SUMIF(BC[],MID($A192,1,3)&amp;"*",bc_2017),SUMIF(BC[],$A192,bc_2017))))</f>
        <v>0</v>
      </c>
      <c r="D192" s="112">
        <f ca="1">-IF(RIGHT($A192,3)="000",SUMIF(BC[],MID($A192,1,1)&amp;"*",bc_2016),IF(RIGHT($A192,2)="00",SUMIF(BC[],MID($A192,1,2)&amp;"*",bc_2016),IF(RIGHT($A192,1)="0",SUMIF(BC[],MID($A192,1,3)&amp;"*",bc_2016),SUMIF(BC[],$A192,bc_2016))))</f>
        <v>0</v>
      </c>
      <c r="E192" s="157"/>
    </row>
    <row r="193" spans="1:5" ht="11.25" customHeight="1">
      <c r="A193" s="155">
        <v>3300</v>
      </c>
      <c r="B193" s="14" t="s">
        <v>537</v>
      </c>
      <c r="C193" s="112">
        <f ca="1">SUM(C194:C195)</f>
        <v>0</v>
      </c>
      <c r="D193" s="112">
        <f ca="1">SUM(D194:D195)</f>
        <v>0</v>
      </c>
      <c r="E193" s="157"/>
    </row>
    <row r="194" spans="1:5">
      <c r="A194" s="158">
        <v>3310</v>
      </c>
      <c r="B194" s="15" t="s">
        <v>69</v>
      </c>
      <c r="C194" s="112">
        <f ca="1">-IF(RIGHT($A194,3)="000",SUMIF(BC[],MID($A194,1,1)&amp;"*",bc_2017),IF(RIGHT($A194,2)="00",SUMIF(BC[],MID($A194,1,2)&amp;"*",bc_2017),IF(RIGHT($A194,1)="0",SUMIF(BC[],MID($A194,1,3)&amp;"*",bc_2017),SUMIF(BC[],$A194,bc_2017))))</f>
        <v>0</v>
      </c>
      <c r="D194" s="112">
        <f ca="1">-IF(RIGHT($A194,3)="000",SUMIF(BC[],MID($A194,1,1)&amp;"*",bc_2016),IF(RIGHT($A194,2)="00",SUMIF(BC[],MID($A194,1,2)&amp;"*",bc_2016),IF(RIGHT($A194,1)="0",SUMIF(BC[],MID($A194,1,3)&amp;"*",bc_2016),SUMIF(BC[],$A194,bc_2016))))</f>
        <v>0</v>
      </c>
      <c r="E194" s="157"/>
    </row>
    <row r="195" spans="1:5">
      <c r="A195" s="161">
        <v>3320</v>
      </c>
      <c r="B195" s="16" t="s">
        <v>70</v>
      </c>
      <c r="C195" s="113">
        <f ca="1">-IF(RIGHT($A195,3)="000",SUMIF(BC[],MID($A195,1,1)&amp;"*",bc_2017),IF(RIGHT($A195,2)="00",SUMIF(BC[],MID($A195,1,2)&amp;"*",bc_2017),IF(RIGHT($A195,1)="0",SUMIF(BC[],MID($A195,1,3)&amp;"*",bc_2017),SUMIF(BC[],$A195,bc_2017))))</f>
        <v>0</v>
      </c>
      <c r="D195" s="113">
        <f ca="1">-IF(RIGHT($A195,3)="000",SUMIF(BC[],MID($A195,1,1)&amp;"*",bc_2016),IF(RIGHT($A195,2)="00",SUMIF(BC[],MID($A195,1,2)&amp;"*",bc_2016),IF(RIGHT($A195,1)="0",SUMIF(BC[],MID($A195,1,3)&amp;"*",bc_2016),SUMIF(BC[],$A195,bc_2016))))</f>
        <v>0</v>
      </c>
      <c r="E195" s="163"/>
    </row>
  </sheetData>
  <sheetProtection autoFilter="0"/>
  <mergeCells count="1">
    <mergeCell ref="A1:E1"/>
  </mergeCells>
  <dataValidations count="6">
    <dataValidation allowBlank="1" showInputMessage="1" showErrorMessage="1" prompt="Muestra el saldo de las cuentas acumulado al periodo que se presenta." sqref="C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C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C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C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C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C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C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C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C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C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C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C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C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C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C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C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dataValidation allowBlank="1" showInputMessage="1" showErrorMessage="1" prompt="Muestra el saldo de las cuentas acumulado al 31 de diciembre del ejercicio 2014." sqref="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dataValidation allowBlank="1" showInputMessage="1" showErrorMessage="1" prompt="Muestra el saldo de las cuentas acumulado al 31 de diciembre del ejercicio 2015." sqref="D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D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D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D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D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D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D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D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D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D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D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D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D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D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D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D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dataValidation allowBlank="1" showInputMessage="1" showErrorMessage="1" prompt="Corresponde al nombre o descripción de la cuenta de acuerdo al Plan de Cuentas emitido por el CONAC." sqref="B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B65539 IW65539 SS65539 ACO65539 AMK65539 AWG65539 BGC65539 BPY65539 BZU65539 CJQ65539 CTM65539 DDI65539 DNE65539 DXA65539 EGW65539 EQS65539 FAO65539 FKK65539 FUG65539 GEC65539 GNY65539 GXU65539 HHQ65539 HRM65539 IBI65539 ILE65539 IVA65539 JEW65539 JOS65539 JYO65539 KIK65539 KSG65539 LCC65539 LLY65539 LVU65539 MFQ65539 MPM65539 MZI65539 NJE65539 NTA65539 OCW65539 OMS65539 OWO65539 PGK65539 PQG65539 QAC65539 QJY65539 QTU65539 RDQ65539 RNM65539 RXI65539 SHE65539 SRA65539 TAW65539 TKS65539 TUO65539 UEK65539 UOG65539 UYC65539 VHY65539 VRU65539 WBQ65539 WLM65539 WVI65539 B131075 IW131075 SS131075 ACO131075 AMK131075 AWG131075 BGC131075 BPY131075 BZU131075 CJQ131075 CTM131075 DDI131075 DNE131075 DXA131075 EGW131075 EQS131075 FAO131075 FKK131075 FUG131075 GEC131075 GNY131075 GXU131075 HHQ131075 HRM131075 IBI131075 ILE131075 IVA131075 JEW131075 JOS131075 JYO131075 KIK131075 KSG131075 LCC131075 LLY131075 LVU131075 MFQ131075 MPM131075 MZI131075 NJE131075 NTA131075 OCW131075 OMS131075 OWO131075 PGK131075 PQG131075 QAC131075 QJY131075 QTU131075 RDQ131075 RNM131075 RXI131075 SHE131075 SRA131075 TAW131075 TKS131075 TUO131075 UEK131075 UOG131075 UYC131075 VHY131075 VRU131075 WBQ131075 WLM131075 WVI131075 B196611 IW196611 SS196611 ACO196611 AMK196611 AWG196611 BGC196611 BPY196611 BZU196611 CJQ196611 CTM196611 DDI196611 DNE196611 DXA196611 EGW196611 EQS196611 FAO196611 FKK196611 FUG196611 GEC196611 GNY196611 GXU196611 HHQ196611 HRM196611 IBI196611 ILE196611 IVA196611 JEW196611 JOS196611 JYO196611 KIK196611 KSG196611 LCC196611 LLY196611 LVU196611 MFQ196611 MPM196611 MZI196611 NJE196611 NTA196611 OCW196611 OMS196611 OWO196611 PGK196611 PQG196611 QAC196611 QJY196611 QTU196611 RDQ196611 RNM196611 RXI196611 SHE196611 SRA196611 TAW196611 TKS196611 TUO196611 UEK196611 UOG196611 UYC196611 VHY196611 VRU196611 WBQ196611 WLM196611 WVI196611 B262147 IW262147 SS262147 ACO262147 AMK262147 AWG262147 BGC262147 BPY262147 BZU262147 CJQ262147 CTM262147 DDI262147 DNE262147 DXA262147 EGW262147 EQS262147 FAO262147 FKK262147 FUG262147 GEC262147 GNY262147 GXU262147 HHQ262147 HRM262147 IBI262147 ILE262147 IVA262147 JEW262147 JOS262147 JYO262147 KIK262147 KSG262147 LCC262147 LLY262147 LVU262147 MFQ262147 MPM262147 MZI262147 NJE262147 NTA262147 OCW262147 OMS262147 OWO262147 PGK262147 PQG262147 QAC262147 QJY262147 QTU262147 RDQ262147 RNM262147 RXI262147 SHE262147 SRA262147 TAW262147 TKS262147 TUO262147 UEK262147 UOG262147 UYC262147 VHY262147 VRU262147 WBQ262147 WLM262147 WVI262147 B327683 IW327683 SS327683 ACO327683 AMK327683 AWG327683 BGC327683 BPY327683 BZU327683 CJQ327683 CTM327683 DDI327683 DNE327683 DXA327683 EGW327683 EQS327683 FAO327683 FKK327683 FUG327683 GEC327683 GNY327683 GXU327683 HHQ327683 HRM327683 IBI327683 ILE327683 IVA327683 JEW327683 JOS327683 JYO327683 KIK327683 KSG327683 LCC327683 LLY327683 LVU327683 MFQ327683 MPM327683 MZI327683 NJE327683 NTA327683 OCW327683 OMS327683 OWO327683 PGK327683 PQG327683 QAC327683 QJY327683 QTU327683 RDQ327683 RNM327683 RXI327683 SHE327683 SRA327683 TAW327683 TKS327683 TUO327683 UEK327683 UOG327683 UYC327683 VHY327683 VRU327683 WBQ327683 WLM327683 WVI327683 B393219 IW393219 SS393219 ACO393219 AMK393219 AWG393219 BGC393219 BPY393219 BZU393219 CJQ393219 CTM393219 DDI393219 DNE393219 DXA393219 EGW393219 EQS393219 FAO393219 FKK393219 FUG393219 GEC393219 GNY393219 GXU393219 HHQ393219 HRM393219 IBI393219 ILE393219 IVA393219 JEW393219 JOS393219 JYO393219 KIK393219 KSG393219 LCC393219 LLY393219 LVU393219 MFQ393219 MPM393219 MZI393219 NJE393219 NTA393219 OCW393219 OMS393219 OWO393219 PGK393219 PQG393219 QAC393219 QJY393219 QTU393219 RDQ393219 RNM393219 RXI393219 SHE393219 SRA393219 TAW393219 TKS393219 TUO393219 UEK393219 UOG393219 UYC393219 VHY393219 VRU393219 WBQ393219 WLM393219 WVI393219 B458755 IW458755 SS458755 ACO458755 AMK458755 AWG458755 BGC458755 BPY458755 BZU458755 CJQ458755 CTM458755 DDI458755 DNE458755 DXA458755 EGW458755 EQS458755 FAO458755 FKK458755 FUG458755 GEC458755 GNY458755 GXU458755 HHQ458755 HRM458755 IBI458755 ILE458755 IVA458755 JEW458755 JOS458755 JYO458755 KIK458755 KSG458755 LCC458755 LLY458755 LVU458755 MFQ458755 MPM458755 MZI458755 NJE458755 NTA458755 OCW458755 OMS458755 OWO458755 PGK458755 PQG458755 QAC458755 QJY458755 QTU458755 RDQ458755 RNM458755 RXI458755 SHE458755 SRA458755 TAW458755 TKS458755 TUO458755 UEK458755 UOG458755 UYC458755 VHY458755 VRU458755 WBQ458755 WLM458755 WVI458755 B524291 IW524291 SS524291 ACO524291 AMK524291 AWG524291 BGC524291 BPY524291 BZU524291 CJQ524291 CTM524291 DDI524291 DNE524291 DXA524291 EGW524291 EQS524291 FAO524291 FKK524291 FUG524291 GEC524291 GNY524291 GXU524291 HHQ524291 HRM524291 IBI524291 ILE524291 IVA524291 JEW524291 JOS524291 JYO524291 KIK524291 KSG524291 LCC524291 LLY524291 LVU524291 MFQ524291 MPM524291 MZI524291 NJE524291 NTA524291 OCW524291 OMS524291 OWO524291 PGK524291 PQG524291 QAC524291 QJY524291 QTU524291 RDQ524291 RNM524291 RXI524291 SHE524291 SRA524291 TAW524291 TKS524291 TUO524291 UEK524291 UOG524291 UYC524291 VHY524291 VRU524291 WBQ524291 WLM524291 WVI524291 B589827 IW589827 SS589827 ACO589827 AMK589827 AWG589827 BGC589827 BPY589827 BZU589827 CJQ589827 CTM589827 DDI589827 DNE589827 DXA589827 EGW589827 EQS589827 FAO589827 FKK589827 FUG589827 GEC589827 GNY589827 GXU589827 HHQ589827 HRM589827 IBI589827 ILE589827 IVA589827 JEW589827 JOS589827 JYO589827 KIK589827 KSG589827 LCC589827 LLY589827 LVU589827 MFQ589827 MPM589827 MZI589827 NJE589827 NTA589827 OCW589827 OMS589827 OWO589827 PGK589827 PQG589827 QAC589827 QJY589827 QTU589827 RDQ589827 RNM589827 RXI589827 SHE589827 SRA589827 TAW589827 TKS589827 TUO589827 UEK589827 UOG589827 UYC589827 VHY589827 VRU589827 WBQ589827 WLM589827 WVI589827 B655363 IW655363 SS655363 ACO655363 AMK655363 AWG655363 BGC655363 BPY655363 BZU655363 CJQ655363 CTM655363 DDI655363 DNE655363 DXA655363 EGW655363 EQS655363 FAO655363 FKK655363 FUG655363 GEC655363 GNY655363 GXU655363 HHQ655363 HRM655363 IBI655363 ILE655363 IVA655363 JEW655363 JOS655363 JYO655363 KIK655363 KSG655363 LCC655363 LLY655363 LVU655363 MFQ655363 MPM655363 MZI655363 NJE655363 NTA655363 OCW655363 OMS655363 OWO655363 PGK655363 PQG655363 QAC655363 QJY655363 QTU655363 RDQ655363 RNM655363 RXI655363 SHE655363 SRA655363 TAW655363 TKS655363 TUO655363 UEK655363 UOG655363 UYC655363 VHY655363 VRU655363 WBQ655363 WLM655363 WVI655363 B720899 IW720899 SS720899 ACO720899 AMK720899 AWG720899 BGC720899 BPY720899 BZU720899 CJQ720899 CTM720899 DDI720899 DNE720899 DXA720899 EGW720899 EQS720899 FAO720899 FKK720899 FUG720899 GEC720899 GNY720899 GXU720899 HHQ720899 HRM720899 IBI720899 ILE720899 IVA720899 JEW720899 JOS720899 JYO720899 KIK720899 KSG720899 LCC720899 LLY720899 LVU720899 MFQ720899 MPM720899 MZI720899 NJE720899 NTA720899 OCW720899 OMS720899 OWO720899 PGK720899 PQG720899 QAC720899 QJY720899 QTU720899 RDQ720899 RNM720899 RXI720899 SHE720899 SRA720899 TAW720899 TKS720899 TUO720899 UEK720899 UOG720899 UYC720899 VHY720899 VRU720899 WBQ720899 WLM720899 WVI720899 B786435 IW786435 SS786435 ACO786435 AMK786435 AWG786435 BGC786435 BPY786435 BZU786435 CJQ786435 CTM786435 DDI786435 DNE786435 DXA786435 EGW786435 EQS786435 FAO786435 FKK786435 FUG786435 GEC786435 GNY786435 GXU786435 HHQ786435 HRM786435 IBI786435 ILE786435 IVA786435 JEW786435 JOS786435 JYO786435 KIK786435 KSG786435 LCC786435 LLY786435 LVU786435 MFQ786435 MPM786435 MZI786435 NJE786435 NTA786435 OCW786435 OMS786435 OWO786435 PGK786435 PQG786435 QAC786435 QJY786435 QTU786435 RDQ786435 RNM786435 RXI786435 SHE786435 SRA786435 TAW786435 TKS786435 TUO786435 UEK786435 UOG786435 UYC786435 VHY786435 VRU786435 WBQ786435 WLM786435 WVI786435 B851971 IW851971 SS851971 ACO851971 AMK851971 AWG851971 BGC851971 BPY851971 BZU851971 CJQ851971 CTM851971 DDI851971 DNE851971 DXA851971 EGW851971 EQS851971 FAO851971 FKK851971 FUG851971 GEC851971 GNY851971 GXU851971 HHQ851971 HRM851971 IBI851971 ILE851971 IVA851971 JEW851971 JOS851971 JYO851971 KIK851971 KSG851971 LCC851971 LLY851971 LVU851971 MFQ851971 MPM851971 MZI851971 NJE851971 NTA851971 OCW851971 OMS851971 OWO851971 PGK851971 PQG851971 QAC851971 QJY851971 QTU851971 RDQ851971 RNM851971 RXI851971 SHE851971 SRA851971 TAW851971 TKS851971 TUO851971 UEK851971 UOG851971 UYC851971 VHY851971 VRU851971 WBQ851971 WLM851971 WVI851971 B917507 IW917507 SS917507 ACO917507 AMK917507 AWG917507 BGC917507 BPY917507 BZU917507 CJQ917507 CTM917507 DDI917507 DNE917507 DXA917507 EGW917507 EQS917507 FAO917507 FKK917507 FUG917507 GEC917507 GNY917507 GXU917507 HHQ917507 HRM917507 IBI917507 ILE917507 IVA917507 JEW917507 JOS917507 JYO917507 KIK917507 KSG917507 LCC917507 LLY917507 LVU917507 MFQ917507 MPM917507 MZI917507 NJE917507 NTA917507 OCW917507 OMS917507 OWO917507 PGK917507 PQG917507 QAC917507 QJY917507 QTU917507 RDQ917507 RNM917507 RXI917507 SHE917507 SRA917507 TAW917507 TKS917507 TUO917507 UEK917507 UOG917507 UYC917507 VHY917507 VRU917507 WBQ917507 WLM917507 WVI917507 B983043 IW983043 SS983043 ACO983043 AMK983043 AWG983043 BGC983043 BPY983043 BZU983043 CJQ983043 CTM983043 DDI983043 DNE983043 DXA983043 EGW983043 EQS983043 FAO983043 FKK983043 FUG983043 GEC983043 GNY983043 GXU983043 HHQ983043 HRM983043 IBI983043 ILE983043 IVA983043 JEW983043 JOS983043 JYO983043 KIK983043 KSG983043 LCC983043 LLY983043 LVU983043 MFQ983043 MPM983043 MZI983043 NJE983043 NTA983043 OCW983043 OMS983043 OWO983043 PGK983043 PQG983043 QAC983043 QJY983043 QTU983043 RDQ983043 RNM983043 RXI983043 SHE983043 SRA983043 TAW983043 TKS983043 TUO983043 UEK983043 UOG983043 UYC983043 VHY983043 VRU983043 WBQ983043 WLM983043 WVI983043"/>
    <dataValidation allowBlank="1" showInputMessage="1" showErrorMessage="1" prompt="Corresponde al número de cuenta al 4° nivel del Plan de Cuentas emitido por el CONAC (DOF 23/12/2015)." sqref="A2 IV2 SR2 ACN2 AMJ2 AWF2 BGB2 BPX2 BZT2 CJP2 CTL2 DDH2 DND2 DWZ2 EGV2 EQR2 FAN2 FKJ2 FUF2 GEB2 GNX2 GXT2 HHP2 HRL2 IBH2 ILD2 IUZ2 JEV2 JOR2 JYN2 KIJ2 KSF2 LCB2 LLX2 LVT2 MFP2 MPL2 MZH2 NJD2 NSZ2 OCV2 OMR2 OWN2 PGJ2 PQF2 QAB2 QJX2 QTT2 RDP2 RNL2 RXH2 SHD2 SQZ2 TAV2 TKR2 TUN2 UEJ2 UOF2 UYB2 VHX2 VRT2 WBP2 WLL2 WVH2 A6553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A131075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A196611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A262147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A327683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A393219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A458755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A524291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A589827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A655363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A720899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A786435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A851971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A917507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A983043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WLL983043 WVH983043"/>
    <dataValidation allowBlank="1" showInputMessage="1" showErrorMessage="1" prompt="Dato alfanumérico con el que se vincula este estado financiero con el documento denominado &quot;Notas a los Estados Financieros&quot;."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dataValidations>
  <pageMargins left="0.74803149606299213" right="0.74803149606299213" top="0.98425196850393704" bottom="0.98425196850393704" header="0" footer="0"/>
  <pageSetup scale="71" fitToHeight="0" orientation="portrait" r:id="rId1"/>
  <headerFooter alignWithMargins="0"/>
  <ignoredErrors>
    <ignoredError sqref="C43:D195 C3:D40 C41:D42"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07"/>
  <sheetViews>
    <sheetView showGridLines="0" topLeftCell="B1" workbookViewId="0">
      <pane ySplit="2" topLeftCell="A169" activePane="bottomLeft" state="frozen"/>
      <selection pane="bottomLeft" activeCell="C3" sqref="C3:D207"/>
    </sheetView>
  </sheetViews>
  <sheetFormatPr baseColWidth="10" defaultColWidth="9.28515625" defaultRowHeight="11.25"/>
  <cols>
    <col min="1" max="1" width="7.7109375" style="166" customWidth="1"/>
    <col min="2" max="2" width="62.85546875" style="76" customWidth="1"/>
    <col min="3" max="4" width="16.28515625" style="174" customWidth="1"/>
    <col min="5" max="5" width="6.85546875" style="170" customWidth="1"/>
    <col min="6" max="255" width="9.28515625" style="166"/>
    <col min="256" max="256" width="7.7109375" style="166" customWidth="1"/>
    <col min="257" max="257" width="62.85546875" style="166" customWidth="1"/>
    <col min="258" max="260" width="16.28515625" style="166" customWidth="1"/>
    <col min="261" max="261" width="6.85546875" style="166" customWidth="1"/>
    <col min="262" max="511" width="9.28515625" style="166"/>
    <col min="512" max="512" width="7.7109375" style="166" customWidth="1"/>
    <col min="513" max="513" width="62.85546875" style="166" customWidth="1"/>
    <col min="514" max="516" width="16.28515625" style="166" customWidth="1"/>
    <col min="517" max="517" width="6.85546875" style="166" customWidth="1"/>
    <col min="518" max="767" width="9.28515625" style="166"/>
    <col min="768" max="768" width="7.7109375" style="166" customWidth="1"/>
    <col min="769" max="769" width="62.85546875" style="166" customWidth="1"/>
    <col min="770" max="772" width="16.28515625" style="166" customWidth="1"/>
    <col min="773" max="773" width="6.85546875" style="166" customWidth="1"/>
    <col min="774" max="1023" width="9.28515625" style="166"/>
    <col min="1024" max="1024" width="7.7109375" style="166" customWidth="1"/>
    <col min="1025" max="1025" width="62.85546875" style="166" customWidth="1"/>
    <col min="1026" max="1028" width="16.28515625" style="166" customWidth="1"/>
    <col min="1029" max="1029" width="6.85546875" style="166" customWidth="1"/>
    <col min="1030" max="1279" width="9.28515625" style="166"/>
    <col min="1280" max="1280" width="7.7109375" style="166" customWidth="1"/>
    <col min="1281" max="1281" width="62.85546875" style="166" customWidth="1"/>
    <col min="1282" max="1284" width="16.28515625" style="166" customWidth="1"/>
    <col min="1285" max="1285" width="6.85546875" style="166" customWidth="1"/>
    <col min="1286" max="1535" width="9.28515625" style="166"/>
    <col min="1536" max="1536" width="7.7109375" style="166" customWidth="1"/>
    <col min="1537" max="1537" width="62.85546875" style="166" customWidth="1"/>
    <col min="1538" max="1540" width="16.28515625" style="166" customWidth="1"/>
    <col min="1541" max="1541" width="6.85546875" style="166" customWidth="1"/>
    <col min="1542" max="1791" width="9.28515625" style="166"/>
    <col min="1792" max="1792" width="7.7109375" style="166" customWidth="1"/>
    <col min="1793" max="1793" width="62.85546875" style="166" customWidth="1"/>
    <col min="1794" max="1796" width="16.28515625" style="166" customWidth="1"/>
    <col min="1797" max="1797" width="6.85546875" style="166" customWidth="1"/>
    <col min="1798" max="2047" width="9.28515625" style="166"/>
    <col min="2048" max="2048" width="7.7109375" style="166" customWidth="1"/>
    <col min="2049" max="2049" width="62.85546875" style="166" customWidth="1"/>
    <col min="2050" max="2052" width="16.28515625" style="166" customWidth="1"/>
    <col min="2053" max="2053" width="6.85546875" style="166" customWidth="1"/>
    <col min="2054" max="2303" width="9.28515625" style="166"/>
    <col min="2304" max="2304" width="7.7109375" style="166" customWidth="1"/>
    <col min="2305" max="2305" width="62.85546875" style="166" customWidth="1"/>
    <col min="2306" max="2308" width="16.28515625" style="166" customWidth="1"/>
    <col min="2309" max="2309" width="6.85546875" style="166" customWidth="1"/>
    <col min="2310" max="2559" width="9.28515625" style="166"/>
    <col min="2560" max="2560" width="7.7109375" style="166" customWidth="1"/>
    <col min="2561" max="2561" width="62.85546875" style="166" customWidth="1"/>
    <col min="2562" max="2564" width="16.28515625" style="166" customWidth="1"/>
    <col min="2565" max="2565" width="6.85546875" style="166" customWidth="1"/>
    <col min="2566" max="2815" width="9.28515625" style="166"/>
    <col min="2816" max="2816" width="7.7109375" style="166" customWidth="1"/>
    <col min="2817" max="2817" width="62.85546875" style="166" customWidth="1"/>
    <col min="2818" max="2820" width="16.28515625" style="166" customWidth="1"/>
    <col min="2821" max="2821" width="6.85546875" style="166" customWidth="1"/>
    <col min="2822" max="3071" width="9.28515625" style="166"/>
    <col min="3072" max="3072" width="7.7109375" style="166" customWidth="1"/>
    <col min="3073" max="3073" width="62.85546875" style="166" customWidth="1"/>
    <col min="3074" max="3076" width="16.28515625" style="166" customWidth="1"/>
    <col min="3077" max="3077" width="6.85546875" style="166" customWidth="1"/>
    <col min="3078" max="3327" width="9.28515625" style="166"/>
    <col min="3328" max="3328" width="7.7109375" style="166" customWidth="1"/>
    <col min="3329" max="3329" width="62.85546875" style="166" customWidth="1"/>
    <col min="3330" max="3332" width="16.28515625" style="166" customWidth="1"/>
    <col min="3333" max="3333" width="6.85546875" style="166" customWidth="1"/>
    <col min="3334" max="3583" width="9.28515625" style="166"/>
    <col min="3584" max="3584" width="7.7109375" style="166" customWidth="1"/>
    <col min="3585" max="3585" width="62.85546875" style="166" customWidth="1"/>
    <col min="3586" max="3588" width="16.28515625" style="166" customWidth="1"/>
    <col min="3589" max="3589" width="6.85546875" style="166" customWidth="1"/>
    <col min="3590" max="3839" width="9.28515625" style="166"/>
    <col min="3840" max="3840" width="7.7109375" style="166" customWidth="1"/>
    <col min="3841" max="3841" width="62.85546875" style="166" customWidth="1"/>
    <col min="3842" max="3844" width="16.28515625" style="166" customWidth="1"/>
    <col min="3845" max="3845" width="6.85546875" style="166" customWidth="1"/>
    <col min="3846" max="4095" width="9.28515625" style="166"/>
    <col min="4096" max="4096" width="7.7109375" style="166" customWidth="1"/>
    <col min="4097" max="4097" width="62.85546875" style="166" customWidth="1"/>
    <col min="4098" max="4100" width="16.28515625" style="166" customWidth="1"/>
    <col min="4101" max="4101" width="6.85546875" style="166" customWidth="1"/>
    <col min="4102" max="4351" width="9.28515625" style="166"/>
    <col min="4352" max="4352" width="7.7109375" style="166" customWidth="1"/>
    <col min="4353" max="4353" width="62.85546875" style="166" customWidth="1"/>
    <col min="4354" max="4356" width="16.28515625" style="166" customWidth="1"/>
    <col min="4357" max="4357" width="6.85546875" style="166" customWidth="1"/>
    <col min="4358" max="4607" width="9.28515625" style="166"/>
    <col min="4608" max="4608" width="7.7109375" style="166" customWidth="1"/>
    <col min="4609" max="4609" width="62.85546875" style="166" customWidth="1"/>
    <col min="4610" max="4612" width="16.28515625" style="166" customWidth="1"/>
    <col min="4613" max="4613" width="6.85546875" style="166" customWidth="1"/>
    <col min="4614" max="4863" width="9.28515625" style="166"/>
    <col min="4864" max="4864" width="7.7109375" style="166" customWidth="1"/>
    <col min="4865" max="4865" width="62.85546875" style="166" customWidth="1"/>
    <col min="4866" max="4868" width="16.28515625" style="166" customWidth="1"/>
    <col min="4869" max="4869" width="6.85546875" style="166" customWidth="1"/>
    <col min="4870" max="5119" width="9.28515625" style="166"/>
    <col min="5120" max="5120" width="7.7109375" style="166" customWidth="1"/>
    <col min="5121" max="5121" width="62.85546875" style="166" customWidth="1"/>
    <col min="5122" max="5124" width="16.28515625" style="166" customWidth="1"/>
    <col min="5125" max="5125" width="6.85546875" style="166" customWidth="1"/>
    <col min="5126" max="5375" width="9.28515625" style="166"/>
    <col min="5376" max="5376" width="7.7109375" style="166" customWidth="1"/>
    <col min="5377" max="5377" width="62.85546875" style="166" customWidth="1"/>
    <col min="5378" max="5380" width="16.28515625" style="166" customWidth="1"/>
    <col min="5381" max="5381" width="6.85546875" style="166" customWidth="1"/>
    <col min="5382" max="5631" width="9.28515625" style="166"/>
    <col min="5632" max="5632" width="7.7109375" style="166" customWidth="1"/>
    <col min="5633" max="5633" width="62.85546875" style="166" customWidth="1"/>
    <col min="5634" max="5636" width="16.28515625" style="166" customWidth="1"/>
    <col min="5637" max="5637" width="6.85546875" style="166" customWidth="1"/>
    <col min="5638" max="5887" width="9.28515625" style="166"/>
    <col min="5888" max="5888" width="7.7109375" style="166" customWidth="1"/>
    <col min="5889" max="5889" width="62.85546875" style="166" customWidth="1"/>
    <col min="5890" max="5892" width="16.28515625" style="166" customWidth="1"/>
    <col min="5893" max="5893" width="6.85546875" style="166" customWidth="1"/>
    <col min="5894" max="6143" width="9.28515625" style="166"/>
    <col min="6144" max="6144" width="7.7109375" style="166" customWidth="1"/>
    <col min="6145" max="6145" width="62.85546875" style="166" customWidth="1"/>
    <col min="6146" max="6148" width="16.28515625" style="166" customWidth="1"/>
    <col min="6149" max="6149" width="6.85546875" style="166" customWidth="1"/>
    <col min="6150" max="6399" width="9.28515625" style="166"/>
    <col min="6400" max="6400" width="7.7109375" style="166" customWidth="1"/>
    <col min="6401" max="6401" width="62.85546875" style="166" customWidth="1"/>
    <col min="6402" max="6404" width="16.28515625" style="166" customWidth="1"/>
    <col min="6405" max="6405" width="6.85546875" style="166" customWidth="1"/>
    <col min="6406" max="6655" width="9.28515625" style="166"/>
    <col min="6656" max="6656" width="7.7109375" style="166" customWidth="1"/>
    <col min="6657" max="6657" width="62.85546875" style="166" customWidth="1"/>
    <col min="6658" max="6660" width="16.28515625" style="166" customWidth="1"/>
    <col min="6661" max="6661" width="6.85546875" style="166" customWidth="1"/>
    <col min="6662" max="6911" width="9.28515625" style="166"/>
    <col min="6912" max="6912" width="7.7109375" style="166" customWidth="1"/>
    <col min="6913" max="6913" width="62.85546875" style="166" customWidth="1"/>
    <col min="6914" max="6916" width="16.28515625" style="166" customWidth="1"/>
    <col min="6917" max="6917" width="6.85546875" style="166" customWidth="1"/>
    <col min="6918" max="7167" width="9.28515625" style="166"/>
    <col min="7168" max="7168" width="7.7109375" style="166" customWidth="1"/>
    <col min="7169" max="7169" width="62.85546875" style="166" customWidth="1"/>
    <col min="7170" max="7172" width="16.28515625" style="166" customWidth="1"/>
    <col min="7173" max="7173" width="6.85546875" style="166" customWidth="1"/>
    <col min="7174" max="7423" width="9.28515625" style="166"/>
    <col min="7424" max="7424" width="7.7109375" style="166" customWidth="1"/>
    <col min="7425" max="7425" width="62.85546875" style="166" customWidth="1"/>
    <col min="7426" max="7428" width="16.28515625" style="166" customWidth="1"/>
    <col min="7429" max="7429" width="6.85546875" style="166" customWidth="1"/>
    <col min="7430" max="7679" width="9.28515625" style="166"/>
    <col min="7680" max="7680" width="7.7109375" style="166" customWidth="1"/>
    <col min="7681" max="7681" width="62.85546875" style="166" customWidth="1"/>
    <col min="7682" max="7684" width="16.28515625" style="166" customWidth="1"/>
    <col min="7685" max="7685" width="6.85546875" style="166" customWidth="1"/>
    <col min="7686" max="7935" width="9.28515625" style="166"/>
    <col min="7936" max="7936" width="7.7109375" style="166" customWidth="1"/>
    <col min="7937" max="7937" width="62.85546875" style="166" customWidth="1"/>
    <col min="7938" max="7940" width="16.28515625" style="166" customWidth="1"/>
    <col min="7941" max="7941" width="6.85546875" style="166" customWidth="1"/>
    <col min="7942" max="8191" width="9.28515625" style="166"/>
    <col min="8192" max="8192" width="7.7109375" style="166" customWidth="1"/>
    <col min="8193" max="8193" width="62.85546875" style="166" customWidth="1"/>
    <col min="8194" max="8196" width="16.28515625" style="166" customWidth="1"/>
    <col min="8197" max="8197" width="6.85546875" style="166" customWidth="1"/>
    <col min="8198" max="8447" width="9.28515625" style="166"/>
    <col min="8448" max="8448" width="7.7109375" style="166" customWidth="1"/>
    <col min="8449" max="8449" width="62.85546875" style="166" customWidth="1"/>
    <col min="8450" max="8452" width="16.28515625" style="166" customWidth="1"/>
    <col min="8453" max="8453" width="6.85546875" style="166" customWidth="1"/>
    <col min="8454" max="8703" width="9.28515625" style="166"/>
    <col min="8704" max="8704" width="7.7109375" style="166" customWidth="1"/>
    <col min="8705" max="8705" width="62.85546875" style="166" customWidth="1"/>
    <col min="8706" max="8708" width="16.28515625" style="166" customWidth="1"/>
    <col min="8709" max="8709" width="6.85546875" style="166" customWidth="1"/>
    <col min="8710" max="8959" width="9.28515625" style="166"/>
    <col min="8960" max="8960" width="7.7109375" style="166" customWidth="1"/>
    <col min="8961" max="8961" width="62.85546875" style="166" customWidth="1"/>
    <col min="8962" max="8964" width="16.28515625" style="166" customWidth="1"/>
    <col min="8965" max="8965" width="6.85546875" style="166" customWidth="1"/>
    <col min="8966" max="9215" width="9.28515625" style="166"/>
    <col min="9216" max="9216" width="7.7109375" style="166" customWidth="1"/>
    <col min="9217" max="9217" width="62.85546875" style="166" customWidth="1"/>
    <col min="9218" max="9220" width="16.28515625" style="166" customWidth="1"/>
    <col min="9221" max="9221" width="6.85546875" style="166" customWidth="1"/>
    <col min="9222" max="9471" width="9.28515625" style="166"/>
    <col min="9472" max="9472" width="7.7109375" style="166" customWidth="1"/>
    <col min="9473" max="9473" width="62.85546875" style="166" customWidth="1"/>
    <col min="9474" max="9476" width="16.28515625" style="166" customWidth="1"/>
    <col min="9477" max="9477" width="6.85546875" style="166" customWidth="1"/>
    <col min="9478" max="9727" width="9.28515625" style="166"/>
    <col min="9728" max="9728" width="7.7109375" style="166" customWidth="1"/>
    <col min="9729" max="9729" width="62.85546875" style="166" customWidth="1"/>
    <col min="9730" max="9732" width="16.28515625" style="166" customWidth="1"/>
    <col min="9733" max="9733" width="6.85546875" style="166" customWidth="1"/>
    <col min="9734" max="9983" width="9.28515625" style="166"/>
    <col min="9984" max="9984" width="7.7109375" style="166" customWidth="1"/>
    <col min="9985" max="9985" width="62.85546875" style="166" customWidth="1"/>
    <col min="9986" max="9988" width="16.28515625" style="166" customWidth="1"/>
    <col min="9989" max="9989" width="6.85546875" style="166" customWidth="1"/>
    <col min="9990" max="10239" width="9.28515625" style="166"/>
    <col min="10240" max="10240" width="7.7109375" style="166" customWidth="1"/>
    <col min="10241" max="10241" width="62.85546875" style="166" customWidth="1"/>
    <col min="10242" max="10244" width="16.28515625" style="166" customWidth="1"/>
    <col min="10245" max="10245" width="6.85546875" style="166" customWidth="1"/>
    <col min="10246" max="10495" width="9.28515625" style="166"/>
    <col min="10496" max="10496" width="7.7109375" style="166" customWidth="1"/>
    <col min="10497" max="10497" width="62.85546875" style="166" customWidth="1"/>
    <col min="10498" max="10500" width="16.28515625" style="166" customWidth="1"/>
    <col min="10501" max="10501" width="6.85546875" style="166" customWidth="1"/>
    <col min="10502" max="10751" width="9.28515625" style="166"/>
    <col min="10752" max="10752" width="7.7109375" style="166" customWidth="1"/>
    <col min="10753" max="10753" width="62.85546875" style="166" customWidth="1"/>
    <col min="10754" max="10756" width="16.28515625" style="166" customWidth="1"/>
    <col min="10757" max="10757" width="6.85546875" style="166" customWidth="1"/>
    <col min="10758" max="11007" width="9.28515625" style="166"/>
    <col min="11008" max="11008" width="7.7109375" style="166" customWidth="1"/>
    <col min="11009" max="11009" width="62.85546875" style="166" customWidth="1"/>
    <col min="11010" max="11012" width="16.28515625" style="166" customWidth="1"/>
    <col min="11013" max="11013" width="6.85546875" style="166" customWidth="1"/>
    <col min="11014" max="11263" width="9.28515625" style="166"/>
    <col min="11264" max="11264" width="7.7109375" style="166" customWidth="1"/>
    <col min="11265" max="11265" width="62.85546875" style="166" customWidth="1"/>
    <col min="11266" max="11268" width="16.28515625" style="166" customWidth="1"/>
    <col min="11269" max="11269" width="6.85546875" style="166" customWidth="1"/>
    <col min="11270" max="11519" width="9.28515625" style="166"/>
    <col min="11520" max="11520" width="7.7109375" style="166" customWidth="1"/>
    <col min="11521" max="11521" width="62.85546875" style="166" customWidth="1"/>
    <col min="11522" max="11524" width="16.28515625" style="166" customWidth="1"/>
    <col min="11525" max="11525" width="6.85546875" style="166" customWidth="1"/>
    <col min="11526" max="11775" width="9.28515625" style="166"/>
    <col min="11776" max="11776" width="7.7109375" style="166" customWidth="1"/>
    <col min="11777" max="11777" width="62.85546875" style="166" customWidth="1"/>
    <col min="11778" max="11780" width="16.28515625" style="166" customWidth="1"/>
    <col min="11781" max="11781" width="6.85546875" style="166" customWidth="1"/>
    <col min="11782" max="12031" width="9.28515625" style="166"/>
    <col min="12032" max="12032" width="7.7109375" style="166" customWidth="1"/>
    <col min="12033" max="12033" width="62.85546875" style="166" customWidth="1"/>
    <col min="12034" max="12036" width="16.28515625" style="166" customWidth="1"/>
    <col min="12037" max="12037" width="6.85546875" style="166" customWidth="1"/>
    <col min="12038" max="12287" width="9.28515625" style="166"/>
    <col min="12288" max="12288" width="7.7109375" style="166" customWidth="1"/>
    <col min="12289" max="12289" width="62.85546875" style="166" customWidth="1"/>
    <col min="12290" max="12292" width="16.28515625" style="166" customWidth="1"/>
    <col min="12293" max="12293" width="6.85546875" style="166" customWidth="1"/>
    <col min="12294" max="12543" width="9.28515625" style="166"/>
    <col min="12544" max="12544" width="7.7109375" style="166" customWidth="1"/>
    <col min="12545" max="12545" width="62.85546875" style="166" customWidth="1"/>
    <col min="12546" max="12548" width="16.28515625" style="166" customWidth="1"/>
    <col min="12549" max="12549" width="6.85546875" style="166" customWidth="1"/>
    <col min="12550" max="12799" width="9.28515625" style="166"/>
    <col min="12800" max="12800" width="7.7109375" style="166" customWidth="1"/>
    <col min="12801" max="12801" width="62.85546875" style="166" customWidth="1"/>
    <col min="12802" max="12804" width="16.28515625" style="166" customWidth="1"/>
    <col min="12805" max="12805" width="6.85546875" style="166" customWidth="1"/>
    <col min="12806" max="13055" width="9.28515625" style="166"/>
    <col min="13056" max="13056" width="7.7109375" style="166" customWidth="1"/>
    <col min="13057" max="13057" width="62.85546875" style="166" customWidth="1"/>
    <col min="13058" max="13060" width="16.28515625" style="166" customWidth="1"/>
    <col min="13061" max="13061" width="6.85546875" style="166" customWidth="1"/>
    <col min="13062" max="13311" width="9.28515625" style="166"/>
    <col min="13312" max="13312" width="7.7109375" style="166" customWidth="1"/>
    <col min="13313" max="13313" width="62.85546875" style="166" customWidth="1"/>
    <col min="13314" max="13316" width="16.28515625" style="166" customWidth="1"/>
    <col min="13317" max="13317" width="6.85546875" style="166" customWidth="1"/>
    <col min="13318" max="13567" width="9.28515625" style="166"/>
    <col min="13568" max="13568" width="7.7109375" style="166" customWidth="1"/>
    <col min="13569" max="13569" width="62.85546875" style="166" customWidth="1"/>
    <col min="13570" max="13572" width="16.28515625" style="166" customWidth="1"/>
    <col min="13573" max="13573" width="6.85546875" style="166" customWidth="1"/>
    <col min="13574" max="13823" width="9.28515625" style="166"/>
    <col min="13824" max="13824" width="7.7109375" style="166" customWidth="1"/>
    <col min="13825" max="13825" width="62.85546875" style="166" customWidth="1"/>
    <col min="13826" max="13828" width="16.28515625" style="166" customWidth="1"/>
    <col min="13829" max="13829" width="6.85546875" style="166" customWidth="1"/>
    <col min="13830" max="14079" width="9.28515625" style="166"/>
    <col min="14080" max="14080" width="7.7109375" style="166" customWidth="1"/>
    <col min="14081" max="14081" width="62.85546875" style="166" customWidth="1"/>
    <col min="14082" max="14084" width="16.28515625" style="166" customWidth="1"/>
    <col min="14085" max="14085" width="6.85546875" style="166" customWidth="1"/>
    <col min="14086" max="14335" width="9.28515625" style="166"/>
    <col min="14336" max="14336" width="7.7109375" style="166" customWidth="1"/>
    <col min="14337" max="14337" width="62.85546875" style="166" customWidth="1"/>
    <col min="14338" max="14340" width="16.28515625" style="166" customWidth="1"/>
    <col min="14341" max="14341" width="6.85546875" style="166" customWidth="1"/>
    <col min="14342" max="14591" width="9.28515625" style="166"/>
    <col min="14592" max="14592" width="7.7109375" style="166" customWidth="1"/>
    <col min="14593" max="14593" width="62.85546875" style="166" customWidth="1"/>
    <col min="14594" max="14596" width="16.28515625" style="166" customWidth="1"/>
    <col min="14597" max="14597" width="6.85546875" style="166" customWidth="1"/>
    <col min="14598" max="14847" width="9.28515625" style="166"/>
    <col min="14848" max="14848" width="7.7109375" style="166" customWidth="1"/>
    <col min="14849" max="14849" width="62.85546875" style="166" customWidth="1"/>
    <col min="14850" max="14852" width="16.28515625" style="166" customWidth="1"/>
    <col min="14853" max="14853" width="6.85546875" style="166" customWidth="1"/>
    <col min="14854" max="15103" width="9.28515625" style="166"/>
    <col min="15104" max="15104" width="7.7109375" style="166" customWidth="1"/>
    <col min="15105" max="15105" width="62.85546875" style="166" customWidth="1"/>
    <col min="15106" max="15108" width="16.28515625" style="166" customWidth="1"/>
    <col min="15109" max="15109" width="6.85546875" style="166" customWidth="1"/>
    <col min="15110" max="15359" width="9.28515625" style="166"/>
    <col min="15360" max="15360" width="7.7109375" style="166" customWidth="1"/>
    <col min="15361" max="15361" width="62.85546875" style="166" customWidth="1"/>
    <col min="15362" max="15364" width="16.28515625" style="166" customWidth="1"/>
    <col min="15365" max="15365" width="6.85546875" style="166" customWidth="1"/>
    <col min="15366" max="15615" width="9.28515625" style="166"/>
    <col min="15616" max="15616" width="7.7109375" style="166" customWidth="1"/>
    <col min="15617" max="15617" width="62.85546875" style="166" customWidth="1"/>
    <col min="15618" max="15620" width="16.28515625" style="166" customWidth="1"/>
    <col min="15621" max="15621" width="6.85546875" style="166" customWidth="1"/>
    <col min="15622" max="15871" width="9.28515625" style="166"/>
    <col min="15872" max="15872" width="7.7109375" style="166" customWidth="1"/>
    <col min="15873" max="15873" width="62.85546875" style="166" customWidth="1"/>
    <col min="15874" max="15876" width="16.28515625" style="166" customWidth="1"/>
    <col min="15877" max="15877" width="6.85546875" style="166" customWidth="1"/>
    <col min="15878" max="16127" width="9.28515625" style="166"/>
    <col min="16128" max="16128" width="7.7109375" style="166" customWidth="1"/>
    <col min="16129" max="16129" width="62.85546875" style="166" customWidth="1"/>
    <col min="16130" max="16132" width="16.28515625" style="166" customWidth="1"/>
    <col min="16133" max="16133" width="6.85546875" style="166" customWidth="1"/>
    <col min="16134" max="16384" width="9.28515625" style="166"/>
  </cols>
  <sheetData>
    <row r="1" spans="1:5" ht="35.1" customHeight="1">
      <c r="A1" s="1001" t="str">
        <f>+Títulos!$B$2&amp;"
ESTADO DE ACTIVIDADES
DEL 01 DE ENERO AL "&amp;Títulos!$B$3</f>
        <v>TRIBUNAL DE JUSTICIA ADMINISTRATIVA
ESTADO DE ACTIVIDADES
DEL 01 DE ENERO AL 31 DE DICIEMBRE DE 2017</v>
      </c>
      <c r="B1" s="1002"/>
      <c r="C1" s="1002"/>
      <c r="D1" s="1002"/>
      <c r="E1" s="1003"/>
    </row>
    <row r="2" spans="1:5" ht="15" customHeight="1">
      <c r="A2" s="141" t="s">
        <v>0</v>
      </c>
      <c r="B2" s="362" t="s">
        <v>1</v>
      </c>
      <c r="C2" s="573" t="s">
        <v>1531</v>
      </c>
      <c r="D2" s="573" t="s">
        <v>1532</v>
      </c>
      <c r="E2" s="141" t="s">
        <v>2</v>
      </c>
    </row>
    <row r="3" spans="1:5" s="168" customFormat="1">
      <c r="A3" s="155">
        <v>4000</v>
      </c>
      <c r="B3" s="61" t="s">
        <v>170</v>
      </c>
      <c r="C3" s="355">
        <f ca="1">-IF(RIGHT($A3,3)="000",SUMIF(BC[],MID($A3,1,1)&amp;"*",bc_2017),IF(RIGHT($A3,2)="00",SUMIF(BC[],MID($A3,1,2)&amp;"*",bc_2017),IF(RIGHT($A3,1)="0",SUMIF(BC[],MID($A3,1,3)&amp;"*",bc_2017),SUMIF(BC[],$A3,bc_2017))))</f>
        <v>86401234.179999992</v>
      </c>
      <c r="D3" s="355">
        <f ca="1">-IF(RIGHT($A3,3)="000",SUMIF(BC[],MID($A3,1,1)&amp;"*",bc_2016),IF(RIGHT($A3,2)="00",SUMIF(BC[],MID($A3,1,2)&amp;"*",bc_2016),IF(RIGHT($A3,1)="0",SUMIF(BC[],MID($A3,1,3)&amp;"*",bc_2016),SUMIF(BC[],$A3,bc_2016))))</f>
        <v>73275719.020000011</v>
      </c>
      <c r="E3" s="167"/>
    </row>
    <row r="4" spans="1:5">
      <c r="A4" s="155">
        <v>4100</v>
      </c>
      <c r="B4" s="61" t="s">
        <v>171</v>
      </c>
      <c r="C4" s="112">
        <f ca="1">-IF(RIGHT($A4,3)="000",SUMIF(BC[],MID($A4,1,1)&amp;"*",bc_2017),IF(RIGHT($A4,2)="00",SUMIF(BC[],MID($A4,1,2)&amp;"*",bc_2017),IF(RIGHT($A4,1)="0",SUMIF(BC[],MID($A4,1,3)&amp;"*",bc_2017),SUMIF(BC[],$A4,bc_2017))))</f>
        <v>2925534.31</v>
      </c>
      <c r="D4" s="112">
        <f ca="1">-IF(RIGHT($A4,3)="000",SUMIF(BC[],MID($A4,1,1)&amp;"*",bc_2016),IF(RIGHT($A4,2)="00",SUMIF(BC[],MID($A4,1,2)&amp;"*",bc_2016),IF(RIGHT($A4,1)="0",SUMIF(BC[],MID($A4,1,3)&amp;"*",bc_2016),SUMIF(BC[],$A4,bc_2016))))</f>
        <v>905941.16999999993</v>
      </c>
      <c r="E4" s="169" t="s">
        <v>172</v>
      </c>
    </row>
    <row r="5" spans="1:5">
      <c r="A5" s="158">
        <v>4110</v>
      </c>
      <c r="B5" s="76" t="s">
        <v>102</v>
      </c>
      <c r="C5" s="112">
        <f ca="1">-IF(RIGHT($A5,3)="000",SUMIF(BC[],MID($A5,1,1)&amp;"*",bc_2017),IF(RIGHT($A5,2)="00",SUMIF(BC[],MID($A5,1,2)&amp;"*",bc_2017),IF(RIGHT($A5,1)="0",SUMIF(BC[],MID($A5,1,3)&amp;"*",bc_2017),SUMIF(BC[],$A5,bc_2017))))</f>
        <v>0</v>
      </c>
      <c r="D5" s="112">
        <f ca="1">-IF(RIGHT($A5,3)="000",SUMIF(BC[],MID($A5,1,1)&amp;"*",bc_2016),IF(RIGHT($A5,2)="00",SUMIF(BC[],MID($A5,1,2)&amp;"*",bc_2016),IF(RIGHT($A5,1)="0",SUMIF(BC[],MID($A5,1,3)&amp;"*",bc_2016),SUMIF(BC[],$A5,bc_2016))))</f>
        <v>0</v>
      </c>
      <c r="E5" s="171"/>
    </row>
    <row r="6" spans="1:5">
      <c r="A6" s="158">
        <v>4111</v>
      </c>
      <c r="B6" s="76" t="s">
        <v>538</v>
      </c>
      <c r="C6" s="112">
        <f ca="1">-IF(RIGHT($A6,3)="000",SUMIF(BC[],MID($A6,1,1)&amp;"*",bc_2017),IF(RIGHT($A6,2)="00",SUMIF(BC[],MID($A6,1,2)&amp;"*",bc_2017),IF(RIGHT($A6,1)="0",SUMIF(BC[],MID($A6,1,3)&amp;"*",bc_2017),SUMIF(BC[],$A6,bc_2017))))</f>
        <v>0</v>
      </c>
      <c r="D6" s="112">
        <f ca="1">-IF(RIGHT($A6,3)="000",SUMIF(BC[],MID($A6,1,1)&amp;"*",bc_2016),IF(RIGHT($A6,2)="00",SUMIF(BC[],MID($A6,1,2)&amp;"*",bc_2016),IF(RIGHT($A6,1)="0",SUMIF(BC[],MID($A6,1,3)&amp;"*",bc_2016),SUMIF(BC[],$A6,bc_2016))))</f>
        <v>0</v>
      </c>
      <c r="E6" s="171"/>
    </row>
    <row r="7" spans="1:5">
      <c r="A7" s="158">
        <v>4112</v>
      </c>
      <c r="B7" s="76" t="s">
        <v>539</v>
      </c>
      <c r="C7" s="112">
        <f ca="1">-IF(RIGHT($A7,3)="000",SUMIF(BC[],MID($A7,1,1)&amp;"*",bc_2017),IF(RIGHT($A7,2)="00",SUMIF(BC[],MID($A7,1,2)&amp;"*",bc_2017),IF(RIGHT($A7,1)="0",SUMIF(BC[],MID($A7,1,3)&amp;"*",bc_2017),SUMIF(BC[],$A7,bc_2017))))</f>
        <v>0</v>
      </c>
      <c r="D7" s="112">
        <f ca="1">-IF(RIGHT($A7,3)="000",SUMIF(BC[],MID($A7,1,1)&amp;"*",bc_2016),IF(RIGHT($A7,2)="00",SUMIF(BC[],MID($A7,1,2)&amp;"*",bc_2016),IF(RIGHT($A7,1)="0",SUMIF(BC[],MID($A7,1,3)&amp;"*",bc_2016),SUMIF(BC[],$A7,bc_2016))))</f>
        <v>0</v>
      </c>
      <c r="E7" s="171"/>
    </row>
    <row r="8" spans="1:5">
      <c r="A8" s="158">
        <v>4113</v>
      </c>
      <c r="B8" s="76" t="s">
        <v>540</v>
      </c>
      <c r="C8" s="112">
        <f ca="1">-IF(RIGHT($A8,3)="000",SUMIF(BC[],MID($A8,1,1)&amp;"*",bc_2017),IF(RIGHT($A8,2)="00",SUMIF(BC[],MID($A8,1,2)&amp;"*",bc_2017),IF(RIGHT($A8,1)="0",SUMIF(BC[],MID($A8,1,3)&amp;"*",bc_2017),SUMIF(BC[],$A8,bc_2017))))</f>
        <v>0</v>
      </c>
      <c r="D8" s="112">
        <f ca="1">-IF(RIGHT($A8,3)="000",SUMIF(BC[],MID($A8,1,1)&amp;"*",bc_2016),IF(RIGHT($A8,2)="00",SUMIF(BC[],MID($A8,1,2)&amp;"*",bc_2016),IF(RIGHT($A8,1)="0",SUMIF(BC[],MID($A8,1,3)&amp;"*",bc_2016),SUMIF(BC[],$A8,bc_2016))))</f>
        <v>0</v>
      </c>
      <c r="E8" s="171"/>
    </row>
    <row r="9" spans="1:5">
      <c r="A9" s="158">
        <v>4114</v>
      </c>
      <c r="B9" s="76" t="s">
        <v>541</v>
      </c>
      <c r="C9" s="112">
        <f ca="1">-IF(RIGHT($A9,3)="000",SUMIF(BC[],MID($A9,1,1)&amp;"*",bc_2017),IF(RIGHT($A9,2)="00",SUMIF(BC[],MID($A9,1,2)&amp;"*",bc_2017),IF(RIGHT($A9,1)="0",SUMIF(BC[],MID($A9,1,3)&amp;"*",bc_2017),SUMIF(BC[],$A9,bc_2017))))</f>
        <v>0</v>
      </c>
      <c r="D9" s="112">
        <f ca="1">-IF(RIGHT($A9,3)="000",SUMIF(BC[],MID($A9,1,1)&amp;"*",bc_2016),IF(RIGHT($A9,2)="00",SUMIF(BC[],MID($A9,1,2)&amp;"*",bc_2016),IF(RIGHT($A9,1)="0",SUMIF(BC[],MID($A9,1,3)&amp;"*",bc_2016),SUMIF(BC[],$A9,bc_2016))))</f>
        <v>0</v>
      </c>
      <c r="E9" s="171"/>
    </row>
    <row r="10" spans="1:5">
      <c r="A10" s="158">
        <v>4115</v>
      </c>
      <c r="B10" s="76" t="s">
        <v>542</v>
      </c>
      <c r="C10" s="112">
        <f ca="1">-IF(RIGHT($A10,3)="000",SUMIF(BC[],MID($A10,1,1)&amp;"*",bc_2017),IF(RIGHT($A10,2)="00",SUMIF(BC[],MID($A10,1,2)&amp;"*",bc_2017),IF(RIGHT($A10,1)="0",SUMIF(BC[],MID($A10,1,3)&amp;"*",bc_2017),SUMIF(BC[],$A10,bc_2017))))</f>
        <v>0</v>
      </c>
      <c r="D10" s="112">
        <f ca="1">-IF(RIGHT($A10,3)="000",SUMIF(BC[],MID($A10,1,1)&amp;"*",bc_2016),IF(RIGHT($A10,2)="00",SUMIF(BC[],MID($A10,1,2)&amp;"*",bc_2016),IF(RIGHT($A10,1)="0",SUMIF(BC[],MID($A10,1,3)&amp;"*",bc_2016),SUMIF(BC[],$A10,bc_2016))))</f>
        <v>0</v>
      </c>
      <c r="E10" s="171"/>
    </row>
    <row r="11" spans="1:5">
      <c r="A11" s="158">
        <v>4116</v>
      </c>
      <c r="B11" s="76" t="s">
        <v>543</v>
      </c>
      <c r="C11" s="112">
        <f ca="1">-IF(RIGHT($A11,3)="000",SUMIF(BC[],MID($A11,1,1)&amp;"*",bc_2017),IF(RIGHT($A11,2)="00",SUMIF(BC[],MID($A11,1,2)&amp;"*",bc_2017),IF(RIGHT($A11,1)="0",SUMIF(BC[],MID($A11,1,3)&amp;"*",bc_2017),SUMIF(BC[],$A11,bc_2017))))</f>
        <v>0</v>
      </c>
      <c r="D11" s="112">
        <f ca="1">-IF(RIGHT($A11,3)="000",SUMIF(BC[],MID($A11,1,1)&amp;"*",bc_2016),IF(RIGHT($A11,2)="00",SUMIF(BC[],MID($A11,1,2)&amp;"*",bc_2016),IF(RIGHT($A11,1)="0",SUMIF(BC[],MID($A11,1,3)&amp;"*",bc_2016),SUMIF(BC[],$A11,bc_2016))))</f>
        <v>0</v>
      </c>
      <c r="E11" s="171"/>
    </row>
    <row r="12" spans="1:5">
      <c r="A12" s="158">
        <v>4117</v>
      </c>
      <c r="B12" s="76" t="s">
        <v>544</v>
      </c>
      <c r="C12" s="112">
        <f ca="1">-IF(RIGHT($A12,3)="000",SUMIF(BC[],MID($A12,1,1)&amp;"*",bc_2017),IF(RIGHT($A12,2)="00",SUMIF(BC[],MID($A12,1,2)&amp;"*",bc_2017),IF(RIGHT($A12,1)="0",SUMIF(BC[],MID($A12,1,3)&amp;"*",bc_2017),SUMIF(BC[],$A12,bc_2017))))</f>
        <v>0</v>
      </c>
      <c r="D12" s="112">
        <f ca="1">-IF(RIGHT($A12,3)="000",SUMIF(BC[],MID($A12,1,1)&amp;"*",bc_2016),IF(RIGHT($A12,2)="00",SUMIF(BC[],MID($A12,1,2)&amp;"*",bc_2016),IF(RIGHT($A12,1)="0",SUMIF(BC[],MID($A12,1,3)&amp;"*",bc_2016),SUMIF(BC[],$A12,bc_2016))))</f>
        <v>0</v>
      </c>
      <c r="E12" s="171"/>
    </row>
    <row r="13" spans="1:5">
      <c r="A13" s="158">
        <v>4119</v>
      </c>
      <c r="B13" s="76" t="s">
        <v>545</v>
      </c>
      <c r="C13" s="112">
        <f ca="1">-IF(RIGHT($A13,3)="000",SUMIF(BC[],MID($A13,1,1)&amp;"*",bc_2017),IF(RIGHT($A13,2)="00",SUMIF(BC[],MID($A13,1,2)&amp;"*",bc_2017),IF(RIGHT($A13,1)="0",SUMIF(BC[],MID($A13,1,3)&amp;"*",bc_2017),SUMIF(BC[],$A13,bc_2017))))</f>
        <v>0</v>
      </c>
      <c r="D13" s="112">
        <f ca="1">-IF(RIGHT($A13,3)="000",SUMIF(BC[],MID($A13,1,1)&amp;"*",bc_2016),IF(RIGHT($A13,2)="00",SUMIF(BC[],MID($A13,1,2)&amp;"*",bc_2016),IF(RIGHT($A13,1)="0",SUMIF(BC[],MID($A13,1,3)&amp;"*",bc_2016),SUMIF(BC[],$A13,bc_2016))))</f>
        <v>0</v>
      </c>
      <c r="E13" s="171"/>
    </row>
    <row r="14" spans="1:5">
      <c r="A14" s="158">
        <v>4120</v>
      </c>
      <c r="B14" s="76" t="s">
        <v>173</v>
      </c>
      <c r="C14" s="112">
        <f ca="1">-IF(RIGHT($A14,3)="000",SUMIF(BC[],MID($A14,1,1)&amp;"*",bc_2017),IF(RIGHT($A14,2)="00",SUMIF(BC[],MID($A14,1,2)&amp;"*",bc_2017),IF(RIGHT($A14,1)="0",SUMIF(BC[],MID($A14,1,3)&amp;"*",bc_2017),SUMIF(BC[],$A14,bc_2017))))</f>
        <v>0</v>
      </c>
      <c r="D14" s="112">
        <f ca="1">-IF(RIGHT($A14,3)="000",SUMIF(BC[],MID($A14,1,1)&amp;"*",bc_2016),IF(RIGHT($A14,2)="00",SUMIF(BC[],MID($A14,1,2)&amp;"*",bc_2016),IF(RIGHT($A14,1)="0",SUMIF(BC[],MID($A14,1,3)&amp;"*",bc_2016),SUMIF(BC[],$A14,bc_2016))))</f>
        <v>0</v>
      </c>
      <c r="E14" s="171"/>
    </row>
    <row r="15" spans="1:5">
      <c r="A15" s="158">
        <v>4121</v>
      </c>
      <c r="B15" s="76" t="s">
        <v>546</v>
      </c>
      <c r="C15" s="112">
        <f ca="1">-IF(RIGHT($A15,3)="000",SUMIF(BC[],MID($A15,1,1)&amp;"*",bc_2017),IF(RIGHT($A15,2)="00",SUMIF(BC[],MID($A15,1,2)&amp;"*",bc_2017),IF(RIGHT($A15,1)="0",SUMIF(BC[],MID($A15,1,3)&amp;"*",bc_2017),SUMIF(BC[],$A15,bc_2017))))</f>
        <v>0</v>
      </c>
      <c r="D15" s="112">
        <f ca="1">-IF(RIGHT($A15,3)="000",SUMIF(BC[],MID($A15,1,1)&amp;"*",bc_2016),IF(RIGHT($A15,2)="00",SUMIF(BC[],MID($A15,1,2)&amp;"*",bc_2016),IF(RIGHT($A15,1)="0",SUMIF(BC[],MID($A15,1,3)&amp;"*",bc_2016),SUMIF(BC[],$A15,bc_2016))))</f>
        <v>0</v>
      </c>
      <c r="E15" s="171"/>
    </row>
    <row r="16" spans="1:5">
      <c r="A16" s="158">
        <v>4122</v>
      </c>
      <c r="B16" s="76" t="s">
        <v>547</v>
      </c>
      <c r="C16" s="112">
        <f ca="1">-IF(RIGHT($A16,3)="000",SUMIF(BC[],MID($A16,1,1)&amp;"*",bc_2017),IF(RIGHT($A16,2)="00",SUMIF(BC[],MID($A16,1,2)&amp;"*",bc_2017),IF(RIGHT($A16,1)="0",SUMIF(BC[],MID($A16,1,3)&amp;"*",bc_2017),SUMIF(BC[],$A16,bc_2017))))</f>
        <v>0</v>
      </c>
      <c r="D16" s="112">
        <f ca="1">-IF(RIGHT($A16,3)="000",SUMIF(BC[],MID($A16,1,1)&amp;"*",bc_2016),IF(RIGHT($A16,2)="00",SUMIF(BC[],MID($A16,1,2)&amp;"*",bc_2016),IF(RIGHT($A16,1)="0",SUMIF(BC[],MID($A16,1,3)&amp;"*",bc_2016),SUMIF(BC[],$A16,bc_2016))))</f>
        <v>0</v>
      </c>
      <c r="E16" s="171"/>
    </row>
    <row r="17" spans="1:5">
      <c r="A17" s="158">
        <v>4123</v>
      </c>
      <c r="B17" s="76" t="s">
        <v>548</v>
      </c>
      <c r="C17" s="112">
        <f ca="1">-IF(RIGHT($A17,3)="000",SUMIF(BC[],MID($A17,1,1)&amp;"*",bc_2017),IF(RIGHT($A17,2)="00",SUMIF(BC[],MID($A17,1,2)&amp;"*",bc_2017),IF(RIGHT($A17,1)="0",SUMIF(BC[],MID($A17,1,3)&amp;"*",bc_2017),SUMIF(BC[],$A17,bc_2017))))</f>
        <v>0</v>
      </c>
      <c r="D17" s="112">
        <f ca="1">-IF(RIGHT($A17,3)="000",SUMIF(BC[],MID($A17,1,1)&amp;"*",bc_2016),IF(RIGHT($A17,2)="00",SUMIF(BC[],MID($A17,1,2)&amp;"*",bc_2016),IF(RIGHT($A17,1)="0",SUMIF(BC[],MID($A17,1,3)&amp;"*",bc_2016),SUMIF(BC[],$A17,bc_2016))))</f>
        <v>0</v>
      </c>
      <c r="E17" s="171"/>
    </row>
    <row r="18" spans="1:5">
      <c r="A18" s="158">
        <v>4124</v>
      </c>
      <c r="B18" s="76" t="s">
        <v>549</v>
      </c>
      <c r="C18" s="112">
        <f ca="1">-IF(RIGHT($A18,3)="000",SUMIF(BC[],MID($A18,1,1)&amp;"*",bc_2017),IF(RIGHT($A18,2)="00",SUMIF(BC[],MID($A18,1,2)&amp;"*",bc_2017),IF(RIGHT($A18,1)="0",SUMIF(BC[],MID($A18,1,3)&amp;"*",bc_2017),SUMIF(BC[],$A18,bc_2017))))</f>
        <v>0</v>
      </c>
      <c r="D18" s="112">
        <f ca="1">-IF(RIGHT($A18,3)="000",SUMIF(BC[],MID($A18,1,1)&amp;"*",bc_2016),IF(RIGHT($A18,2)="00",SUMIF(BC[],MID($A18,1,2)&amp;"*",bc_2016),IF(RIGHT($A18,1)="0",SUMIF(BC[],MID($A18,1,3)&amp;"*",bc_2016),SUMIF(BC[],$A18,bc_2016))))</f>
        <v>0</v>
      </c>
      <c r="E18" s="171"/>
    </row>
    <row r="19" spans="1:5">
      <c r="A19" s="158">
        <v>4129</v>
      </c>
      <c r="B19" s="76" t="s">
        <v>550</v>
      </c>
      <c r="C19" s="112">
        <f ca="1">-IF(RIGHT($A19,3)="000",SUMIF(BC[],MID($A19,1,1)&amp;"*",bc_2017),IF(RIGHT($A19,2)="00",SUMIF(BC[],MID($A19,1,2)&amp;"*",bc_2017),IF(RIGHT($A19,1)="0",SUMIF(BC[],MID($A19,1,3)&amp;"*",bc_2017),SUMIF(BC[],$A19,bc_2017))))</f>
        <v>0</v>
      </c>
      <c r="D19" s="112">
        <f ca="1">-IF(RIGHT($A19,3)="000",SUMIF(BC[],MID($A19,1,1)&amp;"*",bc_2016),IF(RIGHT($A19,2)="00",SUMIF(BC[],MID($A19,1,2)&amp;"*",bc_2016),IF(RIGHT($A19,1)="0",SUMIF(BC[],MID($A19,1,3)&amp;"*",bc_2016),SUMIF(BC[],$A19,bc_2016))))</f>
        <v>0</v>
      </c>
      <c r="E19" s="171"/>
    </row>
    <row r="20" spans="1:5">
      <c r="A20" s="158">
        <v>4130</v>
      </c>
      <c r="B20" s="76" t="s">
        <v>104</v>
      </c>
      <c r="C20" s="112">
        <f ca="1">-IF(RIGHT($A20,3)="000",SUMIF(BC[],MID($A20,1,1)&amp;"*",bc_2017),IF(RIGHT($A20,2)="00",SUMIF(BC[],MID($A20,1,2)&amp;"*",bc_2017),IF(RIGHT($A20,1)="0",SUMIF(BC[],MID($A20,1,3)&amp;"*",bc_2017),SUMIF(BC[],$A20,bc_2017))))</f>
        <v>0</v>
      </c>
      <c r="D20" s="112">
        <f ca="1">-IF(RIGHT($A20,3)="000",SUMIF(BC[],MID($A20,1,1)&amp;"*",bc_2016),IF(RIGHT($A20,2)="00",SUMIF(BC[],MID($A20,1,2)&amp;"*",bc_2016),IF(RIGHT($A20,1)="0",SUMIF(BC[],MID($A20,1,3)&amp;"*",bc_2016),SUMIF(BC[],$A20,bc_2016))))</f>
        <v>0</v>
      </c>
      <c r="E20" s="171"/>
    </row>
    <row r="21" spans="1:5">
      <c r="A21" s="158">
        <v>4131</v>
      </c>
      <c r="B21" s="76" t="s">
        <v>551</v>
      </c>
      <c r="C21" s="112">
        <f ca="1">-IF(RIGHT($A21,3)="000",SUMIF(BC[],MID($A21,1,1)&amp;"*",bc_2017),IF(RIGHT($A21,2)="00",SUMIF(BC[],MID($A21,1,2)&amp;"*",bc_2017),IF(RIGHT($A21,1)="0",SUMIF(BC[],MID($A21,1,3)&amp;"*",bc_2017),SUMIF(BC[],$A21,bc_2017))))</f>
        <v>0</v>
      </c>
      <c r="D21" s="112">
        <f ca="1">-IF(RIGHT($A21,3)="000",SUMIF(BC[],MID($A21,1,1)&amp;"*",bc_2016),IF(RIGHT($A21,2)="00",SUMIF(BC[],MID($A21,1,2)&amp;"*",bc_2016),IF(RIGHT($A21,1)="0",SUMIF(BC[],MID($A21,1,3)&amp;"*",bc_2016),SUMIF(BC[],$A21,bc_2016))))</f>
        <v>0</v>
      </c>
      <c r="E21" s="171"/>
    </row>
    <row r="22" spans="1:5">
      <c r="A22" s="158">
        <v>4140</v>
      </c>
      <c r="B22" s="76" t="s">
        <v>105</v>
      </c>
      <c r="C22" s="112">
        <f ca="1">-IF(RIGHT($A22,3)="000",SUMIF(BC[],MID($A22,1,1)&amp;"*",bc_2017),IF(RIGHT($A22,2)="00",SUMIF(BC[],MID($A22,1,2)&amp;"*",bc_2017),IF(RIGHT($A22,1)="0",SUMIF(BC[],MID($A22,1,3)&amp;"*",bc_2017),SUMIF(BC[],$A22,bc_2017))))</f>
        <v>0</v>
      </c>
      <c r="D22" s="112">
        <f ca="1">-IF(RIGHT($A22,3)="000",SUMIF(BC[],MID($A22,1,1)&amp;"*",bc_2016),IF(RIGHT($A22,2)="00",SUMIF(BC[],MID($A22,1,2)&amp;"*",bc_2016),IF(RIGHT($A22,1)="0",SUMIF(BC[],MID($A22,1,3)&amp;"*",bc_2016),SUMIF(BC[],$A22,bc_2016))))</f>
        <v>0</v>
      </c>
      <c r="E22" s="171"/>
    </row>
    <row r="23" spans="1:5">
      <c r="A23" s="158">
        <v>4141</v>
      </c>
      <c r="B23" s="76" t="s">
        <v>552</v>
      </c>
      <c r="C23" s="112">
        <f ca="1">-IF(RIGHT($A23,3)="000",SUMIF(BC[],MID($A23,1,1)&amp;"*",bc_2017),IF(RIGHT($A23,2)="00",SUMIF(BC[],MID($A23,1,2)&amp;"*",bc_2017),IF(RIGHT($A23,1)="0",SUMIF(BC[],MID($A23,1,3)&amp;"*",bc_2017),SUMIF(BC[],$A23,bc_2017))))</f>
        <v>0</v>
      </c>
      <c r="D23" s="112">
        <f ca="1">-IF(RIGHT($A23,3)="000",SUMIF(BC[],MID($A23,1,1)&amp;"*",bc_2016),IF(RIGHT($A23,2)="00",SUMIF(BC[],MID($A23,1,2)&amp;"*",bc_2016),IF(RIGHT($A23,1)="0",SUMIF(BC[],MID($A23,1,3)&amp;"*",bc_2016),SUMIF(BC[],$A23,bc_2016))))</f>
        <v>0</v>
      </c>
      <c r="E23" s="171"/>
    </row>
    <row r="24" spans="1:5">
      <c r="A24" s="158">
        <v>4142</v>
      </c>
      <c r="B24" s="76" t="s">
        <v>553</v>
      </c>
      <c r="C24" s="112">
        <f ca="1">-IF(RIGHT($A24,3)="000",SUMIF(BC[],MID($A24,1,1)&amp;"*",bc_2017),IF(RIGHT($A24,2)="00",SUMIF(BC[],MID($A24,1,2)&amp;"*",bc_2017),IF(RIGHT($A24,1)="0",SUMIF(BC[],MID($A24,1,3)&amp;"*",bc_2017),SUMIF(BC[],$A24,bc_2017))))</f>
        <v>0</v>
      </c>
      <c r="D24" s="112">
        <f ca="1">-IF(RIGHT($A24,3)="000",SUMIF(BC[],MID($A24,1,1)&amp;"*",bc_2016),IF(RIGHT($A24,2)="00",SUMIF(BC[],MID($A24,1,2)&amp;"*",bc_2016),IF(RIGHT($A24,1)="0",SUMIF(BC[],MID($A24,1,3)&amp;"*",bc_2016),SUMIF(BC[],$A24,bc_2016))))</f>
        <v>0</v>
      </c>
      <c r="E24" s="171"/>
    </row>
    <row r="25" spans="1:5">
      <c r="A25" s="158">
        <v>4143</v>
      </c>
      <c r="B25" s="76" t="s">
        <v>554</v>
      </c>
      <c r="C25" s="112">
        <f ca="1">-IF(RIGHT($A25,3)="000",SUMIF(BC[],MID($A25,1,1)&amp;"*",bc_2017),IF(RIGHT($A25,2)="00",SUMIF(BC[],MID($A25,1,2)&amp;"*",bc_2017),IF(RIGHT($A25,1)="0",SUMIF(BC[],MID($A25,1,3)&amp;"*",bc_2017),SUMIF(BC[],$A25,bc_2017))))</f>
        <v>0</v>
      </c>
      <c r="D25" s="112">
        <f ca="1">-IF(RIGHT($A25,3)="000",SUMIF(BC[],MID($A25,1,1)&amp;"*",bc_2016),IF(RIGHT($A25,2)="00",SUMIF(BC[],MID($A25,1,2)&amp;"*",bc_2016),IF(RIGHT($A25,1)="0",SUMIF(BC[],MID($A25,1,3)&amp;"*",bc_2016),SUMIF(BC[],$A25,bc_2016))))</f>
        <v>0</v>
      </c>
      <c r="E25" s="171"/>
    </row>
    <row r="26" spans="1:5">
      <c r="A26" s="158">
        <v>4144</v>
      </c>
      <c r="B26" s="76" t="s">
        <v>555</v>
      </c>
      <c r="C26" s="112">
        <f ca="1">-IF(RIGHT($A26,3)="000",SUMIF(BC[],MID($A26,1,1)&amp;"*",bc_2017),IF(RIGHT($A26,2)="00",SUMIF(BC[],MID($A26,1,2)&amp;"*",bc_2017),IF(RIGHT($A26,1)="0",SUMIF(BC[],MID($A26,1,3)&amp;"*",bc_2017),SUMIF(BC[],$A26,bc_2017))))</f>
        <v>0</v>
      </c>
      <c r="D26" s="112">
        <f ca="1">-IF(RIGHT($A26,3)="000",SUMIF(BC[],MID($A26,1,1)&amp;"*",bc_2016),IF(RIGHT($A26,2)="00",SUMIF(BC[],MID($A26,1,2)&amp;"*",bc_2016),IF(RIGHT($A26,1)="0",SUMIF(BC[],MID($A26,1,3)&amp;"*",bc_2016),SUMIF(BC[],$A26,bc_2016))))</f>
        <v>0</v>
      </c>
      <c r="E26" s="171"/>
    </row>
    <row r="27" spans="1:5">
      <c r="A27" s="158">
        <v>4149</v>
      </c>
      <c r="B27" s="76" t="s">
        <v>556</v>
      </c>
      <c r="C27" s="112">
        <f ca="1">-IF(RIGHT($A27,3)="000",SUMIF(BC[],MID($A27,1,1)&amp;"*",bc_2017),IF(RIGHT($A27,2)="00",SUMIF(BC[],MID($A27,1,2)&amp;"*",bc_2017),IF(RIGHT($A27,1)="0",SUMIF(BC[],MID($A27,1,3)&amp;"*",bc_2017),SUMIF(BC[],$A27,bc_2017))))</f>
        <v>0</v>
      </c>
      <c r="D27" s="112">
        <f ca="1">-IF(RIGHT($A27,3)="000",SUMIF(BC[],MID($A27,1,1)&amp;"*",bc_2016),IF(RIGHT($A27,2)="00",SUMIF(BC[],MID($A27,1,2)&amp;"*",bc_2016),IF(RIGHT($A27,1)="0",SUMIF(BC[],MID($A27,1,3)&amp;"*",bc_2016),SUMIF(BC[],$A27,bc_2016))))</f>
        <v>0</v>
      </c>
      <c r="E27" s="171"/>
    </row>
    <row r="28" spans="1:5">
      <c r="A28" s="158">
        <v>4150</v>
      </c>
      <c r="B28" s="76" t="s">
        <v>106</v>
      </c>
      <c r="C28" s="112">
        <f ca="1">-IF(RIGHT($A28,3)="000",SUMIF(BC[],MID($A28,1,1)&amp;"*",bc_2017),IF(RIGHT($A28,2)="00",SUMIF(BC[],MID($A28,1,2)&amp;"*",bc_2017),IF(RIGHT($A28,1)="0",SUMIF(BC[],MID($A28,1,3)&amp;"*",bc_2017),SUMIF(BC[],$A28,bc_2017))))</f>
        <v>0</v>
      </c>
      <c r="D28" s="112">
        <f ca="1">-IF(RIGHT($A28,3)="000",SUMIF(BC[],MID($A28,1,1)&amp;"*",bc_2016),IF(RIGHT($A28,2)="00",SUMIF(BC[],MID($A28,1,2)&amp;"*",bc_2016),IF(RIGHT($A28,1)="0",SUMIF(BC[],MID($A28,1,3)&amp;"*",bc_2016),SUMIF(BC[],$A28,bc_2016))))</f>
        <v>0</v>
      </c>
      <c r="E28" s="171"/>
    </row>
    <row r="29" spans="1:5" ht="10.9" customHeight="1">
      <c r="A29" s="158">
        <v>4151</v>
      </c>
      <c r="B29" s="76" t="s">
        <v>557</v>
      </c>
      <c r="C29" s="112">
        <f ca="1">-IF(RIGHT($A29,3)="000",SUMIF(BC[],MID($A29,1,1)&amp;"*",bc_2017),IF(RIGHT($A29,2)="00",SUMIF(BC[],MID($A29,1,2)&amp;"*",bc_2017),IF(RIGHT($A29,1)="0",SUMIF(BC[],MID($A29,1,3)&amp;"*",bc_2017),SUMIF(BC[],$A29,bc_2017))))</f>
        <v>0</v>
      </c>
      <c r="D29" s="112">
        <f ca="1">-IF(RIGHT($A29,3)="000",SUMIF(BC[],MID($A29,1,1)&amp;"*",bc_2016),IF(RIGHT($A29,2)="00",SUMIF(BC[],MID($A29,1,2)&amp;"*",bc_2016),IF(RIGHT($A29,1)="0",SUMIF(BC[],MID($A29,1,3)&amp;"*",bc_2016),SUMIF(BC[],$A29,bc_2016))))</f>
        <v>0</v>
      </c>
      <c r="E29" s="171"/>
    </row>
    <row r="30" spans="1:5">
      <c r="A30" s="158">
        <v>4152</v>
      </c>
      <c r="B30" s="76" t="s">
        <v>558</v>
      </c>
      <c r="C30" s="112">
        <f ca="1">-IF(RIGHT($A30,3)="000",SUMIF(BC[],MID($A30,1,1)&amp;"*",bc_2017),IF(RIGHT($A30,2)="00",SUMIF(BC[],MID($A30,1,2)&amp;"*",bc_2017),IF(RIGHT($A30,1)="0",SUMIF(BC[],MID($A30,1,3)&amp;"*",bc_2017),SUMIF(BC[],$A30,bc_2017))))</f>
        <v>0</v>
      </c>
      <c r="D30" s="112">
        <f ca="1">-IF(RIGHT($A30,3)="000",SUMIF(BC[],MID($A30,1,1)&amp;"*",bc_2016),IF(RIGHT($A30,2)="00",SUMIF(BC[],MID($A30,1,2)&amp;"*",bc_2016),IF(RIGHT($A30,1)="0",SUMIF(BC[],MID($A30,1,3)&amp;"*",bc_2016),SUMIF(BC[],$A30,bc_2016))))</f>
        <v>0</v>
      </c>
      <c r="E30" s="171"/>
    </row>
    <row r="31" spans="1:5">
      <c r="A31" s="158">
        <v>4153</v>
      </c>
      <c r="B31" s="76" t="s">
        <v>559</v>
      </c>
      <c r="C31" s="112">
        <f ca="1">-IF(RIGHT($A31,3)="000",SUMIF(BC[],MID($A31,1,1)&amp;"*",bc_2017),IF(RIGHT($A31,2)="00",SUMIF(BC[],MID($A31,1,2)&amp;"*",bc_2017),IF(RIGHT($A31,1)="0",SUMIF(BC[],MID($A31,1,3)&amp;"*",bc_2017),SUMIF(BC[],$A31,bc_2017))))</f>
        <v>0</v>
      </c>
      <c r="D31" s="112">
        <f ca="1">-IF(RIGHT($A31,3)="000",SUMIF(BC[],MID($A31,1,1)&amp;"*",bc_2016),IF(RIGHT($A31,2)="00",SUMIF(BC[],MID($A31,1,2)&amp;"*",bc_2016),IF(RIGHT($A31,1)="0",SUMIF(BC[],MID($A31,1,3)&amp;"*",bc_2016),SUMIF(BC[],$A31,bc_2016))))</f>
        <v>0</v>
      </c>
      <c r="E31" s="171"/>
    </row>
    <row r="32" spans="1:5">
      <c r="A32" s="158">
        <v>4159</v>
      </c>
      <c r="B32" s="76" t="s">
        <v>560</v>
      </c>
      <c r="C32" s="112">
        <f ca="1">-IF(RIGHT($A32,3)="000",SUMIF(BC[],MID($A32,1,1)&amp;"*",bc_2017),IF(RIGHT($A32,2)="00",SUMIF(BC[],MID($A32,1,2)&amp;"*",bc_2017),IF(RIGHT($A32,1)="0",SUMIF(BC[],MID($A32,1,3)&amp;"*",bc_2017),SUMIF(BC[],$A32,bc_2017))))</f>
        <v>0</v>
      </c>
      <c r="D32" s="112">
        <f ca="1">-IF(RIGHT($A32,3)="000",SUMIF(BC[],MID($A32,1,1)&amp;"*",bc_2016),IF(RIGHT($A32,2)="00",SUMIF(BC[],MID($A32,1,2)&amp;"*",bc_2016),IF(RIGHT($A32,1)="0",SUMIF(BC[],MID($A32,1,3)&amp;"*",bc_2016),SUMIF(BC[],$A32,bc_2016))))</f>
        <v>0</v>
      </c>
      <c r="E32" s="171"/>
    </row>
    <row r="33" spans="1:5">
      <c r="A33" s="158">
        <v>4160</v>
      </c>
      <c r="B33" s="76" t="s">
        <v>107</v>
      </c>
      <c r="C33" s="112">
        <f ca="1">-IF(RIGHT($A33,3)="000",SUMIF(BC[],MID($A33,1,1)&amp;"*",bc_2017),IF(RIGHT($A33,2)="00",SUMIF(BC[],MID($A33,1,2)&amp;"*",bc_2017),IF(RIGHT($A33,1)="0",SUMIF(BC[],MID($A33,1,3)&amp;"*",bc_2017),SUMIF(BC[],$A33,bc_2017))))</f>
        <v>0</v>
      </c>
      <c r="D33" s="112">
        <f ca="1">-IF(RIGHT($A33,3)="000",SUMIF(BC[],MID($A33,1,1)&amp;"*",bc_2016),IF(RIGHT($A33,2)="00",SUMIF(BC[],MID($A33,1,2)&amp;"*",bc_2016),IF(RIGHT($A33,1)="0",SUMIF(BC[],MID($A33,1,3)&amp;"*",bc_2016),SUMIF(BC[],$A33,bc_2016))))</f>
        <v>0</v>
      </c>
      <c r="E33" s="171"/>
    </row>
    <row r="34" spans="1:5">
      <c r="A34" s="158">
        <v>4161</v>
      </c>
      <c r="B34" s="76" t="s">
        <v>561</v>
      </c>
      <c r="C34" s="112">
        <f ca="1">-IF(RIGHT($A34,3)="000",SUMIF(BC[],MID($A34,1,1)&amp;"*",bc_2017),IF(RIGHT($A34,2)="00",SUMIF(BC[],MID($A34,1,2)&amp;"*",bc_2017),IF(RIGHT($A34,1)="0",SUMIF(BC[],MID($A34,1,3)&amp;"*",bc_2017),SUMIF(BC[],$A34,bc_2017))))</f>
        <v>0</v>
      </c>
      <c r="D34" s="112">
        <f ca="1">-IF(RIGHT($A34,3)="000",SUMIF(BC[],MID($A34,1,1)&amp;"*",bc_2016),IF(RIGHT($A34,2)="00",SUMIF(BC[],MID($A34,1,2)&amp;"*",bc_2016),IF(RIGHT($A34,1)="0",SUMIF(BC[],MID($A34,1,3)&amp;"*",bc_2016),SUMIF(BC[],$A34,bc_2016))))</f>
        <v>0</v>
      </c>
      <c r="E34" s="171"/>
    </row>
    <row r="35" spans="1:5">
      <c r="A35" s="158">
        <v>4162</v>
      </c>
      <c r="B35" s="76" t="s">
        <v>562</v>
      </c>
      <c r="C35" s="112">
        <f ca="1">-IF(RIGHT($A35,3)="000",SUMIF(BC[],MID($A35,1,1)&amp;"*",bc_2017),IF(RIGHT($A35,2)="00",SUMIF(BC[],MID($A35,1,2)&amp;"*",bc_2017),IF(RIGHT($A35,1)="0",SUMIF(BC[],MID($A35,1,3)&amp;"*",bc_2017),SUMIF(BC[],$A35,bc_2017))))</f>
        <v>0</v>
      </c>
      <c r="D35" s="112">
        <f ca="1">-IF(RIGHT($A35,3)="000",SUMIF(BC[],MID($A35,1,1)&amp;"*",bc_2016),IF(RIGHT($A35,2)="00",SUMIF(BC[],MID($A35,1,2)&amp;"*",bc_2016),IF(RIGHT($A35,1)="0",SUMIF(BC[],MID($A35,1,3)&amp;"*",bc_2016),SUMIF(BC[],$A35,bc_2016))))</f>
        <v>0</v>
      </c>
      <c r="E35" s="171"/>
    </row>
    <row r="36" spans="1:5">
      <c r="A36" s="158">
        <v>4163</v>
      </c>
      <c r="B36" s="76" t="s">
        <v>563</v>
      </c>
      <c r="C36" s="112">
        <f ca="1">-IF(RIGHT($A36,3)="000",SUMIF(BC[],MID($A36,1,1)&amp;"*",bc_2017),IF(RIGHT($A36,2)="00",SUMIF(BC[],MID($A36,1,2)&amp;"*",bc_2017),IF(RIGHT($A36,1)="0",SUMIF(BC[],MID($A36,1,3)&amp;"*",bc_2017),SUMIF(BC[],$A36,bc_2017))))</f>
        <v>0</v>
      </c>
      <c r="D36" s="112">
        <f ca="1">-IF(RIGHT($A36,3)="000",SUMIF(BC[],MID($A36,1,1)&amp;"*",bc_2016),IF(RIGHT($A36,2)="00",SUMIF(BC[],MID($A36,1,2)&amp;"*",bc_2016),IF(RIGHT($A36,1)="0",SUMIF(BC[],MID($A36,1,3)&amp;"*",bc_2016),SUMIF(BC[],$A36,bc_2016))))</f>
        <v>0</v>
      </c>
      <c r="E36" s="171"/>
    </row>
    <row r="37" spans="1:5">
      <c r="A37" s="158">
        <v>4164</v>
      </c>
      <c r="B37" s="76" t="s">
        <v>564</v>
      </c>
      <c r="C37" s="112">
        <f ca="1">-IF(RIGHT($A37,3)="000",SUMIF(BC[],MID($A37,1,1)&amp;"*",bc_2017),IF(RIGHT($A37,2)="00",SUMIF(BC[],MID($A37,1,2)&amp;"*",bc_2017),IF(RIGHT($A37,1)="0",SUMIF(BC[],MID($A37,1,3)&amp;"*",bc_2017),SUMIF(BC[],$A37,bc_2017))))</f>
        <v>0</v>
      </c>
      <c r="D37" s="112">
        <f ca="1">-IF(RIGHT($A37,3)="000",SUMIF(BC[],MID($A37,1,1)&amp;"*",bc_2016),IF(RIGHT($A37,2)="00",SUMIF(BC[],MID($A37,1,2)&amp;"*",bc_2016),IF(RIGHT($A37,1)="0",SUMIF(BC[],MID($A37,1,3)&amp;"*",bc_2016),SUMIF(BC[],$A37,bc_2016))))</f>
        <v>0</v>
      </c>
      <c r="E37" s="171"/>
    </row>
    <row r="38" spans="1:5">
      <c r="A38" s="158">
        <v>4165</v>
      </c>
      <c r="B38" s="76" t="s">
        <v>565</v>
      </c>
      <c r="C38" s="112">
        <f ca="1">-IF(RIGHT($A38,3)="000",SUMIF(BC[],MID($A38,1,1)&amp;"*",bc_2017),IF(RIGHT($A38,2)="00",SUMIF(BC[],MID($A38,1,2)&amp;"*",bc_2017),IF(RIGHT($A38,1)="0",SUMIF(BC[],MID($A38,1,3)&amp;"*",bc_2017),SUMIF(BC[],$A38,bc_2017))))</f>
        <v>0</v>
      </c>
      <c r="D38" s="112">
        <f ca="1">-IF(RIGHT($A38,3)="000",SUMIF(BC[],MID($A38,1,1)&amp;"*",bc_2016),IF(RIGHT($A38,2)="00",SUMIF(BC[],MID($A38,1,2)&amp;"*",bc_2016),IF(RIGHT($A38,1)="0",SUMIF(BC[],MID($A38,1,3)&amp;"*",bc_2016),SUMIF(BC[],$A38,bc_2016))))</f>
        <v>0</v>
      </c>
      <c r="E38" s="171"/>
    </row>
    <row r="39" spans="1:5">
      <c r="A39" s="158">
        <v>4166</v>
      </c>
      <c r="B39" s="76" t="s">
        <v>566</v>
      </c>
      <c r="C39" s="112">
        <f ca="1">-IF(RIGHT($A39,3)="000",SUMIF(BC[],MID($A39,1,1)&amp;"*",bc_2017),IF(RIGHT($A39,2)="00",SUMIF(BC[],MID($A39,1,2)&amp;"*",bc_2017),IF(RIGHT($A39,1)="0",SUMIF(BC[],MID($A39,1,3)&amp;"*",bc_2017),SUMIF(BC[],$A39,bc_2017))))</f>
        <v>0</v>
      </c>
      <c r="D39" s="112">
        <f ca="1">-IF(RIGHT($A39,3)="000",SUMIF(BC[],MID($A39,1,1)&amp;"*",bc_2016),IF(RIGHT($A39,2)="00",SUMIF(BC[],MID($A39,1,2)&amp;"*",bc_2016),IF(RIGHT($A39,1)="0",SUMIF(BC[],MID($A39,1,3)&amp;"*",bc_2016),SUMIF(BC[],$A39,bc_2016))))</f>
        <v>0</v>
      </c>
      <c r="E39" s="171"/>
    </row>
    <row r="40" spans="1:5">
      <c r="A40" s="158">
        <v>4167</v>
      </c>
      <c r="B40" s="76" t="s">
        <v>567</v>
      </c>
      <c r="C40" s="112">
        <f ca="1">-IF(RIGHT($A40,3)="000",SUMIF(BC[],MID($A40,1,1)&amp;"*",bc_2017),IF(RIGHT($A40,2)="00",SUMIF(BC[],MID($A40,1,2)&amp;"*",bc_2017),IF(RIGHT($A40,1)="0",SUMIF(BC[],MID($A40,1,3)&amp;"*",bc_2017),SUMIF(BC[],$A40,bc_2017))))</f>
        <v>0</v>
      </c>
      <c r="D40" s="112">
        <f ca="1">-IF(RIGHT($A40,3)="000",SUMIF(BC[],MID($A40,1,1)&amp;"*",bc_2016),IF(RIGHT($A40,2)="00",SUMIF(BC[],MID($A40,1,2)&amp;"*",bc_2016),IF(RIGHT($A40,1)="0",SUMIF(BC[],MID($A40,1,3)&amp;"*",bc_2016),SUMIF(BC[],$A40,bc_2016))))</f>
        <v>0</v>
      </c>
      <c r="E40" s="171"/>
    </row>
    <row r="41" spans="1:5">
      <c r="A41" s="158">
        <v>4168</v>
      </c>
      <c r="B41" s="76" t="s">
        <v>568</v>
      </c>
      <c r="C41" s="112">
        <f ca="1">-IF(RIGHT($A41,3)="000",SUMIF(BC[],MID($A41,1,1)&amp;"*",bc_2017),IF(RIGHT($A41,2)="00",SUMIF(BC[],MID($A41,1,2)&amp;"*",bc_2017),IF(RIGHT($A41,1)="0",SUMIF(BC[],MID($A41,1,3)&amp;"*",bc_2017),SUMIF(BC[],$A41,bc_2017))))</f>
        <v>0</v>
      </c>
      <c r="D41" s="112">
        <f ca="1">-IF(RIGHT($A41,3)="000",SUMIF(BC[],MID($A41,1,1)&amp;"*",bc_2016),IF(RIGHT($A41,2)="00",SUMIF(BC[],MID($A41,1,2)&amp;"*",bc_2016),IF(RIGHT($A41,1)="0",SUMIF(BC[],MID($A41,1,3)&amp;"*",bc_2016),SUMIF(BC[],$A41,bc_2016))))</f>
        <v>0</v>
      </c>
      <c r="E41" s="171"/>
    </row>
    <row r="42" spans="1:5">
      <c r="A42" s="158">
        <v>4169</v>
      </c>
      <c r="B42" s="76" t="s">
        <v>569</v>
      </c>
      <c r="C42" s="112">
        <f ca="1">-IF(RIGHT($A42,3)="000",SUMIF(BC[],MID($A42,1,1)&amp;"*",bc_2017),IF(RIGHT($A42,2)="00",SUMIF(BC[],MID($A42,1,2)&amp;"*",bc_2017),IF(RIGHT($A42,1)="0",SUMIF(BC[],MID($A42,1,3)&amp;"*",bc_2017),SUMIF(BC[],$A42,bc_2017))))</f>
        <v>0</v>
      </c>
      <c r="D42" s="112">
        <f ca="1">-IF(RIGHT($A42,3)="000",SUMIF(BC[],MID($A42,1,1)&amp;"*",bc_2016),IF(RIGHT($A42,2)="00",SUMIF(BC[],MID($A42,1,2)&amp;"*",bc_2016),IF(RIGHT($A42,1)="0",SUMIF(BC[],MID($A42,1,3)&amp;"*",bc_2016),SUMIF(BC[],$A42,bc_2016))))</f>
        <v>0</v>
      </c>
      <c r="E42" s="171"/>
    </row>
    <row r="43" spans="1:5">
      <c r="A43" s="158">
        <v>4170</v>
      </c>
      <c r="B43" s="76" t="s">
        <v>108</v>
      </c>
      <c r="C43" s="112">
        <f ca="1">-IF(RIGHT($A43,3)="000",SUMIF(BC[],MID($A43,1,1)&amp;"*",bc_2017),IF(RIGHT($A43,2)="00",SUMIF(BC[],MID($A43,1,2)&amp;"*",bc_2017),IF(RIGHT($A43,1)="0",SUMIF(BC[],MID($A43,1,3)&amp;"*",bc_2017),SUMIF(BC[],$A43,bc_2017))))</f>
        <v>2925534.31</v>
      </c>
      <c r="D43" s="112">
        <f ca="1">-IF(RIGHT($A43,3)="000",SUMIF(BC[],MID($A43,1,1)&amp;"*",bc_2016),IF(RIGHT($A43,2)="00",SUMIF(BC[],MID($A43,1,2)&amp;"*",bc_2016),IF(RIGHT($A43,1)="0",SUMIF(BC[],MID($A43,1,3)&amp;"*",bc_2016),SUMIF(BC[],$A43,bc_2016))))</f>
        <v>905941.16999999993</v>
      </c>
      <c r="E43" s="171"/>
    </row>
    <row r="44" spans="1:5">
      <c r="A44" s="158">
        <v>4171</v>
      </c>
      <c r="B44" s="76" t="s">
        <v>570</v>
      </c>
      <c r="C44" s="112">
        <f ca="1">-IF(RIGHT($A44,3)="000",SUMIF(BC[],MID($A44,1,1)&amp;"*",bc_2017),IF(RIGHT($A44,2)="00",SUMIF(BC[],MID($A44,1,2)&amp;"*",bc_2017),IF(RIGHT($A44,1)="0",SUMIF(BC[],MID($A44,1,3)&amp;"*",bc_2017),SUMIF(BC[],$A44,bc_2017))))</f>
        <v>0</v>
      </c>
      <c r="D44" s="112">
        <f ca="1">-IF(RIGHT($A44,3)="000",SUMIF(BC[],MID($A44,1,1)&amp;"*",bc_2016),IF(RIGHT($A44,2)="00",SUMIF(BC[],MID($A44,1,2)&amp;"*",bc_2016),IF(RIGHT($A44,1)="0",SUMIF(BC[],MID($A44,1,3)&amp;"*",bc_2016),SUMIF(BC[],$A44,bc_2016))))</f>
        <v>0</v>
      </c>
      <c r="E44" s="171"/>
    </row>
    <row r="45" spans="1:5">
      <c r="A45" s="158">
        <v>4172</v>
      </c>
      <c r="B45" s="76" t="s">
        <v>571</v>
      </c>
      <c r="C45" s="112">
        <f ca="1">-IF(RIGHT($A45,3)="000",SUMIF(BC[],MID($A45,1,1)&amp;"*",bc_2017),IF(RIGHT($A45,2)="00",SUMIF(BC[],MID($A45,1,2)&amp;"*",bc_2017),IF(RIGHT($A45,1)="0",SUMIF(BC[],MID($A45,1,3)&amp;"*",bc_2017),SUMIF(BC[],$A45,bc_2017))))</f>
        <v>0</v>
      </c>
      <c r="D45" s="112">
        <f ca="1">-IF(RIGHT($A45,3)="000",SUMIF(BC[],MID($A45,1,1)&amp;"*",bc_2016),IF(RIGHT($A45,2)="00",SUMIF(BC[],MID($A45,1,2)&amp;"*",bc_2016),IF(RIGHT($A45,1)="0",SUMIF(BC[],MID($A45,1,3)&amp;"*",bc_2016),SUMIF(BC[],$A45,bc_2016))))</f>
        <v>0</v>
      </c>
      <c r="E45" s="171"/>
    </row>
    <row r="46" spans="1:5">
      <c r="A46" s="158">
        <v>4173</v>
      </c>
      <c r="B46" s="76" t="s">
        <v>572</v>
      </c>
      <c r="C46" s="112">
        <f ca="1">-IF(RIGHT($A46,3)="000",SUMIF(BC[],MID($A46,1,1)&amp;"*",bc_2017),IF(RIGHT($A46,2)="00",SUMIF(BC[],MID($A46,1,2)&amp;"*",bc_2017),IF(RIGHT($A46,1)="0",SUMIF(BC[],MID($A46,1,3)&amp;"*",bc_2017),SUMIF(BC[],$A46,bc_2017))))</f>
        <v>2925534.31</v>
      </c>
      <c r="D46" s="112">
        <f ca="1">-IF(RIGHT($A46,3)="000",SUMIF(BC[],MID($A46,1,1)&amp;"*",bc_2016),IF(RIGHT($A46,2)="00",SUMIF(BC[],MID($A46,1,2)&amp;"*",bc_2016),IF(RIGHT($A46,1)="0",SUMIF(BC[],MID($A46,1,3)&amp;"*",bc_2016),SUMIF(BC[],$A46,bc_2016))))</f>
        <v>905941.16999999993</v>
      </c>
      <c r="E46" s="171"/>
    </row>
    <row r="47" spans="1:5">
      <c r="A47" s="158">
        <v>4174</v>
      </c>
      <c r="B47" s="76" t="s">
        <v>573</v>
      </c>
      <c r="C47" s="112">
        <f ca="1">-IF(RIGHT($A47,3)="000",SUMIF(BC[],MID($A47,1,1)&amp;"*",bc_2017),IF(RIGHT($A47,2)="00",SUMIF(BC[],MID($A47,1,2)&amp;"*",bc_2017),IF(RIGHT($A47,1)="0",SUMIF(BC[],MID($A47,1,3)&amp;"*",bc_2017),SUMIF(BC[],$A47,bc_2017))))</f>
        <v>0</v>
      </c>
      <c r="D47" s="112">
        <f ca="1">-IF(RIGHT($A47,3)="000",SUMIF(BC[],MID($A47,1,1)&amp;"*",bc_2016),IF(RIGHT($A47,2)="00",SUMIF(BC[],MID($A47,1,2)&amp;"*",bc_2016),IF(RIGHT($A47,1)="0",SUMIF(BC[],MID($A47,1,3)&amp;"*",bc_2016),SUMIF(BC[],$A47,bc_2016))))</f>
        <v>0</v>
      </c>
      <c r="E47" s="171"/>
    </row>
    <row r="48" spans="1:5">
      <c r="A48" s="158">
        <v>4190</v>
      </c>
      <c r="B48" s="76" t="s">
        <v>109</v>
      </c>
      <c r="C48" s="112">
        <f ca="1">-IF(RIGHT($A48,3)="000",SUMIF(BC[],MID($A48,1,1)&amp;"*",bc_2017),IF(RIGHT($A48,2)="00",SUMIF(BC[],MID($A48,1,2)&amp;"*",bc_2017),IF(RIGHT($A48,1)="0",SUMIF(BC[],MID($A48,1,3)&amp;"*",bc_2017),SUMIF(BC[],$A48,bc_2017))))</f>
        <v>0</v>
      </c>
      <c r="D48" s="112">
        <f ca="1">-IF(RIGHT($A48,3)="000",SUMIF(BC[],MID($A48,1,1)&amp;"*",bc_2016),IF(RIGHT($A48,2)="00",SUMIF(BC[],MID($A48,1,2)&amp;"*",bc_2016),IF(RIGHT($A48,1)="0",SUMIF(BC[],MID($A48,1,3)&amp;"*",bc_2016),SUMIF(BC[],$A48,bc_2016))))</f>
        <v>0</v>
      </c>
      <c r="E48" s="171"/>
    </row>
    <row r="49" spans="1:5">
      <c r="A49" s="158">
        <v>4191</v>
      </c>
      <c r="B49" s="76" t="s">
        <v>574</v>
      </c>
      <c r="C49" s="112">
        <f ca="1">-IF(RIGHT($A49,3)="000",SUMIF(BC[],MID($A49,1,1)&amp;"*",bc_2017),IF(RIGHT($A49,2)="00",SUMIF(BC[],MID($A49,1,2)&amp;"*",bc_2017),IF(RIGHT($A49,1)="0",SUMIF(BC[],MID($A49,1,3)&amp;"*",bc_2017),SUMIF(BC[],$A49,bc_2017))))</f>
        <v>0</v>
      </c>
      <c r="D49" s="112">
        <f ca="1">-IF(RIGHT($A49,3)="000",SUMIF(BC[],MID($A49,1,1)&amp;"*",bc_2016),IF(RIGHT($A49,2)="00",SUMIF(BC[],MID($A49,1,2)&amp;"*",bc_2016),IF(RIGHT($A49,1)="0",SUMIF(BC[],MID($A49,1,3)&amp;"*",bc_2016),SUMIF(BC[],$A49,bc_2016))))</f>
        <v>0</v>
      </c>
      <c r="E49" s="171"/>
    </row>
    <row r="50" spans="1:5">
      <c r="A50" s="158">
        <v>4192</v>
      </c>
      <c r="B50" s="76" t="s">
        <v>575</v>
      </c>
      <c r="C50" s="112">
        <f ca="1">-IF(RIGHT($A50,3)="000",SUMIF(BC[],MID($A50,1,1)&amp;"*",bc_2017),IF(RIGHT($A50,2)="00",SUMIF(BC[],MID($A50,1,2)&amp;"*",bc_2017),IF(RIGHT($A50,1)="0",SUMIF(BC[],MID($A50,1,3)&amp;"*",bc_2017),SUMIF(BC[],$A50,bc_2017))))</f>
        <v>0</v>
      </c>
      <c r="D50" s="112">
        <f ca="1">-IF(RIGHT($A50,3)="000",SUMIF(BC[],MID($A50,1,1)&amp;"*",bc_2016),IF(RIGHT($A50,2)="00",SUMIF(BC[],MID($A50,1,2)&amp;"*",bc_2016),IF(RIGHT($A50,1)="0",SUMIF(BC[],MID($A50,1,3)&amp;"*",bc_2016),SUMIF(BC[],$A50,bc_2016))))</f>
        <v>0</v>
      </c>
      <c r="E50" s="171"/>
    </row>
    <row r="51" spans="1:5">
      <c r="A51" s="155">
        <v>4200</v>
      </c>
      <c r="B51" s="61" t="s">
        <v>174</v>
      </c>
      <c r="C51" s="112">
        <f ca="1">-IF(RIGHT($A51,3)="000",SUMIF(BC[],MID($A51,1,1)&amp;"*",bc_2017),IF(RIGHT($A51,2)="00",SUMIF(BC[],MID($A51,1,2)&amp;"*",bc_2017),IF(RIGHT($A51,1)="0",SUMIF(BC[],MID($A51,1,3)&amp;"*",bc_2017),SUMIF(BC[],$A51,bc_2017))))</f>
        <v>83475699.86999999</v>
      </c>
      <c r="D51" s="112">
        <f ca="1">-IF(RIGHT($A51,3)="000",SUMIF(BC[],MID($A51,1,1)&amp;"*",bc_2016),IF(RIGHT($A51,2)="00",SUMIF(BC[],MID($A51,1,2)&amp;"*",bc_2016),IF(RIGHT($A51,1)="0",SUMIF(BC[],MID($A51,1,3)&amp;"*",bc_2016),SUMIF(BC[],$A51,bc_2016))))</f>
        <v>72369777.849999994</v>
      </c>
      <c r="E51" s="169" t="s">
        <v>172</v>
      </c>
    </row>
    <row r="52" spans="1:5">
      <c r="A52" s="158">
        <v>4210</v>
      </c>
      <c r="B52" s="76" t="s">
        <v>110</v>
      </c>
      <c r="C52" s="112">
        <f ca="1">-IF(RIGHT($A52,3)="000",SUMIF(BC[],MID($A52,1,1)&amp;"*",bc_2017),IF(RIGHT($A52,2)="00",SUMIF(BC[],MID($A52,1,2)&amp;"*",bc_2017),IF(RIGHT($A52,1)="0",SUMIF(BC[],MID($A52,1,3)&amp;"*",bc_2017),SUMIF(BC[],$A52,bc_2017))))</f>
        <v>0</v>
      </c>
      <c r="D52" s="112">
        <f ca="1">-IF(RIGHT($A52,3)="000",SUMIF(BC[],MID($A52,1,1)&amp;"*",bc_2016),IF(RIGHT($A52,2)="00",SUMIF(BC[],MID($A52,1,2)&amp;"*",bc_2016),IF(RIGHT($A52,1)="0",SUMIF(BC[],MID($A52,1,3)&amp;"*",bc_2016),SUMIF(BC[],$A52,bc_2016))))</f>
        <v>0</v>
      </c>
      <c r="E52" s="171"/>
    </row>
    <row r="53" spans="1:5">
      <c r="A53" s="158">
        <v>4211</v>
      </c>
      <c r="B53" s="76" t="s">
        <v>126</v>
      </c>
      <c r="C53" s="112">
        <f ca="1">-IF(RIGHT($A53,3)="000",SUMIF(BC[],MID($A53,1,1)&amp;"*",bc_2017),IF(RIGHT($A53,2)="00",SUMIF(BC[],MID($A53,1,2)&amp;"*",bc_2017),IF(RIGHT($A53,1)="0",SUMIF(BC[],MID($A53,1,3)&amp;"*",bc_2017),SUMIF(BC[],$A53,bc_2017))))</f>
        <v>0</v>
      </c>
      <c r="D53" s="112">
        <f ca="1">-IF(RIGHT($A53,3)="000",SUMIF(BC[],MID($A53,1,1)&amp;"*",bc_2016),IF(RIGHT($A53,2)="00",SUMIF(BC[],MID($A53,1,2)&amp;"*",bc_2016),IF(RIGHT($A53,1)="0",SUMIF(BC[],MID($A53,1,3)&amp;"*",bc_2016),SUMIF(BC[],$A53,bc_2016))))</f>
        <v>0</v>
      </c>
      <c r="E53" s="171"/>
    </row>
    <row r="54" spans="1:5">
      <c r="A54" s="158">
        <v>4212</v>
      </c>
      <c r="B54" s="76" t="s">
        <v>59</v>
      </c>
      <c r="C54" s="112">
        <f ca="1">-IF(RIGHT($A54,3)="000",SUMIF(BC[],MID($A54,1,1)&amp;"*",bc_2017),IF(RIGHT($A54,2)="00",SUMIF(BC[],MID($A54,1,2)&amp;"*",bc_2017),IF(RIGHT($A54,1)="0",SUMIF(BC[],MID($A54,1,3)&amp;"*",bc_2017),SUMIF(BC[],$A54,bc_2017))))</f>
        <v>0</v>
      </c>
      <c r="D54" s="112">
        <f ca="1">-IF(RIGHT($A54,3)="000",SUMIF(BC[],MID($A54,1,1)&amp;"*",bc_2016),IF(RIGHT($A54,2)="00",SUMIF(BC[],MID($A54,1,2)&amp;"*",bc_2016),IF(RIGHT($A54,1)="0",SUMIF(BC[],MID($A54,1,3)&amp;"*",bc_2016),SUMIF(BC[],$A54,bc_2016))))</f>
        <v>0</v>
      </c>
      <c r="E54" s="171"/>
    </row>
    <row r="55" spans="1:5">
      <c r="A55" s="158">
        <v>4213</v>
      </c>
      <c r="B55" s="76" t="s">
        <v>127</v>
      </c>
      <c r="C55" s="112">
        <f ca="1">-IF(RIGHT($A55,3)="000",SUMIF(BC[],MID($A55,1,1)&amp;"*",bc_2017),IF(RIGHT($A55,2)="00",SUMIF(BC[],MID($A55,1,2)&amp;"*",bc_2017),IF(RIGHT($A55,1)="0",SUMIF(BC[],MID($A55,1,3)&amp;"*",bc_2017),SUMIF(BC[],$A55,bc_2017))))</f>
        <v>0</v>
      </c>
      <c r="D55" s="112">
        <f ca="1">-IF(RIGHT($A55,3)="000",SUMIF(BC[],MID($A55,1,1)&amp;"*",bc_2016),IF(RIGHT($A55,2)="00",SUMIF(BC[],MID($A55,1,2)&amp;"*",bc_2016),IF(RIGHT($A55,1)="0",SUMIF(BC[],MID($A55,1,3)&amp;"*",bc_2016),SUMIF(BC[],$A55,bc_2016))))</f>
        <v>0</v>
      </c>
      <c r="E55" s="171"/>
    </row>
    <row r="56" spans="1:5">
      <c r="A56" s="158">
        <v>4220</v>
      </c>
      <c r="B56" s="76" t="s">
        <v>111</v>
      </c>
      <c r="C56" s="112">
        <f ca="1">-IF(RIGHT($A56,3)="000",SUMIF(BC[],MID($A56,1,1)&amp;"*",bc_2017),IF(RIGHT($A56,2)="00",SUMIF(BC[],MID($A56,1,2)&amp;"*",bc_2017),IF(RIGHT($A56,1)="0",SUMIF(BC[],MID($A56,1,3)&amp;"*",bc_2017),SUMIF(BC[],$A56,bc_2017))))</f>
        <v>83475699.86999999</v>
      </c>
      <c r="D56" s="112">
        <f ca="1">-IF(RIGHT($A56,3)="000",SUMIF(BC[],MID($A56,1,1)&amp;"*",bc_2016),IF(RIGHT($A56,2)="00",SUMIF(BC[],MID($A56,1,2)&amp;"*",bc_2016),IF(RIGHT($A56,1)="0",SUMIF(BC[],MID($A56,1,3)&amp;"*",bc_2016),SUMIF(BC[],$A56,bc_2016))))</f>
        <v>72369777.849999994</v>
      </c>
      <c r="E56" s="171"/>
    </row>
    <row r="57" spans="1:5">
      <c r="A57" s="158">
        <v>4221</v>
      </c>
      <c r="B57" s="76" t="s">
        <v>576</v>
      </c>
      <c r="C57" s="112">
        <f ca="1">-IF(RIGHT($A57,3)="000",SUMIF(BC[],MID($A57,1,1)&amp;"*",bc_2017),IF(RIGHT($A57,2)="00",SUMIF(BC[],MID($A57,1,2)&amp;"*",bc_2017),IF(RIGHT($A57,1)="0",SUMIF(BC[],MID($A57,1,3)&amp;"*",bc_2017),SUMIF(BC[],$A57,bc_2017))))</f>
        <v>83475699.86999999</v>
      </c>
      <c r="D57" s="112">
        <f ca="1">-IF(RIGHT($A57,3)="000",SUMIF(BC[],MID($A57,1,1)&amp;"*",bc_2016),IF(RIGHT($A57,2)="00",SUMIF(BC[],MID($A57,1,2)&amp;"*",bc_2016),IF(RIGHT($A57,1)="0",SUMIF(BC[],MID($A57,1,3)&amp;"*",bc_2016),SUMIF(BC[],$A57,bc_2016))))</f>
        <v>72369777.849999994</v>
      </c>
      <c r="E57" s="171"/>
    </row>
    <row r="58" spans="1:5">
      <c r="A58" s="158">
        <v>4222</v>
      </c>
      <c r="B58" s="76" t="s">
        <v>577</v>
      </c>
      <c r="C58" s="112">
        <f ca="1">-IF(RIGHT($A58,3)="000",SUMIF(BC[],MID($A58,1,1)&amp;"*",bc_2017),IF(RIGHT($A58,2)="00",SUMIF(BC[],MID($A58,1,2)&amp;"*",bc_2017),IF(RIGHT($A58,1)="0",SUMIF(BC[],MID($A58,1,3)&amp;"*",bc_2017),SUMIF(BC[],$A58,bc_2017))))</f>
        <v>0</v>
      </c>
      <c r="D58" s="112">
        <f ca="1">-IF(RIGHT($A58,3)="000",SUMIF(BC[],MID($A58,1,1)&amp;"*",bc_2016),IF(RIGHT($A58,2)="00",SUMIF(BC[],MID($A58,1,2)&amp;"*",bc_2016),IF(RIGHT($A58,1)="0",SUMIF(BC[],MID($A58,1,3)&amp;"*",bc_2016),SUMIF(BC[],$A58,bc_2016))))</f>
        <v>0</v>
      </c>
      <c r="E58" s="171"/>
    </row>
    <row r="59" spans="1:5">
      <c r="A59" s="158">
        <v>4223</v>
      </c>
      <c r="B59" s="76" t="s">
        <v>119</v>
      </c>
      <c r="C59" s="112">
        <f ca="1">-IF(RIGHT($A59,3)="000",SUMIF(BC[],MID($A59,1,1)&amp;"*",bc_2017),IF(RIGHT($A59,2)="00",SUMIF(BC[],MID($A59,1,2)&amp;"*",bc_2017),IF(RIGHT($A59,1)="0",SUMIF(BC[],MID($A59,1,3)&amp;"*",bc_2017),SUMIF(BC[],$A59,bc_2017))))</f>
        <v>0</v>
      </c>
      <c r="D59" s="112">
        <f ca="1">-IF(RIGHT($A59,3)="000",SUMIF(BC[],MID($A59,1,1)&amp;"*",bc_2016),IF(RIGHT($A59,2)="00",SUMIF(BC[],MID($A59,1,2)&amp;"*",bc_2016),IF(RIGHT($A59,1)="0",SUMIF(BC[],MID($A59,1,3)&amp;"*",bc_2016),SUMIF(BC[],$A59,bc_2016))))</f>
        <v>0</v>
      </c>
      <c r="E59" s="171"/>
    </row>
    <row r="60" spans="1:5">
      <c r="A60" s="158">
        <v>4224</v>
      </c>
      <c r="B60" s="76" t="s">
        <v>120</v>
      </c>
      <c r="C60" s="112">
        <f ca="1">-IF(RIGHT($A60,3)="000",SUMIF(BC[],MID($A60,1,1)&amp;"*",bc_2017),IF(RIGHT($A60,2)="00",SUMIF(BC[],MID($A60,1,2)&amp;"*",bc_2017),IF(RIGHT($A60,1)="0",SUMIF(BC[],MID($A60,1,3)&amp;"*",bc_2017),SUMIF(BC[],$A60,bc_2017))))</f>
        <v>0</v>
      </c>
      <c r="D60" s="112">
        <f ca="1">-IF(RIGHT($A60,3)="000",SUMIF(BC[],MID($A60,1,1)&amp;"*",bc_2016),IF(RIGHT($A60,2)="00",SUMIF(BC[],MID($A60,1,2)&amp;"*",bc_2016),IF(RIGHT($A60,1)="0",SUMIF(BC[],MID($A60,1,3)&amp;"*",bc_2016),SUMIF(BC[],$A60,bc_2016))))</f>
        <v>0</v>
      </c>
      <c r="E60" s="171"/>
    </row>
    <row r="61" spans="1:5">
      <c r="A61" s="158">
        <v>4225</v>
      </c>
      <c r="B61" s="76" t="s">
        <v>121</v>
      </c>
      <c r="C61" s="112">
        <f ca="1">-IF(RIGHT($A61,3)="000",SUMIF(BC[],MID($A61,1,1)&amp;"*",bc_2017),IF(RIGHT($A61,2)="00",SUMIF(BC[],MID($A61,1,2)&amp;"*",bc_2017),IF(RIGHT($A61,1)="0",SUMIF(BC[],MID($A61,1,3)&amp;"*",bc_2017),SUMIF(BC[],$A61,bc_2017))))</f>
        <v>0</v>
      </c>
      <c r="D61" s="112">
        <f ca="1">-IF(RIGHT($A61,3)="000",SUMIF(BC[],MID($A61,1,1)&amp;"*",bc_2016),IF(RIGHT($A61,2)="00",SUMIF(BC[],MID($A61,1,2)&amp;"*",bc_2016),IF(RIGHT($A61,1)="0",SUMIF(BC[],MID($A61,1,3)&amp;"*",bc_2016),SUMIF(BC[],$A61,bc_2016))))</f>
        <v>0</v>
      </c>
      <c r="E61" s="171"/>
    </row>
    <row r="62" spans="1:5">
      <c r="A62" s="158">
        <v>4226</v>
      </c>
      <c r="B62" s="76" t="s">
        <v>578</v>
      </c>
      <c r="C62" s="112">
        <f ca="1">-IF(RIGHT($A62,3)="000",SUMIF(BC[],MID($A62,1,1)&amp;"*",bc_2017),IF(RIGHT($A62,2)="00",SUMIF(BC[],MID($A62,1,2)&amp;"*",bc_2017),IF(RIGHT($A62,1)="0",SUMIF(BC[],MID($A62,1,3)&amp;"*",bc_2017),SUMIF(BC[],$A62,bc_2017))))</f>
        <v>0</v>
      </c>
      <c r="D62" s="112">
        <f ca="1">-IF(RIGHT($A62,3)="000",SUMIF(BC[],MID($A62,1,1)&amp;"*",bc_2016),IF(RIGHT($A62,2)="00",SUMIF(BC[],MID($A62,1,2)&amp;"*",bc_2016),IF(RIGHT($A62,1)="0",SUMIF(BC[],MID($A62,1,3)&amp;"*",bc_2016),SUMIF(BC[],$A62,bc_2016))))</f>
        <v>0</v>
      </c>
      <c r="E62" s="171"/>
    </row>
    <row r="63" spans="1:5">
      <c r="A63" s="155">
        <v>4300</v>
      </c>
      <c r="B63" s="61" t="s">
        <v>175</v>
      </c>
      <c r="C63" s="112">
        <f ca="1">-IF(RIGHT($A63,3)="000",SUMIF(BC[],MID($A63,1,1)&amp;"*",bc_2017),IF(RIGHT($A63,2)="00",SUMIF(BC[],MID($A63,1,2)&amp;"*",bc_2017),IF(RIGHT($A63,1)="0",SUMIF(BC[],MID($A63,1,3)&amp;"*",bc_2017),SUMIF(BC[],$A63,bc_2017))))</f>
        <v>0</v>
      </c>
      <c r="D63" s="112">
        <f ca="1">-IF(RIGHT($A63,3)="000",SUMIF(BC[],MID($A63,1,1)&amp;"*",bc_2016),IF(RIGHT($A63,2)="00",SUMIF(BC[],MID($A63,1,2)&amp;"*",bc_2016),IF(RIGHT($A63,1)="0",SUMIF(BC[],MID($A63,1,3)&amp;"*",bc_2016),SUMIF(BC[],$A63,bc_2016))))</f>
        <v>0</v>
      </c>
      <c r="E63" s="171" t="s">
        <v>176</v>
      </c>
    </row>
    <row r="64" spans="1:5">
      <c r="A64" s="158">
        <v>4310</v>
      </c>
      <c r="B64" s="76" t="s">
        <v>177</v>
      </c>
      <c r="C64" s="112">
        <f ca="1">-IF(RIGHT($A64,3)="000",SUMIF(BC[],MID($A64,1,1)&amp;"*",bc_2017),IF(RIGHT($A64,2)="00",SUMIF(BC[],MID($A64,1,2)&amp;"*",bc_2017),IF(RIGHT($A64,1)="0",SUMIF(BC[],MID($A64,1,3)&amp;"*",bc_2017),SUMIF(BC[],$A64,bc_2017))))</f>
        <v>0</v>
      </c>
      <c r="D64" s="112">
        <f ca="1">-IF(RIGHT($A64,3)="000",SUMIF(BC[],MID($A64,1,1)&amp;"*",bc_2016),IF(RIGHT($A64,2)="00",SUMIF(BC[],MID($A64,1,2)&amp;"*",bc_2016),IF(RIGHT($A64,1)="0",SUMIF(BC[],MID($A64,1,3)&amp;"*",bc_2016),SUMIF(BC[],$A64,bc_2016))))</f>
        <v>0</v>
      </c>
      <c r="E64" s="171"/>
    </row>
    <row r="65" spans="1:5">
      <c r="A65" s="158">
        <v>4311</v>
      </c>
      <c r="B65" s="76" t="s">
        <v>579</v>
      </c>
      <c r="C65" s="112">
        <f ca="1">-IF(RIGHT($A65,3)="000",SUMIF(BC[],MID($A65,1,1)&amp;"*",bc_2017),IF(RIGHT($A65,2)="00",SUMIF(BC[],MID($A65,1,2)&amp;"*",bc_2017),IF(RIGHT($A65,1)="0",SUMIF(BC[],MID($A65,1,3)&amp;"*",bc_2017),SUMIF(BC[],$A65,bc_2017))))</f>
        <v>0</v>
      </c>
      <c r="D65" s="112">
        <f ca="1">-IF(RIGHT($A65,3)="000",SUMIF(BC[],MID($A65,1,1)&amp;"*",bc_2016),IF(RIGHT($A65,2)="00",SUMIF(BC[],MID($A65,1,2)&amp;"*",bc_2016),IF(RIGHT($A65,1)="0",SUMIF(BC[],MID($A65,1,3)&amp;"*",bc_2016),SUMIF(BC[],$A65,bc_2016))))</f>
        <v>0</v>
      </c>
      <c r="E65" s="171"/>
    </row>
    <row r="66" spans="1:5">
      <c r="A66" s="158">
        <v>4319</v>
      </c>
      <c r="B66" s="76" t="s">
        <v>580</v>
      </c>
      <c r="C66" s="112">
        <f ca="1">-IF(RIGHT($A66,3)="000",SUMIF(BC[],MID($A66,1,1)&amp;"*",bc_2017),IF(RIGHT($A66,2)="00",SUMIF(BC[],MID($A66,1,2)&amp;"*",bc_2017),IF(RIGHT($A66,1)="0",SUMIF(BC[],MID($A66,1,3)&amp;"*",bc_2017),SUMIF(BC[],$A66,bc_2017))))</f>
        <v>0</v>
      </c>
      <c r="D66" s="112">
        <f ca="1">-IF(RIGHT($A66,3)="000",SUMIF(BC[],MID($A66,1,1)&amp;"*",bc_2016),IF(RIGHT($A66,2)="00",SUMIF(BC[],MID($A66,1,2)&amp;"*",bc_2016),IF(RIGHT($A66,1)="0",SUMIF(BC[],MID($A66,1,3)&amp;"*",bc_2016),SUMIF(BC[],$A66,bc_2016))))</f>
        <v>0</v>
      </c>
      <c r="E66" s="171"/>
    </row>
    <row r="67" spans="1:5">
      <c r="A67" s="158">
        <v>4320</v>
      </c>
      <c r="B67" s="76" t="s">
        <v>178</v>
      </c>
      <c r="C67" s="112">
        <f ca="1">-IF(RIGHT($A67,3)="000",SUMIF(BC[],MID($A67,1,1)&amp;"*",bc_2017),IF(RIGHT($A67,2)="00",SUMIF(BC[],MID($A67,1,2)&amp;"*",bc_2017),IF(RIGHT($A67,1)="0",SUMIF(BC[],MID($A67,1,3)&amp;"*",bc_2017),SUMIF(BC[],$A67,bc_2017))))</f>
        <v>0</v>
      </c>
      <c r="D67" s="112">
        <f ca="1">-IF(RIGHT($A67,3)="000",SUMIF(BC[],MID($A67,1,1)&amp;"*",bc_2016),IF(RIGHT($A67,2)="00",SUMIF(BC[],MID($A67,1,2)&amp;"*",bc_2016),IF(RIGHT($A67,1)="0",SUMIF(BC[],MID($A67,1,3)&amp;"*",bc_2016),SUMIF(BC[],$A67,bc_2016))))</f>
        <v>0</v>
      </c>
      <c r="E67" s="171"/>
    </row>
    <row r="68" spans="1:5">
      <c r="A68" s="158">
        <v>4321</v>
      </c>
      <c r="B68" s="76" t="s">
        <v>581</v>
      </c>
      <c r="C68" s="112">
        <f ca="1">-IF(RIGHT($A68,3)="000",SUMIF(BC[],MID($A68,1,1)&amp;"*",bc_2017),IF(RIGHT($A68,2)="00",SUMIF(BC[],MID($A68,1,2)&amp;"*",bc_2017),IF(RIGHT($A68,1)="0",SUMIF(BC[],MID($A68,1,3)&amp;"*",bc_2017),SUMIF(BC[],$A68,bc_2017))))</f>
        <v>0</v>
      </c>
      <c r="D68" s="112">
        <f ca="1">-IF(RIGHT($A68,3)="000",SUMIF(BC[],MID($A68,1,1)&amp;"*",bc_2016),IF(RIGHT($A68,2)="00",SUMIF(BC[],MID($A68,1,2)&amp;"*",bc_2016),IF(RIGHT($A68,1)="0",SUMIF(BC[],MID($A68,1,3)&amp;"*",bc_2016),SUMIF(BC[],$A68,bc_2016))))</f>
        <v>0</v>
      </c>
      <c r="E68" s="171"/>
    </row>
    <row r="69" spans="1:5">
      <c r="A69" s="158">
        <v>4322</v>
      </c>
      <c r="B69" s="76" t="s">
        <v>582</v>
      </c>
      <c r="C69" s="112">
        <f ca="1">-IF(RIGHT($A69,3)="000",SUMIF(BC[],MID($A69,1,1)&amp;"*",bc_2017),IF(RIGHT($A69,2)="00",SUMIF(BC[],MID($A69,1,2)&amp;"*",bc_2017),IF(RIGHT($A69,1)="0",SUMIF(BC[],MID($A69,1,3)&amp;"*",bc_2017),SUMIF(BC[],$A69,bc_2017))))</f>
        <v>0</v>
      </c>
      <c r="D69" s="112">
        <f ca="1">-IF(RIGHT($A69,3)="000",SUMIF(BC[],MID($A69,1,1)&amp;"*",bc_2016),IF(RIGHT($A69,2)="00",SUMIF(BC[],MID($A69,1,2)&amp;"*",bc_2016),IF(RIGHT($A69,1)="0",SUMIF(BC[],MID($A69,1,3)&amp;"*",bc_2016),SUMIF(BC[],$A69,bc_2016))))</f>
        <v>0</v>
      </c>
      <c r="E69" s="171"/>
    </row>
    <row r="70" spans="1:5">
      <c r="A70" s="158">
        <v>4323</v>
      </c>
      <c r="B70" s="76" t="s">
        <v>583</v>
      </c>
      <c r="C70" s="112">
        <f ca="1">-IF(RIGHT($A70,3)="000",SUMIF(BC[],MID($A70,1,1)&amp;"*",bc_2017),IF(RIGHT($A70,2)="00",SUMIF(BC[],MID($A70,1,2)&amp;"*",bc_2017),IF(RIGHT($A70,1)="0",SUMIF(BC[],MID($A70,1,3)&amp;"*",bc_2017),SUMIF(BC[],$A70,bc_2017))))</f>
        <v>0</v>
      </c>
      <c r="D70" s="112">
        <f ca="1">-IF(RIGHT($A70,3)="000",SUMIF(BC[],MID($A70,1,1)&amp;"*",bc_2016),IF(RIGHT($A70,2)="00",SUMIF(BC[],MID($A70,1,2)&amp;"*",bc_2016),IF(RIGHT($A70,1)="0",SUMIF(BC[],MID($A70,1,3)&amp;"*",bc_2016),SUMIF(BC[],$A70,bc_2016))))</f>
        <v>0</v>
      </c>
      <c r="E70" s="171"/>
    </row>
    <row r="71" spans="1:5">
      <c r="A71" s="158">
        <v>4324</v>
      </c>
      <c r="B71" s="76" t="s">
        <v>584</v>
      </c>
      <c r="C71" s="112">
        <f ca="1">-IF(RIGHT($A71,3)="000",SUMIF(BC[],MID($A71,1,1)&amp;"*",bc_2017),IF(RIGHT($A71,2)="00",SUMIF(BC[],MID($A71,1,2)&amp;"*",bc_2017),IF(RIGHT($A71,1)="0",SUMIF(BC[],MID($A71,1,3)&amp;"*",bc_2017),SUMIF(BC[],$A71,bc_2017))))</f>
        <v>0</v>
      </c>
      <c r="D71" s="112">
        <f ca="1">-IF(RIGHT($A71,3)="000",SUMIF(BC[],MID($A71,1,1)&amp;"*",bc_2016),IF(RIGHT($A71,2)="00",SUMIF(BC[],MID($A71,1,2)&amp;"*",bc_2016),IF(RIGHT($A71,1)="0",SUMIF(BC[],MID($A71,1,3)&amp;"*",bc_2016),SUMIF(BC[],$A71,bc_2016))))</f>
        <v>0</v>
      </c>
      <c r="E71" s="171"/>
    </row>
    <row r="72" spans="1:5">
      <c r="A72" s="158">
        <v>4325</v>
      </c>
      <c r="B72" s="76" t="s">
        <v>585</v>
      </c>
      <c r="C72" s="112">
        <f ca="1">-IF(RIGHT($A72,3)="000",SUMIF(BC[],MID($A72,1,1)&amp;"*",bc_2017),IF(RIGHT($A72,2)="00",SUMIF(BC[],MID($A72,1,2)&amp;"*",bc_2017),IF(RIGHT($A72,1)="0",SUMIF(BC[],MID($A72,1,3)&amp;"*",bc_2017),SUMIF(BC[],$A72,bc_2017))))</f>
        <v>0</v>
      </c>
      <c r="D72" s="112">
        <f ca="1">-IF(RIGHT($A72,3)="000",SUMIF(BC[],MID($A72,1,1)&amp;"*",bc_2016),IF(RIGHT($A72,2)="00",SUMIF(BC[],MID($A72,1,2)&amp;"*",bc_2016),IF(RIGHT($A72,1)="0",SUMIF(BC[],MID($A72,1,3)&amp;"*",bc_2016),SUMIF(BC[],$A72,bc_2016))))</f>
        <v>0</v>
      </c>
      <c r="E72" s="171"/>
    </row>
    <row r="73" spans="1:5">
      <c r="A73" s="158">
        <v>4330</v>
      </c>
      <c r="B73" s="76" t="s">
        <v>179</v>
      </c>
      <c r="C73" s="112">
        <f ca="1">-IF(RIGHT($A73,3)="000",SUMIF(BC[],MID($A73,1,1)&amp;"*",bc_2017),IF(RIGHT($A73,2)="00",SUMIF(BC[],MID($A73,1,2)&amp;"*",bc_2017),IF(RIGHT($A73,1)="0",SUMIF(BC[],MID($A73,1,3)&amp;"*",bc_2017),SUMIF(BC[],$A73,bc_2017))))</f>
        <v>0</v>
      </c>
      <c r="D73" s="112">
        <f ca="1">-IF(RIGHT($A73,3)="000",SUMIF(BC[],MID($A73,1,1)&amp;"*",bc_2016),IF(RIGHT($A73,2)="00",SUMIF(BC[],MID($A73,1,2)&amp;"*",bc_2016),IF(RIGHT($A73,1)="0",SUMIF(BC[],MID($A73,1,3)&amp;"*",bc_2016),SUMIF(BC[],$A73,bc_2016))))</f>
        <v>0</v>
      </c>
      <c r="E73" s="171"/>
    </row>
    <row r="74" spans="1:5">
      <c r="A74" s="158">
        <v>4331</v>
      </c>
      <c r="B74" s="76" t="s">
        <v>179</v>
      </c>
      <c r="C74" s="112">
        <f ca="1">-IF(RIGHT($A74,3)="000",SUMIF(BC[],MID($A74,1,1)&amp;"*",bc_2017),IF(RIGHT($A74,2)="00",SUMIF(BC[],MID($A74,1,2)&amp;"*",bc_2017),IF(RIGHT($A74,1)="0",SUMIF(BC[],MID($A74,1,3)&amp;"*",bc_2017),SUMIF(BC[],$A74,bc_2017))))</f>
        <v>0</v>
      </c>
      <c r="D74" s="112">
        <f ca="1">-IF(RIGHT($A74,3)="000",SUMIF(BC[],MID($A74,1,1)&amp;"*",bc_2016),IF(RIGHT($A74,2)="00",SUMIF(BC[],MID($A74,1,2)&amp;"*",bc_2016),IF(RIGHT($A74,1)="0",SUMIF(BC[],MID($A74,1,3)&amp;"*",bc_2016),SUMIF(BC[],$A74,bc_2016))))</f>
        <v>0</v>
      </c>
      <c r="E74" s="171"/>
    </row>
    <row r="75" spans="1:5">
      <c r="A75" s="158">
        <v>4340</v>
      </c>
      <c r="B75" s="76" t="s">
        <v>180</v>
      </c>
      <c r="C75" s="112">
        <f ca="1">-IF(RIGHT($A75,3)="000",SUMIF(BC[],MID($A75,1,1)&amp;"*",bc_2017),IF(RIGHT($A75,2)="00",SUMIF(BC[],MID($A75,1,2)&amp;"*",bc_2017),IF(RIGHT($A75,1)="0",SUMIF(BC[],MID($A75,1,3)&amp;"*",bc_2017),SUMIF(BC[],$A75,bc_2017))))</f>
        <v>0</v>
      </c>
      <c r="D75" s="112">
        <f ca="1">-IF(RIGHT($A75,3)="000",SUMIF(BC[],MID($A75,1,1)&amp;"*",bc_2016),IF(RIGHT($A75,2)="00",SUMIF(BC[],MID($A75,1,2)&amp;"*",bc_2016),IF(RIGHT($A75,1)="0",SUMIF(BC[],MID($A75,1,3)&amp;"*",bc_2016),SUMIF(BC[],$A75,bc_2016))))</f>
        <v>0</v>
      </c>
      <c r="E75" s="171"/>
    </row>
    <row r="76" spans="1:5">
      <c r="A76" s="158">
        <v>4341</v>
      </c>
      <c r="B76" s="76" t="s">
        <v>180</v>
      </c>
      <c r="C76" s="112">
        <f ca="1">-IF(RIGHT($A76,3)="000",SUMIF(BC[],MID($A76,1,1)&amp;"*",bc_2017),IF(RIGHT($A76,2)="00",SUMIF(BC[],MID($A76,1,2)&amp;"*",bc_2017),IF(RIGHT($A76,1)="0",SUMIF(BC[],MID($A76,1,3)&amp;"*",bc_2017),SUMIF(BC[],$A76,bc_2017))))</f>
        <v>0</v>
      </c>
      <c r="D76" s="112">
        <f ca="1">-IF(RIGHT($A76,3)="000",SUMIF(BC[],MID($A76,1,1)&amp;"*",bc_2016),IF(RIGHT($A76,2)="00",SUMIF(BC[],MID($A76,1,2)&amp;"*",bc_2016),IF(RIGHT($A76,1)="0",SUMIF(BC[],MID($A76,1,3)&amp;"*",bc_2016),SUMIF(BC[],$A76,bc_2016))))</f>
        <v>0</v>
      </c>
      <c r="E76" s="171"/>
    </row>
    <row r="77" spans="1:5">
      <c r="A77" s="158">
        <v>4390</v>
      </c>
      <c r="B77" s="76" t="s">
        <v>181</v>
      </c>
      <c r="C77" s="112">
        <f ca="1">-IF(RIGHT($A77,3)="000",SUMIF(BC[],MID($A77,1,1)&amp;"*",bc_2017),IF(RIGHT($A77,2)="00",SUMIF(BC[],MID($A77,1,2)&amp;"*",bc_2017),IF(RIGHT($A77,1)="0",SUMIF(BC[],MID($A77,1,3)&amp;"*",bc_2017),SUMIF(BC[],$A77,bc_2017))))</f>
        <v>0</v>
      </c>
      <c r="D77" s="112">
        <f ca="1">-IF(RIGHT($A77,3)="000",SUMIF(BC[],MID($A77,1,1)&amp;"*",bc_2016),IF(RIGHT($A77,2)="00",SUMIF(BC[],MID($A77,1,2)&amp;"*",bc_2016),IF(RIGHT($A77,1)="0",SUMIF(BC[],MID($A77,1,3)&amp;"*",bc_2016),SUMIF(BC[],$A77,bc_2016))))</f>
        <v>0</v>
      </c>
      <c r="E77" s="169"/>
    </row>
    <row r="78" spans="1:5">
      <c r="A78" s="158">
        <v>4391</v>
      </c>
      <c r="B78" s="76" t="s">
        <v>586</v>
      </c>
      <c r="C78" s="112">
        <f ca="1">-IF(RIGHT($A78,3)="000",SUMIF(BC[],MID($A78,1,1)&amp;"*",bc_2017),IF(RIGHT($A78,2)="00",SUMIF(BC[],MID($A78,1,2)&amp;"*",bc_2017),IF(RIGHT($A78,1)="0",SUMIF(BC[],MID($A78,1,3)&amp;"*",bc_2017),SUMIF(BC[],$A78,bc_2017))))</f>
        <v>0</v>
      </c>
      <c r="D78" s="112">
        <f ca="1">-IF(RIGHT($A78,3)="000",SUMIF(BC[],MID($A78,1,1)&amp;"*",bc_2016),IF(RIGHT($A78,2)="00",SUMIF(BC[],MID($A78,1,2)&amp;"*",bc_2016),IF(RIGHT($A78,1)="0",SUMIF(BC[],MID($A78,1,3)&amp;"*",bc_2016),SUMIF(BC[],$A78,bc_2016))))</f>
        <v>0</v>
      </c>
      <c r="E78" s="171"/>
    </row>
    <row r="79" spans="1:5">
      <c r="A79" s="158">
        <v>4392</v>
      </c>
      <c r="B79" s="76" t="s">
        <v>587</v>
      </c>
      <c r="C79" s="112">
        <f ca="1">-IF(RIGHT($A79,3)="000",SUMIF(BC[],MID($A79,1,1)&amp;"*",bc_2017),IF(RIGHT($A79,2)="00",SUMIF(BC[],MID($A79,1,2)&amp;"*",bc_2017),IF(RIGHT($A79,1)="0",SUMIF(BC[],MID($A79,1,3)&amp;"*",bc_2017),SUMIF(BC[],$A79,bc_2017))))</f>
        <v>0</v>
      </c>
      <c r="D79" s="112">
        <f ca="1">-IF(RIGHT($A79,3)="000",SUMIF(BC[],MID($A79,1,1)&amp;"*",bc_2016),IF(RIGHT($A79,2)="00",SUMIF(BC[],MID($A79,1,2)&amp;"*",bc_2016),IF(RIGHT($A79,1)="0",SUMIF(BC[],MID($A79,1,3)&amp;"*",bc_2016),SUMIF(BC[],$A79,bc_2016))))</f>
        <v>0</v>
      </c>
      <c r="E79" s="171"/>
    </row>
    <row r="80" spans="1:5">
      <c r="A80" s="158">
        <v>4393</v>
      </c>
      <c r="B80" s="76" t="s">
        <v>588</v>
      </c>
      <c r="C80" s="112">
        <f ca="1">-IF(RIGHT($A80,3)="000",SUMIF(BC[],MID($A80,1,1)&amp;"*",bc_2017),IF(RIGHT($A80,2)="00",SUMIF(BC[],MID($A80,1,2)&amp;"*",bc_2017),IF(RIGHT($A80,1)="0",SUMIF(BC[],MID($A80,1,3)&amp;"*",bc_2017),SUMIF(BC[],$A80,bc_2017))))</f>
        <v>0</v>
      </c>
      <c r="D80" s="112">
        <f ca="1">-IF(RIGHT($A80,3)="000",SUMIF(BC[],MID($A80,1,1)&amp;"*",bc_2016),IF(RIGHT($A80,2)="00",SUMIF(BC[],MID($A80,1,2)&amp;"*",bc_2016),IF(RIGHT($A80,1)="0",SUMIF(BC[],MID($A80,1,3)&amp;"*",bc_2016),SUMIF(BC[],$A80,bc_2016))))</f>
        <v>0</v>
      </c>
      <c r="E80" s="171"/>
    </row>
    <row r="81" spans="1:5">
      <c r="A81" s="158">
        <v>4394</v>
      </c>
      <c r="B81" s="76" t="s">
        <v>589</v>
      </c>
      <c r="C81" s="112">
        <f ca="1">-IF(RIGHT($A81,3)="000",SUMIF(BC[],MID($A81,1,1)&amp;"*",bc_2017),IF(RIGHT($A81,2)="00",SUMIF(BC[],MID($A81,1,2)&amp;"*",bc_2017),IF(RIGHT($A81,1)="0",SUMIF(BC[],MID($A81,1,3)&amp;"*",bc_2017),SUMIF(BC[],$A81,bc_2017))))</f>
        <v>0</v>
      </c>
      <c r="D81" s="112">
        <f ca="1">-IF(RIGHT($A81,3)="000",SUMIF(BC[],MID($A81,1,1)&amp;"*",bc_2016),IF(RIGHT($A81,2)="00",SUMIF(BC[],MID($A81,1,2)&amp;"*",bc_2016),IF(RIGHT($A81,1)="0",SUMIF(BC[],MID($A81,1,3)&amp;"*",bc_2016),SUMIF(BC[],$A81,bc_2016))))</f>
        <v>0</v>
      </c>
      <c r="E81" s="171"/>
    </row>
    <row r="82" spans="1:5">
      <c r="A82" s="158">
        <v>4395</v>
      </c>
      <c r="B82" s="76" t="s">
        <v>69</v>
      </c>
      <c r="C82" s="112">
        <f ca="1">-IF(RIGHT($A82,3)="000",SUMIF(BC[],MID($A82,1,1)&amp;"*",bc_2017),IF(RIGHT($A82,2)="00",SUMIF(BC[],MID($A82,1,2)&amp;"*",bc_2017),IF(RIGHT($A82,1)="0",SUMIF(BC[],MID($A82,1,3)&amp;"*",bc_2017),SUMIF(BC[],$A82,bc_2017))))</f>
        <v>0</v>
      </c>
      <c r="D82" s="112">
        <f ca="1">-IF(RIGHT($A82,3)="000",SUMIF(BC[],MID($A82,1,1)&amp;"*",bc_2016),IF(RIGHT($A82,2)="00",SUMIF(BC[],MID($A82,1,2)&amp;"*",bc_2016),IF(RIGHT($A82,1)="0",SUMIF(BC[],MID($A82,1,3)&amp;"*",bc_2016),SUMIF(BC[],$A82,bc_2016))))</f>
        <v>0</v>
      </c>
      <c r="E82" s="171"/>
    </row>
    <row r="83" spans="1:5">
      <c r="A83" s="158">
        <v>4396</v>
      </c>
      <c r="B83" s="76" t="s">
        <v>590</v>
      </c>
      <c r="C83" s="112">
        <f ca="1">-IF(RIGHT($A83,3)="000",SUMIF(BC[],MID($A83,1,1)&amp;"*",bc_2017),IF(RIGHT($A83,2)="00",SUMIF(BC[],MID($A83,1,2)&amp;"*",bc_2017),IF(RIGHT($A83,1)="0",SUMIF(BC[],MID($A83,1,3)&amp;"*",bc_2017),SUMIF(BC[],$A83,bc_2017))))</f>
        <v>0</v>
      </c>
      <c r="D83" s="112">
        <f ca="1">-IF(RIGHT($A83,3)="000",SUMIF(BC[],MID($A83,1,1)&amp;"*",bc_2016),IF(RIGHT($A83,2)="00",SUMIF(BC[],MID($A83,1,2)&amp;"*",bc_2016),IF(RIGHT($A83,1)="0",SUMIF(BC[],MID($A83,1,3)&amp;"*",bc_2016),SUMIF(BC[],$A83,bc_2016))))</f>
        <v>0</v>
      </c>
      <c r="E83" s="171"/>
    </row>
    <row r="84" spans="1:5">
      <c r="A84" s="158">
        <v>4399</v>
      </c>
      <c r="B84" s="76" t="s">
        <v>591</v>
      </c>
      <c r="C84" s="112">
        <f ca="1">-IF(RIGHT($A84,3)="000",SUMIF(BC[],MID($A84,1,1)&amp;"*",bc_2017),IF(RIGHT($A84,2)="00",SUMIF(BC[],MID($A84,1,2)&amp;"*",bc_2017),IF(RIGHT($A84,1)="0",SUMIF(BC[],MID($A84,1,3)&amp;"*",bc_2017),SUMIF(BC[],$A84,bc_2017))))</f>
        <v>0</v>
      </c>
      <c r="D84" s="112">
        <f ca="1">-IF(RIGHT($A84,3)="000",SUMIF(BC[],MID($A84,1,1)&amp;"*",bc_2016),IF(RIGHT($A84,2)="00",SUMIF(BC[],MID($A84,1,2)&amp;"*",bc_2016),IF(RIGHT($A84,1)="0",SUMIF(BC[],MID($A84,1,3)&amp;"*",bc_2016),SUMIF(BC[],$A84,bc_2016))))</f>
        <v>0</v>
      </c>
      <c r="E84" s="171"/>
    </row>
    <row r="85" spans="1:5" s="168" customFormat="1">
      <c r="A85" s="155">
        <v>5000</v>
      </c>
      <c r="B85" s="61" t="s">
        <v>182</v>
      </c>
      <c r="C85" s="112">
        <f ca="1">IF(RIGHT($A85,3)="000",SUMIF(BC[],MID($A85,1,1)&amp;"*",bc_2017),IF(RIGHT($A85,2)="00",SUMIF(BC[],MID($A85,1,2)&amp;"*",bc_2017),IF(RIGHT($A85,1)="0",SUMIF(BC[],MID($A85,1,3)&amp;"*",bc_2017),SUMIF(BC[],$A85,bc_2017))))</f>
        <v>86006767.219999984</v>
      </c>
      <c r="D85" s="112">
        <f ca="1">IF(RIGHT($A85,3)="000",SUMIF(BC[],MID($A85,1,1)&amp;"*",bc_2016),IF(RIGHT($A85,2)="00",SUMIF(BC[],MID($A85,1,2)&amp;"*",bc_2016),IF(RIGHT($A85,1)="0",SUMIF(BC[],MID($A85,1,3)&amp;"*",bc_2016),SUMIF(BC[],$A85,bc_2016))))</f>
        <v>74760344.699999988</v>
      </c>
      <c r="E85" s="169" t="s">
        <v>183</v>
      </c>
    </row>
    <row r="86" spans="1:5">
      <c r="A86" s="155">
        <v>5100</v>
      </c>
      <c r="B86" s="61" t="s">
        <v>184</v>
      </c>
      <c r="C86" s="112">
        <f ca="1">IF(RIGHT($A86,3)="000",SUMIF(BC[],MID($A86,1,1)&amp;"*",bc_2017),IF(RIGHT($A86,2)="00",SUMIF(BC[],MID($A86,1,2)&amp;"*",bc_2017),IF(RIGHT($A86,1)="0",SUMIF(BC[],MID($A86,1,3)&amp;"*",bc_2017),SUMIF(BC[],$A86,bc_2017))))</f>
        <v>83475699.869999975</v>
      </c>
      <c r="D86" s="112">
        <f ca="1">IF(RIGHT($A86,3)="000",SUMIF(BC[],MID($A86,1,1)&amp;"*",bc_2016),IF(RIGHT($A86,2)="00",SUMIF(BC[],MID($A86,1,2)&amp;"*",bc_2016),IF(RIGHT($A86,1)="0",SUMIF(BC[],MID($A86,1,3)&amp;"*",bc_2016),SUMIF(BC[],$A86,bc_2016))))</f>
        <v>72369777.850000009</v>
      </c>
      <c r="E86" s="171"/>
    </row>
    <row r="87" spans="1:5">
      <c r="A87" s="158">
        <v>5110</v>
      </c>
      <c r="B87" s="76" t="s">
        <v>114</v>
      </c>
      <c r="C87" s="112">
        <f ca="1">IF(RIGHT($A87,3)="000",SUMIF(BC[],MID($A87,1,1)&amp;"*",bc_2017),IF(RIGHT($A87,2)="00",SUMIF(BC[],MID($A87,1,2)&amp;"*",bc_2017),IF(RIGHT($A87,1)="0",SUMIF(BC[],MID($A87,1,3)&amp;"*",bc_2017),SUMIF(BC[],$A87,bc_2017))))</f>
        <v>65924124.18999999</v>
      </c>
      <c r="D87" s="112">
        <f ca="1">IF(RIGHT($A87,3)="000",SUMIF(BC[],MID($A87,1,1)&amp;"*",bc_2016),IF(RIGHT($A87,2)="00",SUMIF(BC[],MID($A87,1,2)&amp;"*",bc_2016),IF(RIGHT($A87,1)="0",SUMIF(BC[],MID($A87,1,3)&amp;"*",bc_2016),SUMIF(BC[],$A87,bc_2016))))</f>
        <v>56592071.319999993</v>
      </c>
      <c r="E87" s="171"/>
    </row>
    <row r="88" spans="1:5">
      <c r="A88" s="158">
        <v>5111</v>
      </c>
      <c r="B88" s="76" t="s">
        <v>185</v>
      </c>
      <c r="C88" s="112">
        <f ca="1">IF(RIGHT($A88,3)="000",SUMIF(BC[],MID($A88,1,1)&amp;"*",bc_2017),IF(RIGHT($A88,2)="00",SUMIF(BC[],MID($A88,1,2)&amp;"*",bc_2017),IF(RIGHT($A88,1)="0",SUMIF(BC[],MID($A88,1,3)&amp;"*",bc_2017),SUMIF(BC[],$A88,bc_2017))))</f>
        <v>15420663</v>
      </c>
      <c r="D88" s="112">
        <f ca="1">IF(RIGHT($A88,3)="000",SUMIF(BC[],MID($A88,1,1)&amp;"*",bc_2016),IF(RIGHT($A88,2)="00",SUMIF(BC[],MID($A88,1,2)&amp;"*",bc_2016),IF(RIGHT($A88,1)="0",SUMIF(BC[],MID($A88,1,3)&amp;"*",bc_2016),SUMIF(BC[],$A88,bc_2016))))</f>
        <v>13740383.029999999</v>
      </c>
      <c r="E88" s="171"/>
    </row>
    <row r="89" spans="1:5">
      <c r="A89" s="158">
        <v>5112</v>
      </c>
      <c r="B89" s="76" t="s">
        <v>186</v>
      </c>
      <c r="C89" s="112">
        <f ca="1">IF(RIGHT($A89,3)="000",SUMIF(BC[],MID($A89,1,1)&amp;"*",bc_2017),IF(RIGHT($A89,2)="00",SUMIF(BC[],MID($A89,1,2)&amp;"*",bc_2017),IF(RIGHT($A89,1)="0",SUMIF(BC[],MID($A89,1,3)&amp;"*",bc_2017),SUMIF(BC[],$A89,bc_2017))))</f>
        <v>2519537.44</v>
      </c>
      <c r="D89" s="112">
        <f ca="1">IF(RIGHT($A89,3)="000",SUMIF(BC[],MID($A89,1,1)&amp;"*",bc_2016),IF(RIGHT($A89,2)="00",SUMIF(BC[],MID($A89,1,2)&amp;"*",bc_2016),IF(RIGHT($A89,1)="0",SUMIF(BC[],MID($A89,1,3)&amp;"*",bc_2016),SUMIF(BC[],$A89,bc_2016))))</f>
        <v>2187839.5</v>
      </c>
      <c r="E89" s="171"/>
    </row>
    <row r="90" spans="1:5">
      <c r="A90" s="158">
        <v>5113</v>
      </c>
      <c r="B90" s="76" t="s">
        <v>187</v>
      </c>
      <c r="C90" s="112">
        <f ca="1">IF(RIGHT($A90,3)="000",SUMIF(BC[],MID($A90,1,1)&amp;"*",bc_2017),IF(RIGHT($A90,2)="00",SUMIF(BC[],MID($A90,1,2)&amp;"*",bc_2017),IF(RIGHT($A90,1)="0",SUMIF(BC[],MID($A90,1,3)&amp;"*",bc_2017),SUMIF(BC[],$A90,bc_2017))))</f>
        <v>7728879.8399999999</v>
      </c>
      <c r="D90" s="112">
        <f ca="1">IF(RIGHT($A90,3)="000",SUMIF(BC[],MID($A90,1,1)&amp;"*",bc_2016),IF(RIGHT($A90,2)="00",SUMIF(BC[],MID($A90,1,2)&amp;"*",bc_2016),IF(RIGHT($A90,1)="0",SUMIF(BC[],MID($A90,1,3)&amp;"*",bc_2016),SUMIF(BC[],$A90,bc_2016))))</f>
        <v>6513778.3799999999</v>
      </c>
      <c r="E90" s="171"/>
    </row>
    <row r="91" spans="1:5">
      <c r="A91" s="158">
        <v>5114</v>
      </c>
      <c r="B91" s="76" t="s">
        <v>592</v>
      </c>
      <c r="C91" s="112">
        <f ca="1">IF(RIGHT($A91,3)="000",SUMIF(BC[],MID($A91,1,1)&amp;"*",bc_2017),IF(RIGHT($A91,2)="00",SUMIF(BC[],MID($A91,1,2)&amp;"*",bc_2017),IF(RIGHT($A91,1)="0",SUMIF(BC[],MID($A91,1,3)&amp;"*",bc_2017),SUMIF(BC[],$A91,bc_2017))))</f>
        <v>4603225.24</v>
      </c>
      <c r="D91" s="112">
        <f ca="1">IF(RIGHT($A91,3)="000",SUMIF(BC[],MID($A91,1,1)&amp;"*",bc_2016),IF(RIGHT($A91,2)="00",SUMIF(BC[],MID($A91,1,2)&amp;"*",bc_2016),IF(RIGHT($A91,1)="0",SUMIF(BC[],MID($A91,1,3)&amp;"*",bc_2016),SUMIF(BC[],$A91,bc_2016))))</f>
        <v>4029261.9699999997</v>
      </c>
      <c r="E91" s="171"/>
    </row>
    <row r="92" spans="1:5">
      <c r="A92" s="158">
        <v>5115</v>
      </c>
      <c r="B92" s="76" t="s">
        <v>188</v>
      </c>
      <c r="C92" s="112">
        <f ca="1">IF(RIGHT($A92,3)="000",SUMIF(BC[],MID($A92,1,1)&amp;"*",bc_2017),IF(RIGHT($A92,2)="00",SUMIF(BC[],MID($A92,1,2)&amp;"*",bc_2017),IF(RIGHT($A92,1)="0",SUMIF(BC[],MID($A92,1,3)&amp;"*",bc_2017),SUMIF(BC[],$A92,bc_2017))))</f>
        <v>34306290.890000001</v>
      </c>
      <c r="D92" s="112">
        <f ca="1">IF(RIGHT($A92,3)="000",SUMIF(BC[],MID($A92,1,1)&amp;"*",bc_2016),IF(RIGHT($A92,2)="00",SUMIF(BC[],MID($A92,1,2)&amp;"*",bc_2016),IF(RIGHT($A92,1)="0",SUMIF(BC[],MID($A92,1,3)&amp;"*",bc_2016),SUMIF(BC[],$A92,bc_2016))))</f>
        <v>28942135.280000001</v>
      </c>
      <c r="E92" s="171"/>
    </row>
    <row r="93" spans="1:5">
      <c r="A93" s="158">
        <v>5116</v>
      </c>
      <c r="B93" s="76" t="s">
        <v>189</v>
      </c>
      <c r="C93" s="112">
        <f ca="1">IF(RIGHT($A93,3)="000",SUMIF(BC[],MID($A93,1,1)&amp;"*",bc_2017),IF(RIGHT($A93,2)="00",SUMIF(BC[],MID($A93,1,2)&amp;"*",bc_2017),IF(RIGHT($A93,1)="0",SUMIF(BC[],MID($A93,1,3)&amp;"*",bc_2017),SUMIF(BC[],$A93,bc_2017))))</f>
        <v>1345527.78</v>
      </c>
      <c r="D93" s="112">
        <f ca="1">IF(RIGHT($A93,3)="000",SUMIF(BC[],MID($A93,1,1)&amp;"*",bc_2016),IF(RIGHT($A93,2)="00",SUMIF(BC[],MID($A93,1,2)&amp;"*",bc_2016),IF(RIGHT($A93,1)="0",SUMIF(BC[],MID($A93,1,3)&amp;"*",bc_2016),SUMIF(BC[],$A93,bc_2016))))</f>
        <v>1178673.1600000001</v>
      </c>
      <c r="E93" s="171"/>
    </row>
    <row r="94" spans="1:5">
      <c r="A94" s="158">
        <v>5120</v>
      </c>
      <c r="B94" s="76" t="s">
        <v>115</v>
      </c>
      <c r="C94" s="112">
        <f ca="1">IF(RIGHT($A94,3)="000",SUMIF(BC[],MID($A94,1,1)&amp;"*",bc_2017),IF(RIGHT($A94,2)="00",SUMIF(BC[],MID($A94,1,2)&amp;"*",bc_2017),IF(RIGHT($A94,1)="0",SUMIF(BC[],MID($A94,1,3)&amp;"*",bc_2017),SUMIF(BC[],$A94,bc_2017))))</f>
        <v>1899438.5700000003</v>
      </c>
      <c r="D94" s="112">
        <f ca="1">IF(RIGHT($A94,3)="000",SUMIF(BC[],MID($A94,1,1)&amp;"*",bc_2016),IF(RIGHT($A94,2)="00",SUMIF(BC[],MID($A94,1,2)&amp;"*",bc_2016),IF(RIGHT($A94,1)="0",SUMIF(BC[],MID($A94,1,3)&amp;"*",bc_2016),SUMIF(BC[],$A94,bc_2016))))</f>
        <v>1884536.9899999998</v>
      </c>
      <c r="E94" s="171"/>
    </row>
    <row r="95" spans="1:5">
      <c r="A95" s="158">
        <v>5121</v>
      </c>
      <c r="B95" s="76" t="s">
        <v>190</v>
      </c>
      <c r="C95" s="112">
        <f ca="1">IF(RIGHT($A95,3)="000",SUMIF(BC[],MID($A95,1,1)&amp;"*",bc_2017),IF(RIGHT($A95,2)="00",SUMIF(BC[],MID($A95,1,2)&amp;"*",bc_2017),IF(RIGHT($A95,1)="0",SUMIF(BC[],MID($A95,1,3)&amp;"*",bc_2017),SUMIF(BC[],$A95,bc_2017))))</f>
        <v>900332.04</v>
      </c>
      <c r="D95" s="112">
        <f ca="1">IF(RIGHT($A95,3)="000",SUMIF(BC[],MID($A95,1,1)&amp;"*",bc_2016),IF(RIGHT($A95,2)="00",SUMIF(BC[],MID($A95,1,2)&amp;"*",bc_2016),IF(RIGHT($A95,1)="0",SUMIF(BC[],MID($A95,1,3)&amp;"*",bc_2016),SUMIF(BC[],$A95,bc_2016))))</f>
        <v>1062697.06</v>
      </c>
      <c r="E95" s="171"/>
    </row>
    <row r="96" spans="1:5">
      <c r="A96" s="158">
        <v>5122</v>
      </c>
      <c r="B96" s="76" t="s">
        <v>191</v>
      </c>
      <c r="C96" s="112">
        <f ca="1">IF(RIGHT($A96,3)="000",SUMIF(BC[],MID($A96,1,1)&amp;"*",bc_2017),IF(RIGHT($A96,2)="00",SUMIF(BC[],MID($A96,1,2)&amp;"*",bc_2017),IF(RIGHT($A96,1)="0",SUMIF(BC[],MID($A96,1,3)&amp;"*",bc_2017),SUMIF(BC[],$A96,bc_2017))))</f>
        <v>16466.810000000001</v>
      </c>
      <c r="D96" s="112">
        <f ca="1">IF(RIGHT($A96,3)="000",SUMIF(BC[],MID($A96,1,1)&amp;"*",bc_2016),IF(RIGHT($A96,2)="00",SUMIF(BC[],MID($A96,1,2)&amp;"*",bc_2016),IF(RIGHT($A96,1)="0",SUMIF(BC[],MID($A96,1,3)&amp;"*",bc_2016),SUMIF(BC[],$A96,bc_2016))))</f>
        <v>15807.72</v>
      </c>
      <c r="E96" s="171"/>
    </row>
    <row r="97" spans="1:5">
      <c r="A97" s="158">
        <v>5123</v>
      </c>
      <c r="B97" s="76" t="s">
        <v>192</v>
      </c>
      <c r="C97" s="112">
        <f ca="1">IF(RIGHT($A97,3)="000",SUMIF(BC[],MID($A97,1,1)&amp;"*",bc_2017),IF(RIGHT($A97,2)="00",SUMIF(BC[],MID($A97,1,2)&amp;"*",bc_2017),IF(RIGHT($A97,1)="0",SUMIF(BC[],MID($A97,1,3)&amp;"*",bc_2017),SUMIF(BC[],$A97,bc_2017))))</f>
        <v>0</v>
      </c>
      <c r="D97" s="112">
        <f ca="1">IF(RIGHT($A97,3)="000",SUMIF(BC[],MID($A97,1,1)&amp;"*",bc_2016),IF(RIGHT($A97,2)="00",SUMIF(BC[],MID($A97,1,2)&amp;"*",bc_2016),IF(RIGHT($A97,1)="0",SUMIF(BC[],MID($A97,1,3)&amp;"*",bc_2016),SUMIF(BC[],$A97,bc_2016))))</f>
        <v>0</v>
      </c>
      <c r="E97" s="171"/>
    </row>
    <row r="98" spans="1:5">
      <c r="A98" s="158">
        <v>5124</v>
      </c>
      <c r="B98" s="76" t="s">
        <v>193</v>
      </c>
      <c r="C98" s="112">
        <f ca="1">IF(RIGHT($A98,3)="000",SUMIF(BC[],MID($A98,1,1)&amp;"*",bc_2017),IF(RIGHT($A98,2)="00",SUMIF(BC[],MID($A98,1,2)&amp;"*",bc_2017),IF(RIGHT($A98,1)="0",SUMIF(BC[],MID($A98,1,3)&amp;"*",bc_2017),SUMIF(BC[],$A98,bc_2017))))</f>
        <v>31420.17</v>
      </c>
      <c r="D98" s="112">
        <f ca="1">IF(RIGHT($A98,3)="000",SUMIF(BC[],MID($A98,1,1)&amp;"*",bc_2016),IF(RIGHT($A98,2)="00",SUMIF(BC[],MID($A98,1,2)&amp;"*",bc_2016),IF(RIGHT($A98,1)="0",SUMIF(BC[],MID($A98,1,3)&amp;"*",bc_2016),SUMIF(BC[],$A98,bc_2016))))</f>
        <v>18329.689999999999</v>
      </c>
      <c r="E98" s="171"/>
    </row>
    <row r="99" spans="1:5">
      <c r="A99" s="158">
        <v>5125</v>
      </c>
      <c r="B99" s="76" t="s">
        <v>194</v>
      </c>
      <c r="C99" s="112">
        <f ca="1">IF(RIGHT($A99,3)="000",SUMIF(BC[],MID($A99,1,1)&amp;"*",bc_2017),IF(RIGHT($A99,2)="00",SUMIF(BC[],MID($A99,1,2)&amp;"*",bc_2017),IF(RIGHT($A99,1)="0",SUMIF(BC[],MID($A99,1,3)&amp;"*",bc_2017),SUMIF(BC[],$A99,bc_2017))))</f>
        <v>1564.5</v>
      </c>
      <c r="D99" s="112">
        <f ca="1">IF(RIGHT($A99,3)="000",SUMIF(BC[],MID($A99,1,1)&amp;"*",bc_2016),IF(RIGHT($A99,2)="00",SUMIF(BC[],MID($A99,1,2)&amp;"*",bc_2016),IF(RIGHT($A99,1)="0",SUMIF(BC[],MID($A99,1,3)&amp;"*",bc_2016),SUMIF(BC[],$A99,bc_2016))))</f>
        <v>991</v>
      </c>
      <c r="E99" s="171"/>
    </row>
    <row r="100" spans="1:5">
      <c r="A100" s="158">
        <v>5126</v>
      </c>
      <c r="B100" s="76" t="s">
        <v>195</v>
      </c>
      <c r="C100" s="112">
        <f ca="1">IF(RIGHT($A100,3)="000",SUMIF(BC[],MID($A100,1,1)&amp;"*",bc_2017),IF(RIGHT($A100,2)="00",SUMIF(BC[],MID($A100,1,2)&amp;"*",bc_2017),IF(RIGHT($A100,1)="0",SUMIF(BC[],MID($A100,1,3)&amp;"*",bc_2017),SUMIF(BC[],$A100,bc_2017))))</f>
        <v>776782.04</v>
      </c>
      <c r="D100" s="112">
        <f ca="1">IF(RIGHT($A100,3)="000",SUMIF(BC[],MID($A100,1,1)&amp;"*",bc_2016),IF(RIGHT($A100,2)="00",SUMIF(BC[],MID($A100,1,2)&amp;"*",bc_2016),IF(RIGHT($A100,1)="0",SUMIF(BC[],MID($A100,1,3)&amp;"*",bc_2016),SUMIF(BC[],$A100,bc_2016))))</f>
        <v>651013.82999999996</v>
      </c>
      <c r="E100" s="171"/>
    </row>
    <row r="101" spans="1:5">
      <c r="A101" s="158">
        <v>5127</v>
      </c>
      <c r="B101" s="76" t="s">
        <v>196</v>
      </c>
      <c r="C101" s="112">
        <f ca="1">IF(RIGHT($A101,3)="000",SUMIF(BC[],MID($A101,1,1)&amp;"*",bc_2017),IF(RIGHT($A101,2)="00",SUMIF(BC[],MID($A101,1,2)&amp;"*",bc_2017),IF(RIGHT($A101,1)="0",SUMIF(BC[],MID($A101,1,3)&amp;"*",bc_2017),SUMIF(BC[],$A101,bc_2017))))</f>
        <v>82033.850000000006</v>
      </c>
      <c r="D101" s="112">
        <f ca="1">IF(RIGHT($A101,3)="000",SUMIF(BC[],MID($A101,1,1)&amp;"*",bc_2016),IF(RIGHT($A101,2)="00",SUMIF(BC[],MID($A101,1,2)&amp;"*",bc_2016),IF(RIGHT($A101,1)="0",SUMIF(BC[],MID($A101,1,3)&amp;"*",bc_2016),SUMIF(BC[],$A101,bc_2016))))</f>
        <v>72088.2</v>
      </c>
      <c r="E101" s="171"/>
    </row>
    <row r="102" spans="1:5">
      <c r="A102" s="158">
        <v>5128</v>
      </c>
      <c r="B102" s="76" t="s">
        <v>197</v>
      </c>
      <c r="C102" s="112">
        <f ca="1">IF(RIGHT($A102,3)="000",SUMIF(BC[],MID($A102,1,1)&amp;"*",bc_2017),IF(RIGHT($A102,2)="00",SUMIF(BC[],MID($A102,1,2)&amp;"*",bc_2017),IF(RIGHT($A102,1)="0",SUMIF(BC[],MID($A102,1,3)&amp;"*",bc_2017),SUMIF(BC[],$A102,bc_2017))))</f>
        <v>0</v>
      </c>
      <c r="D102" s="112">
        <f ca="1">IF(RIGHT($A102,3)="000",SUMIF(BC[],MID($A102,1,1)&amp;"*",bc_2016),IF(RIGHT($A102,2)="00",SUMIF(BC[],MID($A102,1,2)&amp;"*",bc_2016),IF(RIGHT($A102,1)="0",SUMIF(BC[],MID($A102,1,3)&amp;"*",bc_2016),SUMIF(BC[],$A102,bc_2016))))</f>
        <v>0</v>
      </c>
      <c r="E102" s="171"/>
    </row>
    <row r="103" spans="1:5">
      <c r="A103" s="158">
        <v>5129</v>
      </c>
      <c r="B103" s="76" t="s">
        <v>198</v>
      </c>
      <c r="C103" s="112">
        <f ca="1">IF(RIGHT($A103,3)="000",SUMIF(BC[],MID($A103,1,1)&amp;"*",bc_2017),IF(RIGHT($A103,2)="00",SUMIF(BC[],MID($A103,1,2)&amp;"*",bc_2017),IF(RIGHT($A103,1)="0",SUMIF(BC[],MID($A103,1,3)&amp;"*",bc_2017),SUMIF(BC[],$A103,bc_2017))))</f>
        <v>90839.16</v>
      </c>
      <c r="D103" s="112">
        <f ca="1">IF(RIGHT($A103,3)="000",SUMIF(BC[],MID($A103,1,1)&amp;"*",bc_2016),IF(RIGHT($A103,2)="00",SUMIF(BC[],MID($A103,1,2)&amp;"*",bc_2016),IF(RIGHT($A103,1)="0",SUMIF(BC[],MID($A103,1,3)&amp;"*",bc_2016),SUMIF(BC[],$A103,bc_2016))))</f>
        <v>63609.490000000005</v>
      </c>
      <c r="E103" s="171"/>
    </row>
    <row r="104" spans="1:5">
      <c r="A104" s="158">
        <v>5130</v>
      </c>
      <c r="B104" s="76" t="s">
        <v>116</v>
      </c>
      <c r="C104" s="112">
        <f ca="1">IF(RIGHT($A104,3)="000",SUMIF(BC[],MID($A104,1,1)&amp;"*",bc_2017),IF(RIGHT($A104,2)="00",SUMIF(BC[],MID($A104,1,2)&amp;"*",bc_2017),IF(RIGHT($A104,1)="0",SUMIF(BC[],MID($A104,1,3)&amp;"*",bc_2017),SUMIF(BC[],$A104,bc_2017))))</f>
        <v>15652137.109999999</v>
      </c>
      <c r="D104" s="112">
        <f ca="1">IF(RIGHT($A104,3)="000",SUMIF(BC[],MID($A104,1,1)&amp;"*",bc_2016),IF(RIGHT($A104,2)="00",SUMIF(BC[],MID($A104,1,2)&amp;"*",bc_2016),IF(RIGHT($A104,1)="0",SUMIF(BC[],MID($A104,1,3)&amp;"*",bc_2016),SUMIF(BC[],$A104,bc_2016))))</f>
        <v>13893169.539999999</v>
      </c>
      <c r="E104" s="171"/>
    </row>
    <row r="105" spans="1:5">
      <c r="A105" s="158">
        <v>5131</v>
      </c>
      <c r="B105" s="76" t="s">
        <v>199</v>
      </c>
      <c r="C105" s="112">
        <f ca="1">IF(RIGHT($A105,3)="000",SUMIF(BC[],MID($A105,1,1)&amp;"*",bc_2017),IF(RIGHT($A105,2)="00",SUMIF(BC[],MID($A105,1,2)&amp;"*",bc_2017),IF(RIGHT($A105,1)="0",SUMIF(BC[],MID($A105,1,3)&amp;"*",bc_2017),SUMIF(BC[],$A105,bc_2017))))</f>
        <v>997453.82000000007</v>
      </c>
      <c r="D105" s="112">
        <f ca="1">IF(RIGHT($A105,3)="000",SUMIF(BC[],MID($A105,1,1)&amp;"*",bc_2016),IF(RIGHT($A105,2)="00",SUMIF(BC[],MID($A105,1,2)&amp;"*",bc_2016),IF(RIGHT($A105,1)="0",SUMIF(BC[],MID($A105,1,3)&amp;"*",bc_2016),SUMIF(BC[],$A105,bc_2016))))</f>
        <v>893806.85</v>
      </c>
      <c r="E105" s="171"/>
    </row>
    <row r="106" spans="1:5">
      <c r="A106" s="158">
        <v>5132</v>
      </c>
      <c r="B106" s="76" t="s">
        <v>200</v>
      </c>
      <c r="C106" s="112">
        <f ca="1">IF(RIGHT($A106,3)="000",SUMIF(BC[],MID($A106,1,1)&amp;"*",bc_2017),IF(RIGHT($A106,2)="00",SUMIF(BC[],MID($A106,1,2)&amp;"*",bc_2017),IF(RIGHT($A106,1)="0",SUMIF(BC[],MID($A106,1,3)&amp;"*",bc_2017),SUMIF(BC[],$A106,bc_2017))))</f>
        <v>1678876.32</v>
      </c>
      <c r="D106" s="112">
        <f ca="1">IF(RIGHT($A106,3)="000",SUMIF(BC[],MID($A106,1,1)&amp;"*",bc_2016),IF(RIGHT($A106,2)="00",SUMIF(BC[],MID($A106,1,2)&amp;"*",bc_2016),IF(RIGHT($A106,1)="0",SUMIF(BC[],MID($A106,1,3)&amp;"*",bc_2016),SUMIF(BC[],$A106,bc_2016))))</f>
        <v>1442871.08</v>
      </c>
      <c r="E106" s="171"/>
    </row>
    <row r="107" spans="1:5">
      <c r="A107" s="158">
        <v>5133</v>
      </c>
      <c r="B107" s="76" t="s">
        <v>593</v>
      </c>
      <c r="C107" s="112">
        <f ca="1">IF(RIGHT($A107,3)="000",SUMIF(BC[],MID($A107,1,1)&amp;"*",bc_2017),IF(RIGHT($A107,2)="00",SUMIF(BC[],MID($A107,1,2)&amp;"*",bc_2017),IF(RIGHT($A107,1)="0",SUMIF(BC[],MID($A107,1,3)&amp;"*",bc_2017),SUMIF(BC[],$A107,bc_2017))))</f>
        <v>4467479.8500000006</v>
      </c>
      <c r="D107" s="112">
        <f ca="1">IF(RIGHT($A107,3)="000",SUMIF(BC[],MID($A107,1,1)&amp;"*",bc_2016),IF(RIGHT($A107,2)="00",SUMIF(BC[],MID($A107,1,2)&amp;"*",bc_2016),IF(RIGHT($A107,1)="0",SUMIF(BC[],MID($A107,1,3)&amp;"*",bc_2016),SUMIF(BC[],$A107,bc_2016))))</f>
        <v>2808123.81</v>
      </c>
      <c r="E107" s="171"/>
    </row>
    <row r="108" spans="1:5">
      <c r="A108" s="158">
        <v>5134</v>
      </c>
      <c r="B108" s="76" t="s">
        <v>201</v>
      </c>
      <c r="C108" s="112">
        <f ca="1">IF(RIGHT($A108,3)="000",SUMIF(BC[],MID($A108,1,1)&amp;"*",bc_2017),IF(RIGHT($A108,2)="00",SUMIF(BC[],MID($A108,1,2)&amp;"*",bc_2017),IF(RIGHT($A108,1)="0",SUMIF(BC[],MID($A108,1,3)&amp;"*",bc_2017),SUMIF(BC[],$A108,bc_2017))))</f>
        <v>190740.11</v>
      </c>
      <c r="D108" s="112">
        <f ca="1">IF(RIGHT($A108,3)="000",SUMIF(BC[],MID($A108,1,1)&amp;"*",bc_2016),IF(RIGHT($A108,2)="00",SUMIF(BC[],MID($A108,1,2)&amp;"*",bc_2016),IF(RIGHT($A108,1)="0",SUMIF(BC[],MID($A108,1,3)&amp;"*",bc_2016),SUMIF(BC[],$A108,bc_2016))))</f>
        <v>146785.60999999999</v>
      </c>
      <c r="E108" s="171"/>
    </row>
    <row r="109" spans="1:5">
      <c r="A109" s="158">
        <v>5135</v>
      </c>
      <c r="B109" s="76" t="s">
        <v>202</v>
      </c>
      <c r="C109" s="112">
        <f ca="1">IF(RIGHT($A109,3)="000",SUMIF(BC[],MID($A109,1,1)&amp;"*",bc_2017),IF(RIGHT($A109,2)="00",SUMIF(BC[],MID($A109,1,2)&amp;"*",bc_2017),IF(RIGHT($A109,1)="0",SUMIF(BC[],MID($A109,1,3)&amp;"*",bc_2017),SUMIF(BC[],$A109,bc_2017))))</f>
        <v>467209.52999999997</v>
      </c>
      <c r="D109" s="112">
        <f ca="1">IF(RIGHT($A109,3)="000",SUMIF(BC[],MID($A109,1,1)&amp;"*",bc_2016),IF(RIGHT($A109,2)="00",SUMIF(BC[],MID($A109,1,2)&amp;"*",bc_2016),IF(RIGHT($A109,1)="0",SUMIF(BC[],MID($A109,1,3)&amp;"*",bc_2016),SUMIF(BC[],$A109,bc_2016))))</f>
        <v>563514.68000000005</v>
      </c>
      <c r="E109" s="171"/>
    </row>
    <row r="110" spans="1:5">
      <c r="A110" s="158">
        <v>5136</v>
      </c>
      <c r="B110" s="76" t="s">
        <v>203</v>
      </c>
      <c r="C110" s="112">
        <f ca="1">IF(RIGHT($A110,3)="000",SUMIF(BC[],MID($A110,1,1)&amp;"*",bc_2017),IF(RIGHT($A110,2)="00",SUMIF(BC[],MID($A110,1,2)&amp;"*",bc_2017),IF(RIGHT($A110,1)="0",SUMIF(BC[],MID($A110,1,3)&amp;"*",bc_2017),SUMIF(BC[],$A110,bc_2017))))</f>
        <v>5147614.2699999996</v>
      </c>
      <c r="D110" s="112">
        <f ca="1">IF(RIGHT($A110,3)="000",SUMIF(BC[],MID($A110,1,1)&amp;"*",bc_2016),IF(RIGHT($A110,2)="00",SUMIF(BC[],MID($A110,1,2)&amp;"*",bc_2016),IF(RIGHT($A110,1)="0",SUMIF(BC[],MID($A110,1,3)&amp;"*",bc_2016),SUMIF(BC[],$A110,bc_2016))))</f>
        <v>5320556.41</v>
      </c>
      <c r="E110" s="171"/>
    </row>
    <row r="111" spans="1:5">
      <c r="A111" s="158">
        <v>5137</v>
      </c>
      <c r="B111" s="76" t="s">
        <v>204</v>
      </c>
      <c r="C111" s="112">
        <f ca="1">IF(RIGHT($A111,3)="000",SUMIF(BC[],MID($A111,1,1)&amp;"*",bc_2017),IF(RIGHT($A111,2)="00",SUMIF(BC[],MID($A111,1,2)&amp;"*",bc_2017),IF(RIGHT($A111,1)="0",SUMIF(BC[],MID($A111,1,3)&amp;"*",bc_2017),SUMIF(BC[],$A111,bc_2017))))</f>
        <v>173462.32</v>
      </c>
      <c r="D111" s="112">
        <f ca="1">IF(RIGHT($A111,3)="000",SUMIF(BC[],MID($A111,1,1)&amp;"*",bc_2016),IF(RIGHT($A111,2)="00",SUMIF(BC[],MID($A111,1,2)&amp;"*",bc_2016),IF(RIGHT($A111,1)="0",SUMIF(BC[],MID($A111,1,3)&amp;"*",bc_2016),SUMIF(BC[],$A111,bc_2016))))</f>
        <v>246311.76</v>
      </c>
      <c r="E111" s="171"/>
    </row>
    <row r="112" spans="1:5">
      <c r="A112" s="158">
        <v>5138</v>
      </c>
      <c r="B112" s="76" t="s">
        <v>205</v>
      </c>
      <c r="C112" s="112">
        <f ca="1">IF(RIGHT($A112,3)="000",SUMIF(BC[],MID($A112,1,1)&amp;"*",bc_2017),IF(RIGHT($A112,2)="00",SUMIF(BC[],MID($A112,1,2)&amp;"*",bc_2017),IF(RIGHT($A112,1)="0",SUMIF(BC[],MID($A112,1,3)&amp;"*",bc_2017),SUMIF(BC[],$A112,bc_2017))))</f>
        <v>1356286.31</v>
      </c>
      <c r="D112" s="112">
        <f ca="1">IF(RIGHT($A112,3)="000",SUMIF(BC[],MID($A112,1,1)&amp;"*",bc_2016),IF(RIGHT($A112,2)="00",SUMIF(BC[],MID($A112,1,2)&amp;"*",bc_2016),IF(RIGHT($A112,1)="0",SUMIF(BC[],MID($A112,1,3)&amp;"*",bc_2016),SUMIF(BC[],$A112,bc_2016))))</f>
        <v>1463734.5</v>
      </c>
      <c r="E112" s="171"/>
    </row>
    <row r="113" spans="1:5">
      <c r="A113" s="158">
        <v>5139</v>
      </c>
      <c r="B113" s="76" t="s">
        <v>206</v>
      </c>
      <c r="C113" s="112">
        <f ca="1">IF(RIGHT($A113,3)="000",SUMIF(BC[],MID($A113,1,1)&amp;"*",bc_2017),IF(RIGHT($A113,2)="00",SUMIF(BC[],MID($A113,1,2)&amp;"*",bc_2017),IF(RIGHT($A113,1)="0",SUMIF(BC[],MID($A113,1,3)&amp;"*",bc_2017),SUMIF(BC[],$A113,bc_2017))))</f>
        <v>1173014.58</v>
      </c>
      <c r="D113" s="112">
        <f ca="1">IF(RIGHT($A113,3)="000",SUMIF(BC[],MID($A113,1,1)&amp;"*",bc_2016),IF(RIGHT($A113,2)="00",SUMIF(BC[],MID($A113,1,2)&amp;"*",bc_2016),IF(RIGHT($A113,1)="0",SUMIF(BC[],MID($A113,1,3)&amp;"*",bc_2016),SUMIF(BC[],$A113,bc_2016))))</f>
        <v>1007464.84</v>
      </c>
      <c r="E113" s="171"/>
    </row>
    <row r="114" spans="1:5">
      <c r="A114" s="155">
        <v>5200</v>
      </c>
      <c r="B114" s="61" t="s">
        <v>207</v>
      </c>
      <c r="C114" s="112">
        <f ca="1">IF(RIGHT($A114,3)="000",SUMIF(BC[],MID($A114,1,1)&amp;"*",bc_2017),IF(RIGHT($A114,2)="00",SUMIF(BC[],MID($A114,1,2)&amp;"*",bc_2017),IF(RIGHT($A114,1)="0",SUMIF(BC[],MID($A114,1,3)&amp;"*",bc_2017),SUMIF(BC[],$A114,bc_2017))))</f>
        <v>0</v>
      </c>
      <c r="D114" s="112">
        <f ca="1">IF(RIGHT($A114,3)="000",SUMIF(BC[],MID($A114,1,1)&amp;"*",bc_2016),IF(RIGHT($A114,2)="00",SUMIF(BC[],MID($A114,1,2)&amp;"*",bc_2016),IF(RIGHT($A114,1)="0",SUMIF(BC[],MID($A114,1,3)&amp;"*",bc_2016),SUMIF(BC[],$A114,bc_2016))))</f>
        <v>0</v>
      </c>
      <c r="E114" s="171"/>
    </row>
    <row r="115" spans="1:5">
      <c r="A115" s="158">
        <v>5210</v>
      </c>
      <c r="B115" s="76" t="s">
        <v>117</v>
      </c>
      <c r="C115" s="112">
        <f ca="1">IF(RIGHT($A115,3)="000",SUMIF(BC[],MID($A115,1,1)&amp;"*",bc_2017),IF(RIGHT($A115,2)="00",SUMIF(BC[],MID($A115,1,2)&amp;"*",bc_2017),IF(RIGHT($A115,1)="0",SUMIF(BC[],MID($A115,1,3)&amp;"*",bc_2017),SUMIF(BC[],$A115,bc_2017))))</f>
        <v>0</v>
      </c>
      <c r="D115" s="112">
        <f ca="1">IF(RIGHT($A115,3)="000",SUMIF(BC[],MID($A115,1,1)&amp;"*",bc_2016),IF(RIGHT($A115,2)="00",SUMIF(BC[],MID($A115,1,2)&amp;"*",bc_2016),IF(RIGHT($A115,1)="0",SUMIF(BC[],MID($A115,1,3)&amp;"*",bc_2016),SUMIF(BC[],$A115,bc_2016))))</f>
        <v>0</v>
      </c>
      <c r="E115" s="171"/>
    </row>
    <row r="116" spans="1:5">
      <c r="A116" s="158">
        <v>5211</v>
      </c>
      <c r="B116" s="76" t="s">
        <v>594</v>
      </c>
      <c r="C116" s="112">
        <f ca="1">IF(RIGHT($A116,3)="000",SUMIF(BC[],MID($A116,1,1)&amp;"*",bc_2017),IF(RIGHT($A116,2)="00",SUMIF(BC[],MID($A116,1,2)&amp;"*",bc_2017),IF(RIGHT($A116,1)="0",SUMIF(BC[],MID($A116,1,3)&amp;"*",bc_2017),SUMIF(BC[],$A116,bc_2017))))</f>
        <v>0</v>
      </c>
      <c r="D116" s="112">
        <f ca="1">IF(RIGHT($A116,3)="000",SUMIF(BC[],MID($A116,1,1)&amp;"*",bc_2016),IF(RIGHT($A116,2)="00",SUMIF(BC[],MID($A116,1,2)&amp;"*",bc_2016),IF(RIGHT($A116,1)="0",SUMIF(BC[],MID($A116,1,3)&amp;"*",bc_2016),SUMIF(BC[],$A116,bc_2016))))</f>
        <v>0</v>
      </c>
      <c r="E116" s="171"/>
    </row>
    <row r="117" spans="1:5">
      <c r="A117" s="158">
        <v>5212</v>
      </c>
      <c r="B117" s="76" t="s">
        <v>595</v>
      </c>
      <c r="C117" s="112">
        <f ca="1">IF(RIGHT($A117,3)="000",SUMIF(BC[],MID($A117,1,1)&amp;"*",bc_2017),IF(RIGHT($A117,2)="00",SUMIF(BC[],MID($A117,1,2)&amp;"*",bc_2017),IF(RIGHT($A117,1)="0",SUMIF(BC[],MID($A117,1,3)&amp;"*",bc_2017),SUMIF(BC[],$A117,bc_2017))))</f>
        <v>0</v>
      </c>
      <c r="D117" s="112">
        <f ca="1">IF(RIGHT($A117,3)="000",SUMIF(BC[],MID($A117,1,1)&amp;"*",bc_2016),IF(RIGHT($A117,2)="00",SUMIF(BC[],MID($A117,1,2)&amp;"*",bc_2016),IF(RIGHT($A117,1)="0",SUMIF(BC[],MID($A117,1,3)&amp;"*",bc_2016),SUMIF(BC[],$A117,bc_2016))))</f>
        <v>0</v>
      </c>
      <c r="E117" s="171"/>
    </row>
    <row r="118" spans="1:5">
      <c r="A118" s="158">
        <v>5220</v>
      </c>
      <c r="B118" s="76" t="s">
        <v>118</v>
      </c>
      <c r="C118" s="112">
        <f ca="1">IF(RIGHT($A118,3)="000",SUMIF(BC[],MID($A118,1,1)&amp;"*",bc_2017),IF(RIGHT($A118,2)="00",SUMIF(BC[],MID($A118,1,2)&amp;"*",bc_2017),IF(RIGHT($A118,1)="0",SUMIF(BC[],MID($A118,1,3)&amp;"*",bc_2017),SUMIF(BC[],$A118,bc_2017))))</f>
        <v>0</v>
      </c>
      <c r="D118" s="112">
        <f ca="1">IF(RIGHT($A118,3)="000",SUMIF(BC[],MID($A118,1,1)&amp;"*",bc_2016),IF(RIGHT($A118,2)="00",SUMIF(BC[],MID($A118,1,2)&amp;"*",bc_2016),IF(RIGHT($A118,1)="0",SUMIF(BC[],MID($A118,1,3)&amp;"*",bc_2016),SUMIF(BC[],$A118,bc_2016))))</f>
        <v>0</v>
      </c>
      <c r="E118" s="171"/>
    </row>
    <row r="119" spans="1:5">
      <c r="A119" s="158">
        <v>5221</v>
      </c>
      <c r="B119" s="76" t="s">
        <v>596</v>
      </c>
      <c r="C119" s="112">
        <f ca="1">IF(RIGHT($A119,3)="000",SUMIF(BC[],MID($A119,1,1)&amp;"*",bc_2017),IF(RIGHT($A119,2)="00",SUMIF(BC[],MID($A119,1,2)&amp;"*",bc_2017),IF(RIGHT($A119,1)="0",SUMIF(BC[],MID($A119,1,3)&amp;"*",bc_2017),SUMIF(BC[],$A119,bc_2017))))</f>
        <v>0</v>
      </c>
      <c r="D119" s="112">
        <f ca="1">IF(RIGHT($A119,3)="000",SUMIF(BC[],MID($A119,1,1)&amp;"*",bc_2016),IF(RIGHT($A119,2)="00",SUMIF(BC[],MID($A119,1,2)&amp;"*",bc_2016),IF(RIGHT($A119,1)="0",SUMIF(BC[],MID($A119,1,3)&amp;"*",bc_2016),SUMIF(BC[],$A119,bc_2016))))</f>
        <v>0</v>
      </c>
      <c r="E119" s="171"/>
    </row>
    <row r="120" spans="1:5">
      <c r="A120" s="158">
        <v>5222</v>
      </c>
      <c r="B120" s="76" t="s">
        <v>597</v>
      </c>
      <c r="C120" s="112">
        <f ca="1">IF(RIGHT($A120,3)="000",SUMIF(BC[],MID($A120,1,1)&amp;"*",bc_2017),IF(RIGHT($A120,2)="00",SUMIF(BC[],MID($A120,1,2)&amp;"*",bc_2017),IF(RIGHT($A120,1)="0",SUMIF(BC[],MID($A120,1,3)&amp;"*",bc_2017),SUMIF(BC[],$A120,bc_2017))))</f>
        <v>0</v>
      </c>
      <c r="D120" s="112">
        <f ca="1">IF(RIGHT($A120,3)="000",SUMIF(BC[],MID($A120,1,1)&amp;"*",bc_2016),IF(RIGHT($A120,2)="00",SUMIF(BC[],MID($A120,1,2)&amp;"*",bc_2016),IF(RIGHT($A120,1)="0",SUMIF(BC[],MID($A120,1,3)&amp;"*",bc_2016),SUMIF(BC[],$A120,bc_2016))))</f>
        <v>0</v>
      </c>
      <c r="E120" s="171"/>
    </row>
    <row r="121" spans="1:5">
      <c r="A121" s="158">
        <v>5230</v>
      </c>
      <c r="B121" s="76" t="s">
        <v>119</v>
      </c>
      <c r="C121" s="112">
        <f ca="1">IF(RIGHT($A121,3)="000",SUMIF(BC[],MID($A121,1,1)&amp;"*",bc_2017),IF(RIGHT($A121,2)="00",SUMIF(BC[],MID($A121,1,2)&amp;"*",bc_2017),IF(RIGHT($A121,1)="0",SUMIF(BC[],MID($A121,1,3)&amp;"*",bc_2017),SUMIF(BC[],$A121,bc_2017))))</f>
        <v>0</v>
      </c>
      <c r="D121" s="112">
        <f ca="1">IF(RIGHT($A121,3)="000",SUMIF(BC[],MID($A121,1,1)&amp;"*",bc_2016),IF(RIGHT($A121,2)="00",SUMIF(BC[],MID($A121,1,2)&amp;"*",bc_2016),IF(RIGHT($A121,1)="0",SUMIF(BC[],MID($A121,1,3)&amp;"*",bc_2016),SUMIF(BC[],$A121,bc_2016))))</f>
        <v>0</v>
      </c>
      <c r="E121" s="171"/>
    </row>
    <row r="122" spans="1:5">
      <c r="A122" s="158">
        <v>5231</v>
      </c>
      <c r="B122" s="76" t="s">
        <v>598</v>
      </c>
      <c r="C122" s="112">
        <f ca="1">IF(RIGHT($A122,3)="000",SUMIF(BC[],MID($A122,1,1)&amp;"*",bc_2017),IF(RIGHT($A122,2)="00",SUMIF(BC[],MID($A122,1,2)&amp;"*",bc_2017),IF(RIGHT($A122,1)="0",SUMIF(BC[],MID($A122,1,3)&amp;"*",bc_2017),SUMIF(BC[],$A122,bc_2017))))</f>
        <v>0</v>
      </c>
      <c r="D122" s="112">
        <f ca="1">IF(RIGHT($A122,3)="000",SUMIF(BC[],MID($A122,1,1)&amp;"*",bc_2016),IF(RIGHT($A122,2)="00",SUMIF(BC[],MID($A122,1,2)&amp;"*",bc_2016),IF(RIGHT($A122,1)="0",SUMIF(BC[],MID($A122,1,3)&amp;"*",bc_2016),SUMIF(BC[],$A122,bc_2016))))</f>
        <v>0</v>
      </c>
      <c r="E122" s="171"/>
    </row>
    <row r="123" spans="1:5">
      <c r="A123" s="158">
        <v>5232</v>
      </c>
      <c r="B123" s="76" t="s">
        <v>599</v>
      </c>
      <c r="C123" s="112">
        <f ca="1">IF(RIGHT($A123,3)="000",SUMIF(BC[],MID($A123,1,1)&amp;"*",bc_2017),IF(RIGHT($A123,2)="00",SUMIF(BC[],MID($A123,1,2)&amp;"*",bc_2017),IF(RIGHT($A123,1)="0",SUMIF(BC[],MID($A123,1,3)&amp;"*",bc_2017),SUMIF(BC[],$A123,bc_2017))))</f>
        <v>0</v>
      </c>
      <c r="D123" s="112">
        <f ca="1">IF(RIGHT($A123,3)="000",SUMIF(BC[],MID($A123,1,1)&amp;"*",bc_2016),IF(RIGHT($A123,2)="00",SUMIF(BC[],MID($A123,1,2)&amp;"*",bc_2016),IF(RIGHT($A123,1)="0",SUMIF(BC[],MID($A123,1,3)&amp;"*",bc_2016),SUMIF(BC[],$A123,bc_2016))))</f>
        <v>0</v>
      </c>
      <c r="E123" s="171"/>
    </row>
    <row r="124" spans="1:5">
      <c r="A124" s="158">
        <v>5240</v>
      </c>
      <c r="B124" s="76" t="s">
        <v>120</v>
      </c>
      <c r="C124" s="112">
        <f ca="1">IF(RIGHT($A124,3)="000",SUMIF(BC[],MID($A124,1,1)&amp;"*",bc_2017),IF(RIGHT($A124,2)="00",SUMIF(BC[],MID($A124,1,2)&amp;"*",bc_2017),IF(RIGHT($A124,1)="0",SUMIF(BC[],MID($A124,1,3)&amp;"*",bc_2017),SUMIF(BC[],$A124,bc_2017))))</f>
        <v>0</v>
      </c>
      <c r="D124" s="112">
        <f ca="1">IF(RIGHT($A124,3)="000",SUMIF(BC[],MID($A124,1,1)&amp;"*",bc_2016),IF(RIGHT($A124,2)="00",SUMIF(BC[],MID($A124,1,2)&amp;"*",bc_2016),IF(RIGHT($A124,1)="0",SUMIF(BC[],MID($A124,1,3)&amp;"*",bc_2016),SUMIF(BC[],$A124,bc_2016))))</f>
        <v>0</v>
      </c>
      <c r="E124" s="171"/>
    </row>
    <row r="125" spans="1:5">
      <c r="A125" s="158">
        <v>5241</v>
      </c>
      <c r="B125" s="76" t="s">
        <v>600</v>
      </c>
      <c r="C125" s="112">
        <f ca="1">IF(RIGHT($A125,3)="000",SUMIF(BC[],MID($A125,1,1)&amp;"*",bc_2017),IF(RIGHT($A125,2)="00",SUMIF(BC[],MID($A125,1,2)&amp;"*",bc_2017),IF(RIGHT($A125,1)="0",SUMIF(BC[],MID($A125,1,3)&amp;"*",bc_2017),SUMIF(BC[],$A125,bc_2017))))</f>
        <v>0</v>
      </c>
      <c r="D125" s="112">
        <f ca="1">IF(RIGHT($A125,3)="000",SUMIF(BC[],MID($A125,1,1)&amp;"*",bc_2016),IF(RIGHT($A125,2)="00",SUMIF(BC[],MID($A125,1,2)&amp;"*",bc_2016),IF(RIGHT($A125,1)="0",SUMIF(BC[],MID($A125,1,3)&amp;"*",bc_2016),SUMIF(BC[],$A125,bc_2016))))</f>
        <v>0</v>
      </c>
      <c r="E125" s="171"/>
    </row>
    <row r="126" spans="1:5">
      <c r="A126" s="158">
        <v>5242</v>
      </c>
      <c r="B126" s="76" t="s">
        <v>601</v>
      </c>
      <c r="C126" s="112">
        <f ca="1">IF(RIGHT($A126,3)="000",SUMIF(BC[],MID($A126,1,1)&amp;"*",bc_2017),IF(RIGHT($A126,2)="00",SUMIF(BC[],MID($A126,1,2)&amp;"*",bc_2017),IF(RIGHT($A126,1)="0",SUMIF(BC[],MID($A126,1,3)&amp;"*",bc_2017),SUMIF(BC[],$A126,bc_2017))))</f>
        <v>0</v>
      </c>
      <c r="D126" s="112">
        <f ca="1">IF(RIGHT($A126,3)="000",SUMIF(BC[],MID($A126,1,1)&amp;"*",bc_2016),IF(RIGHT($A126,2)="00",SUMIF(BC[],MID($A126,1,2)&amp;"*",bc_2016),IF(RIGHT($A126,1)="0",SUMIF(BC[],MID($A126,1,3)&amp;"*",bc_2016),SUMIF(BC[],$A126,bc_2016))))</f>
        <v>0</v>
      </c>
      <c r="E126" s="171"/>
    </row>
    <row r="127" spans="1:5">
      <c r="A127" s="158">
        <v>5243</v>
      </c>
      <c r="B127" s="76" t="s">
        <v>602</v>
      </c>
      <c r="C127" s="112">
        <f ca="1">IF(RIGHT($A127,3)="000",SUMIF(BC[],MID($A127,1,1)&amp;"*",bc_2017),IF(RIGHT($A127,2)="00",SUMIF(BC[],MID($A127,1,2)&amp;"*",bc_2017),IF(RIGHT($A127,1)="0",SUMIF(BC[],MID($A127,1,3)&amp;"*",bc_2017),SUMIF(BC[],$A127,bc_2017))))</f>
        <v>0</v>
      </c>
      <c r="D127" s="112">
        <f ca="1">IF(RIGHT($A127,3)="000",SUMIF(BC[],MID($A127,1,1)&amp;"*",bc_2016),IF(RIGHT($A127,2)="00",SUMIF(BC[],MID($A127,1,2)&amp;"*",bc_2016),IF(RIGHT($A127,1)="0",SUMIF(BC[],MID($A127,1,3)&amp;"*",bc_2016),SUMIF(BC[],$A127,bc_2016))))</f>
        <v>0</v>
      </c>
      <c r="E127" s="171"/>
    </row>
    <row r="128" spans="1:5">
      <c r="A128" s="158">
        <v>5244</v>
      </c>
      <c r="B128" s="76" t="s">
        <v>603</v>
      </c>
      <c r="C128" s="112">
        <f ca="1">IF(RIGHT($A128,3)="000",SUMIF(BC[],MID($A128,1,1)&amp;"*",bc_2017),IF(RIGHT($A128,2)="00",SUMIF(BC[],MID($A128,1,2)&amp;"*",bc_2017),IF(RIGHT($A128,1)="0",SUMIF(BC[],MID($A128,1,3)&amp;"*",bc_2017),SUMIF(BC[],$A128,bc_2017))))</f>
        <v>0</v>
      </c>
      <c r="D128" s="112">
        <f ca="1">IF(RIGHT($A128,3)="000",SUMIF(BC[],MID($A128,1,1)&amp;"*",bc_2016),IF(RIGHT($A128,2)="00",SUMIF(BC[],MID($A128,1,2)&amp;"*",bc_2016),IF(RIGHT($A128,1)="0",SUMIF(BC[],MID($A128,1,3)&amp;"*",bc_2016),SUMIF(BC[],$A128,bc_2016))))</f>
        <v>0</v>
      </c>
      <c r="E128" s="171"/>
    </row>
    <row r="129" spans="1:5">
      <c r="A129" s="158">
        <v>5250</v>
      </c>
      <c r="B129" s="76" t="s">
        <v>121</v>
      </c>
      <c r="C129" s="112">
        <f ca="1">IF(RIGHT($A129,3)="000",SUMIF(BC[],MID($A129,1,1)&amp;"*",bc_2017),IF(RIGHT($A129,2)="00",SUMIF(BC[],MID($A129,1,2)&amp;"*",bc_2017),IF(RIGHT($A129,1)="0",SUMIF(BC[],MID($A129,1,3)&amp;"*",bc_2017),SUMIF(BC[],$A129,bc_2017))))</f>
        <v>0</v>
      </c>
      <c r="D129" s="112">
        <f ca="1">IF(RIGHT($A129,3)="000",SUMIF(BC[],MID($A129,1,1)&amp;"*",bc_2016),IF(RIGHT($A129,2)="00",SUMIF(BC[],MID($A129,1,2)&amp;"*",bc_2016),IF(RIGHT($A129,1)="0",SUMIF(BC[],MID($A129,1,3)&amp;"*",bc_2016),SUMIF(BC[],$A129,bc_2016))))</f>
        <v>0</v>
      </c>
      <c r="E129" s="171"/>
    </row>
    <row r="130" spans="1:5">
      <c r="A130" s="158">
        <v>5251</v>
      </c>
      <c r="B130" s="76" t="s">
        <v>604</v>
      </c>
      <c r="C130" s="112">
        <f ca="1">IF(RIGHT($A130,3)="000",SUMIF(BC[],MID($A130,1,1)&amp;"*",bc_2017),IF(RIGHT($A130,2)="00",SUMIF(BC[],MID($A130,1,2)&amp;"*",bc_2017),IF(RIGHT($A130,1)="0",SUMIF(BC[],MID($A130,1,3)&amp;"*",bc_2017),SUMIF(BC[],$A130,bc_2017))))</f>
        <v>0</v>
      </c>
      <c r="D130" s="112">
        <f ca="1">IF(RIGHT($A130,3)="000",SUMIF(BC[],MID($A130,1,1)&amp;"*",bc_2016),IF(RIGHT($A130,2)="00",SUMIF(BC[],MID($A130,1,2)&amp;"*",bc_2016),IF(RIGHT($A130,1)="0",SUMIF(BC[],MID($A130,1,3)&amp;"*",bc_2016),SUMIF(BC[],$A130,bc_2016))))</f>
        <v>0</v>
      </c>
      <c r="E130" s="171"/>
    </row>
    <row r="131" spans="1:5">
      <c r="A131" s="158">
        <v>5252</v>
      </c>
      <c r="B131" s="76" t="s">
        <v>605</v>
      </c>
      <c r="C131" s="112">
        <f ca="1">IF(RIGHT($A131,3)="000",SUMIF(BC[],MID($A131,1,1)&amp;"*",bc_2017),IF(RIGHT($A131,2)="00",SUMIF(BC[],MID($A131,1,2)&amp;"*",bc_2017),IF(RIGHT($A131,1)="0",SUMIF(BC[],MID($A131,1,3)&amp;"*",bc_2017),SUMIF(BC[],$A131,bc_2017))))</f>
        <v>0</v>
      </c>
      <c r="D131" s="112">
        <f ca="1">IF(RIGHT($A131,3)="000",SUMIF(BC[],MID($A131,1,1)&amp;"*",bc_2016),IF(RIGHT($A131,2)="00",SUMIF(BC[],MID($A131,1,2)&amp;"*",bc_2016),IF(RIGHT($A131,1)="0",SUMIF(BC[],MID($A131,1,3)&amp;"*",bc_2016),SUMIF(BC[],$A131,bc_2016))))</f>
        <v>0</v>
      </c>
      <c r="E131" s="171"/>
    </row>
    <row r="132" spans="1:5">
      <c r="A132" s="158">
        <v>5259</v>
      </c>
      <c r="B132" s="76" t="s">
        <v>606</v>
      </c>
      <c r="C132" s="112">
        <f ca="1">IF(RIGHT($A132,3)="000",SUMIF(BC[],MID($A132,1,1)&amp;"*",bc_2017),IF(RIGHT($A132,2)="00",SUMIF(BC[],MID($A132,1,2)&amp;"*",bc_2017),IF(RIGHT($A132,1)="0",SUMIF(BC[],MID($A132,1,3)&amp;"*",bc_2017),SUMIF(BC[],$A132,bc_2017))))</f>
        <v>0</v>
      </c>
      <c r="D132" s="112">
        <f ca="1">IF(RIGHT($A132,3)="000",SUMIF(BC[],MID($A132,1,1)&amp;"*",bc_2016),IF(RIGHT($A132,2)="00",SUMIF(BC[],MID($A132,1,2)&amp;"*",bc_2016),IF(RIGHT($A132,1)="0",SUMIF(BC[],MID($A132,1,3)&amp;"*",bc_2016),SUMIF(BC[],$A132,bc_2016))))</f>
        <v>0</v>
      </c>
      <c r="E132" s="171"/>
    </row>
    <row r="133" spans="1:5">
      <c r="A133" s="158">
        <v>5260</v>
      </c>
      <c r="B133" s="76" t="s">
        <v>122</v>
      </c>
      <c r="C133" s="112">
        <f ca="1">IF(RIGHT($A133,3)="000",SUMIF(BC[],MID($A133,1,1)&amp;"*",bc_2017),IF(RIGHT($A133,2)="00",SUMIF(BC[],MID($A133,1,2)&amp;"*",bc_2017),IF(RIGHT($A133,1)="0",SUMIF(BC[],MID($A133,1,3)&amp;"*",bc_2017),SUMIF(BC[],$A133,bc_2017))))</f>
        <v>0</v>
      </c>
      <c r="D133" s="112">
        <f ca="1">IF(RIGHT($A133,3)="000",SUMIF(BC[],MID($A133,1,1)&amp;"*",bc_2016),IF(RIGHT($A133,2)="00",SUMIF(BC[],MID($A133,1,2)&amp;"*",bc_2016),IF(RIGHT($A133,1)="0",SUMIF(BC[],MID($A133,1,3)&amp;"*",bc_2016),SUMIF(BC[],$A133,bc_2016))))</f>
        <v>0</v>
      </c>
      <c r="E133" s="171"/>
    </row>
    <row r="134" spans="1:5">
      <c r="A134" s="158">
        <v>5261</v>
      </c>
      <c r="B134" s="76" t="s">
        <v>607</v>
      </c>
      <c r="C134" s="112">
        <f ca="1">IF(RIGHT($A134,3)="000",SUMIF(BC[],MID($A134,1,1)&amp;"*",bc_2017),IF(RIGHT($A134,2)="00",SUMIF(BC[],MID($A134,1,2)&amp;"*",bc_2017),IF(RIGHT($A134,1)="0",SUMIF(BC[],MID($A134,1,3)&amp;"*",bc_2017),SUMIF(BC[],$A134,bc_2017))))</f>
        <v>0</v>
      </c>
      <c r="D134" s="112">
        <f ca="1">IF(RIGHT($A134,3)="000",SUMIF(BC[],MID($A134,1,1)&amp;"*",bc_2016),IF(RIGHT($A134,2)="00",SUMIF(BC[],MID($A134,1,2)&amp;"*",bc_2016),IF(RIGHT($A134,1)="0",SUMIF(BC[],MID($A134,1,3)&amp;"*",bc_2016),SUMIF(BC[],$A134,bc_2016))))</f>
        <v>0</v>
      </c>
      <c r="E134" s="171"/>
    </row>
    <row r="135" spans="1:5">
      <c r="A135" s="158">
        <v>5262</v>
      </c>
      <c r="B135" s="76" t="s">
        <v>608</v>
      </c>
      <c r="C135" s="112">
        <f ca="1">IF(RIGHT($A135,3)="000",SUMIF(BC[],MID($A135,1,1)&amp;"*",bc_2017),IF(RIGHT($A135,2)="00",SUMIF(BC[],MID($A135,1,2)&amp;"*",bc_2017),IF(RIGHT($A135,1)="0",SUMIF(BC[],MID($A135,1,3)&amp;"*",bc_2017),SUMIF(BC[],$A135,bc_2017))))</f>
        <v>0</v>
      </c>
      <c r="D135" s="112">
        <f ca="1">IF(RIGHT($A135,3)="000",SUMIF(BC[],MID($A135,1,1)&amp;"*",bc_2016),IF(RIGHT($A135,2)="00",SUMIF(BC[],MID($A135,1,2)&amp;"*",bc_2016),IF(RIGHT($A135,1)="0",SUMIF(BC[],MID($A135,1,3)&amp;"*",bc_2016),SUMIF(BC[],$A135,bc_2016))))</f>
        <v>0</v>
      </c>
      <c r="E135" s="171"/>
    </row>
    <row r="136" spans="1:5">
      <c r="A136" s="158">
        <v>5270</v>
      </c>
      <c r="B136" s="76" t="s">
        <v>123</v>
      </c>
      <c r="C136" s="112">
        <f ca="1">IF(RIGHT($A136,3)="000",SUMIF(BC[],MID($A136,1,1)&amp;"*",bc_2017),IF(RIGHT($A136,2)="00",SUMIF(BC[],MID($A136,1,2)&amp;"*",bc_2017),IF(RIGHT($A136,1)="0",SUMIF(BC[],MID($A136,1,3)&amp;"*",bc_2017),SUMIF(BC[],$A136,bc_2017))))</f>
        <v>0</v>
      </c>
      <c r="D136" s="112">
        <f ca="1">IF(RIGHT($A136,3)="000",SUMIF(BC[],MID($A136,1,1)&amp;"*",bc_2016),IF(RIGHT($A136,2)="00",SUMIF(BC[],MID($A136,1,2)&amp;"*",bc_2016),IF(RIGHT($A136,1)="0",SUMIF(BC[],MID($A136,1,3)&amp;"*",bc_2016),SUMIF(BC[],$A136,bc_2016))))</f>
        <v>0</v>
      </c>
      <c r="E136" s="171"/>
    </row>
    <row r="137" spans="1:5">
      <c r="A137" s="158">
        <v>5271</v>
      </c>
      <c r="B137" s="76" t="s">
        <v>609</v>
      </c>
      <c r="C137" s="112">
        <f ca="1">IF(RIGHT($A137,3)="000",SUMIF(BC[],MID($A137,1,1)&amp;"*",bc_2017),IF(RIGHT($A137,2)="00",SUMIF(BC[],MID($A137,1,2)&amp;"*",bc_2017),IF(RIGHT($A137,1)="0",SUMIF(BC[],MID($A137,1,3)&amp;"*",bc_2017),SUMIF(BC[],$A137,bc_2017))))</f>
        <v>0</v>
      </c>
      <c r="D137" s="112">
        <f ca="1">IF(RIGHT($A137,3)="000",SUMIF(BC[],MID($A137,1,1)&amp;"*",bc_2016),IF(RIGHT($A137,2)="00",SUMIF(BC[],MID($A137,1,2)&amp;"*",bc_2016),IF(RIGHT($A137,1)="0",SUMIF(BC[],MID($A137,1,3)&amp;"*",bc_2016),SUMIF(BC[],$A137,bc_2016))))</f>
        <v>0</v>
      </c>
      <c r="E137" s="171"/>
    </row>
    <row r="138" spans="1:5">
      <c r="A138" s="158">
        <v>5280</v>
      </c>
      <c r="B138" s="76" t="s">
        <v>124</v>
      </c>
      <c r="C138" s="112">
        <f ca="1">IF(RIGHT($A138,3)="000",SUMIF(BC[],MID($A138,1,1)&amp;"*",bc_2017),IF(RIGHT($A138,2)="00",SUMIF(BC[],MID($A138,1,2)&amp;"*",bc_2017),IF(RIGHT($A138,1)="0",SUMIF(BC[],MID($A138,1,3)&amp;"*",bc_2017),SUMIF(BC[],$A138,bc_2017))))</f>
        <v>0</v>
      </c>
      <c r="D138" s="112">
        <f ca="1">IF(RIGHT($A138,3)="000",SUMIF(BC[],MID($A138,1,1)&amp;"*",bc_2016),IF(RIGHT($A138,2)="00",SUMIF(BC[],MID($A138,1,2)&amp;"*",bc_2016),IF(RIGHT($A138,1)="0",SUMIF(BC[],MID($A138,1,3)&amp;"*",bc_2016),SUMIF(BC[],$A138,bc_2016))))</f>
        <v>0</v>
      </c>
      <c r="E138" s="171"/>
    </row>
    <row r="139" spans="1:5">
      <c r="A139" s="158">
        <v>5281</v>
      </c>
      <c r="B139" s="76" t="s">
        <v>610</v>
      </c>
      <c r="C139" s="112">
        <f ca="1">IF(RIGHT($A139,3)="000",SUMIF(BC[],MID($A139,1,1)&amp;"*",bc_2017),IF(RIGHT($A139,2)="00",SUMIF(BC[],MID($A139,1,2)&amp;"*",bc_2017),IF(RIGHT($A139,1)="0",SUMIF(BC[],MID($A139,1,3)&amp;"*",bc_2017),SUMIF(BC[],$A139,bc_2017))))</f>
        <v>0</v>
      </c>
      <c r="D139" s="112">
        <f ca="1">IF(RIGHT($A139,3)="000",SUMIF(BC[],MID($A139,1,1)&amp;"*",bc_2016),IF(RIGHT($A139,2)="00",SUMIF(BC[],MID($A139,1,2)&amp;"*",bc_2016),IF(RIGHT($A139,1)="0",SUMIF(BC[],MID($A139,1,3)&amp;"*",bc_2016),SUMIF(BC[],$A139,bc_2016))))</f>
        <v>0</v>
      </c>
      <c r="E139" s="171"/>
    </row>
    <row r="140" spans="1:5">
      <c r="A140" s="158">
        <v>5282</v>
      </c>
      <c r="B140" s="76" t="s">
        <v>611</v>
      </c>
      <c r="C140" s="112">
        <f ca="1">IF(RIGHT($A140,3)="000",SUMIF(BC[],MID($A140,1,1)&amp;"*",bc_2017),IF(RIGHT($A140,2)="00",SUMIF(BC[],MID($A140,1,2)&amp;"*",bc_2017),IF(RIGHT($A140,1)="0",SUMIF(BC[],MID($A140,1,3)&amp;"*",bc_2017),SUMIF(BC[],$A140,bc_2017))))</f>
        <v>0</v>
      </c>
      <c r="D140" s="112">
        <f ca="1">IF(RIGHT($A140,3)="000",SUMIF(BC[],MID($A140,1,1)&amp;"*",bc_2016),IF(RIGHT($A140,2)="00",SUMIF(BC[],MID($A140,1,2)&amp;"*",bc_2016),IF(RIGHT($A140,1)="0",SUMIF(BC[],MID($A140,1,3)&amp;"*",bc_2016),SUMIF(BC[],$A140,bc_2016))))</f>
        <v>0</v>
      </c>
      <c r="E140" s="171"/>
    </row>
    <row r="141" spans="1:5">
      <c r="A141" s="158">
        <v>5283</v>
      </c>
      <c r="B141" s="76" t="s">
        <v>612</v>
      </c>
      <c r="C141" s="112">
        <f ca="1">IF(RIGHT($A141,3)="000",SUMIF(BC[],MID($A141,1,1)&amp;"*",bc_2017),IF(RIGHT($A141,2)="00",SUMIF(BC[],MID($A141,1,2)&amp;"*",bc_2017),IF(RIGHT($A141,1)="0",SUMIF(BC[],MID($A141,1,3)&amp;"*",bc_2017),SUMIF(BC[],$A141,bc_2017))))</f>
        <v>0</v>
      </c>
      <c r="D141" s="112">
        <f ca="1">IF(RIGHT($A141,3)="000",SUMIF(BC[],MID($A141,1,1)&amp;"*",bc_2016),IF(RIGHT($A141,2)="00",SUMIF(BC[],MID($A141,1,2)&amp;"*",bc_2016),IF(RIGHT($A141,1)="0",SUMIF(BC[],MID($A141,1,3)&amp;"*",bc_2016),SUMIF(BC[],$A141,bc_2016))))</f>
        <v>0</v>
      </c>
      <c r="E141" s="171"/>
    </row>
    <row r="142" spans="1:5">
      <c r="A142" s="158">
        <v>5284</v>
      </c>
      <c r="B142" s="76" t="s">
        <v>613</v>
      </c>
      <c r="C142" s="112">
        <f ca="1">IF(RIGHT($A142,3)="000",SUMIF(BC[],MID($A142,1,1)&amp;"*",bc_2017),IF(RIGHT($A142,2)="00",SUMIF(BC[],MID($A142,1,2)&amp;"*",bc_2017),IF(RIGHT($A142,1)="0",SUMIF(BC[],MID($A142,1,3)&amp;"*",bc_2017),SUMIF(BC[],$A142,bc_2017))))</f>
        <v>0</v>
      </c>
      <c r="D142" s="112">
        <f ca="1">IF(RIGHT($A142,3)="000",SUMIF(BC[],MID($A142,1,1)&amp;"*",bc_2016),IF(RIGHT($A142,2)="00",SUMIF(BC[],MID($A142,1,2)&amp;"*",bc_2016),IF(RIGHT($A142,1)="0",SUMIF(BC[],MID($A142,1,3)&amp;"*",bc_2016),SUMIF(BC[],$A142,bc_2016))))</f>
        <v>0</v>
      </c>
      <c r="E142" s="171"/>
    </row>
    <row r="143" spans="1:5">
      <c r="A143" s="158">
        <v>5285</v>
      </c>
      <c r="B143" s="76" t="s">
        <v>614</v>
      </c>
      <c r="C143" s="112">
        <f ca="1">IF(RIGHT($A143,3)="000",SUMIF(BC[],MID($A143,1,1)&amp;"*",bc_2017),IF(RIGHT($A143,2)="00",SUMIF(BC[],MID($A143,1,2)&amp;"*",bc_2017),IF(RIGHT($A143,1)="0",SUMIF(BC[],MID($A143,1,3)&amp;"*",bc_2017),SUMIF(BC[],$A143,bc_2017))))</f>
        <v>0</v>
      </c>
      <c r="D143" s="112">
        <f ca="1">IF(RIGHT($A143,3)="000",SUMIF(BC[],MID($A143,1,1)&amp;"*",bc_2016),IF(RIGHT($A143,2)="00",SUMIF(BC[],MID($A143,1,2)&amp;"*",bc_2016),IF(RIGHT($A143,1)="0",SUMIF(BC[],MID($A143,1,3)&amp;"*",bc_2016),SUMIF(BC[],$A143,bc_2016))))</f>
        <v>0</v>
      </c>
      <c r="E143" s="171"/>
    </row>
    <row r="144" spans="1:5">
      <c r="A144" s="158">
        <v>5290</v>
      </c>
      <c r="B144" s="76" t="s">
        <v>125</v>
      </c>
      <c r="C144" s="112">
        <f ca="1">IF(RIGHT($A144,3)="000",SUMIF(BC[],MID($A144,1,1)&amp;"*",bc_2017),IF(RIGHT($A144,2)="00",SUMIF(BC[],MID($A144,1,2)&amp;"*",bc_2017),IF(RIGHT($A144,1)="0",SUMIF(BC[],MID($A144,1,3)&amp;"*",bc_2017),SUMIF(BC[],$A144,bc_2017))))</f>
        <v>0</v>
      </c>
      <c r="D144" s="112">
        <f ca="1">IF(RIGHT($A144,3)="000",SUMIF(BC[],MID($A144,1,1)&amp;"*",bc_2016),IF(RIGHT($A144,2)="00",SUMIF(BC[],MID($A144,1,2)&amp;"*",bc_2016),IF(RIGHT($A144,1)="0",SUMIF(BC[],MID($A144,1,3)&amp;"*",bc_2016),SUMIF(BC[],$A144,bc_2016))))</f>
        <v>0</v>
      </c>
      <c r="E144" s="171"/>
    </row>
    <row r="145" spans="1:5">
      <c r="A145" s="158">
        <v>5291</v>
      </c>
      <c r="B145" s="76" t="s">
        <v>615</v>
      </c>
      <c r="C145" s="112">
        <f ca="1">IF(RIGHT($A145,3)="000",SUMIF(BC[],MID($A145,1,1)&amp;"*",bc_2017),IF(RIGHT($A145,2)="00",SUMIF(BC[],MID($A145,1,2)&amp;"*",bc_2017),IF(RIGHT($A145,1)="0",SUMIF(BC[],MID($A145,1,3)&amp;"*",bc_2017),SUMIF(BC[],$A145,bc_2017))))</f>
        <v>0</v>
      </c>
      <c r="D145" s="112">
        <f ca="1">IF(RIGHT($A145,3)="000",SUMIF(BC[],MID($A145,1,1)&amp;"*",bc_2016),IF(RIGHT($A145,2)="00",SUMIF(BC[],MID($A145,1,2)&amp;"*",bc_2016),IF(RIGHT($A145,1)="0",SUMIF(BC[],MID($A145,1,3)&amp;"*",bc_2016),SUMIF(BC[],$A145,bc_2016))))</f>
        <v>0</v>
      </c>
      <c r="E145" s="171"/>
    </row>
    <row r="146" spans="1:5">
      <c r="A146" s="158">
        <v>5292</v>
      </c>
      <c r="B146" s="76" t="s">
        <v>616</v>
      </c>
      <c r="C146" s="112">
        <f ca="1">IF(RIGHT($A146,3)="000",SUMIF(BC[],MID($A146,1,1)&amp;"*",bc_2017),IF(RIGHT($A146,2)="00",SUMIF(BC[],MID($A146,1,2)&amp;"*",bc_2017),IF(RIGHT($A146,1)="0",SUMIF(BC[],MID($A146,1,3)&amp;"*",bc_2017),SUMIF(BC[],$A146,bc_2017))))</f>
        <v>0</v>
      </c>
      <c r="D146" s="112">
        <f ca="1">IF(RIGHT($A146,3)="000",SUMIF(BC[],MID($A146,1,1)&amp;"*",bc_2016),IF(RIGHT($A146,2)="00",SUMIF(BC[],MID($A146,1,2)&amp;"*",bc_2016),IF(RIGHT($A146,1)="0",SUMIF(BC[],MID($A146,1,3)&amp;"*",bc_2016),SUMIF(BC[],$A146,bc_2016))))</f>
        <v>0</v>
      </c>
      <c r="E146" s="171"/>
    </row>
    <row r="147" spans="1:5">
      <c r="A147" s="155">
        <v>5300</v>
      </c>
      <c r="B147" s="61" t="s">
        <v>208</v>
      </c>
      <c r="C147" s="112">
        <f ca="1">IF(RIGHT($A147,3)="000",SUMIF(BC[],MID($A147,1,1)&amp;"*",bc_2017),IF(RIGHT($A147,2)="00",SUMIF(BC[],MID($A147,1,2)&amp;"*",bc_2017),IF(RIGHT($A147,1)="0",SUMIF(BC[],MID($A147,1,3)&amp;"*",bc_2017),SUMIF(BC[],$A147,bc_2017))))</f>
        <v>0</v>
      </c>
      <c r="D147" s="112">
        <f ca="1">IF(RIGHT($A147,3)="000",SUMIF(BC[],MID($A147,1,1)&amp;"*",bc_2016),IF(RIGHT($A147,2)="00",SUMIF(BC[],MID($A147,1,2)&amp;"*",bc_2016),IF(RIGHT($A147,1)="0",SUMIF(BC[],MID($A147,1,3)&amp;"*",bc_2016),SUMIF(BC[],$A147,bc_2016))))</f>
        <v>0</v>
      </c>
      <c r="E147" s="171"/>
    </row>
    <row r="148" spans="1:5">
      <c r="A148" s="158">
        <v>5310</v>
      </c>
      <c r="B148" s="76" t="s">
        <v>126</v>
      </c>
      <c r="C148" s="112">
        <f ca="1">IF(RIGHT($A148,3)="000",SUMIF(BC[],MID($A148,1,1)&amp;"*",bc_2017),IF(RIGHT($A148,2)="00",SUMIF(BC[],MID($A148,1,2)&amp;"*",bc_2017),IF(RIGHT($A148,1)="0",SUMIF(BC[],MID($A148,1,3)&amp;"*",bc_2017),SUMIF(BC[],$A148,bc_2017))))</f>
        <v>0</v>
      </c>
      <c r="D148" s="112">
        <f ca="1">IF(RIGHT($A148,3)="000",SUMIF(BC[],MID($A148,1,1)&amp;"*",bc_2016),IF(RIGHT($A148,2)="00",SUMIF(BC[],MID($A148,1,2)&amp;"*",bc_2016),IF(RIGHT($A148,1)="0",SUMIF(BC[],MID($A148,1,3)&amp;"*",bc_2016),SUMIF(BC[],$A148,bc_2016))))</f>
        <v>0</v>
      </c>
      <c r="E148" s="171"/>
    </row>
    <row r="149" spans="1:5">
      <c r="A149" s="158">
        <v>5311</v>
      </c>
      <c r="B149" s="76" t="s">
        <v>617</v>
      </c>
      <c r="C149" s="112">
        <f ca="1">IF(RIGHT($A149,3)="000",SUMIF(BC[],MID($A149,1,1)&amp;"*",bc_2017),IF(RIGHT($A149,2)="00",SUMIF(BC[],MID($A149,1,2)&amp;"*",bc_2017),IF(RIGHT($A149,1)="0",SUMIF(BC[],MID($A149,1,3)&amp;"*",bc_2017),SUMIF(BC[],$A149,bc_2017))))</f>
        <v>0</v>
      </c>
      <c r="D149" s="112">
        <f ca="1">IF(RIGHT($A149,3)="000",SUMIF(BC[],MID($A149,1,1)&amp;"*",bc_2016),IF(RIGHT($A149,2)="00",SUMIF(BC[],MID($A149,1,2)&amp;"*",bc_2016),IF(RIGHT($A149,1)="0",SUMIF(BC[],MID($A149,1,3)&amp;"*",bc_2016),SUMIF(BC[],$A149,bc_2016))))</f>
        <v>0</v>
      </c>
      <c r="E149" s="171"/>
    </row>
    <row r="150" spans="1:5">
      <c r="A150" s="158">
        <v>5312</v>
      </c>
      <c r="B150" s="76" t="s">
        <v>618</v>
      </c>
      <c r="C150" s="112">
        <f ca="1">IF(RIGHT($A150,3)="000",SUMIF(BC[],MID($A150,1,1)&amp;"*",bc_2017),IF(RIGHT($A150,2)="00",SUMIF(BC[],MID($A150,1,2)&amp;"*",bc_2017),IF(RIGHT($A150,1)="0",SUMIF(BC[],MID($A150,1,3)&amp;"*",bc_2017),SUMIF(BC[],$A150,bc_2017))))</f>
        <v>0</v>
      </c>
      <c r="D150" s="112">
        <f ca="1">IF(RIGHT($A150,3)="000",SUMIF(BC[],MID($A150,1,1)&amp;"*",bc_2016),IF(RIGHT($A150,2)="00",SUMIF(BC[],MID($A150,1,2)&amp;"*",bc_2016),IF(RIGHT($A150,1)="0",SUMIF(BC[],MID($A150,1,3)&amp;"*",bc_2016),SUMIF(BC[],$A150,bc_2016))))</f>
        <v>0</v>
      </c>
      <c r="E150" s="171"/>
    </row>
    <row r="151" spans="1:5">
      <c r="A151" s="158">
        <v>5320</v>
      </c>
      <c r="B151" s="76" t="s">
        <v>59</v>
      </c>
      <c r="C151" s="112">
        <f ca="1">IF(RIGHT($A151,3)="000",SUMIF(BC[],MID($A151,1,1)&amp;"*",bc_2017),IF(RIGHT($A151,2)="00",SUMIF(BC[],MID($A151,1,2)&amp;"*",bc_2017),IF(RIGHT($A151,1)="0",SUMIF(BC[],MID($A151,1,3)&amp;"*",bc_2017),SUMIF(BC[],$A151,bc_2017))))</f>
        <v>0</v>
      </c>
      <c r="D151" s="112">
        <f ca="1">IF(RIGHT($A151,3)="000",SUMIF(BC[],MID($A151,1,1)&amp;"*",bc_2016),IF(RIGHT($A151,2)="00",SUMIF(BC[],MID($A151,1,2)&amp;"*",bc_2016),IF(RIGHT($A151,1)="0",SUMIF(BC[],MID($A151,1,3)&amp;"*",bc_2016),SUMIF(BC[],$A151,bc_2016))))</f>
        <v>0</v>
      </c>
      <c r="E151" s="171"/>
    </row>
    <row r="152" spans="1:5">
      <c r="A152" s="158">
        <v>5321</v>
      </c>
      <c r="B152" s="76" t="s">
        <v>619</v>
      </c>
      <c r="C152" s="112">
        <f ca="1">IF(RIGHT($A152,3)="000",SUMIF(BC[],MID($A152,1,1)&amp;"*",bc_2017),IF(RIGHT($A152,2)="00",SUMIF(BC[],MID($A152,1,2)&amp;"*",bc_2017),IF(RIGHT($A152,1)="0",SUMIF(BC[],MID($A152,1,3)&amp;"*",bc_2017),SUMIF(BC[],$A152,bc_2017))))</f>
        <v>0</v>
      </c>
      <c r="D152" s="112">
        <f ca="1">IF(RIGHT($A152,3)="000",SUMIF(BC[],MID($A152,1,1)&amp;"*",bc_2016),IF(RIGHT($A152,2)="00",SUMIF(BC[],MID($A152,1,2)&amp;"*",bc_2016),IF(RIGHT($A152,1)="0",SUMIF(BC[],MID($A152,1,3)&amp;"*",bc_2016),SUMIF(BC[],$A152,bc_2016))))</f>
        <v>0</v>
      </c>
      <c r="E152" s="171"/>
    </row>
    <row r="153" spans="1:5">
      <c r="A153" s="158">
        <v>5322</v>
      </c>
      <c r="B153" s="76" t="s">
        <v>620</v>
      </c>
      <c r="C153" s="112">
        <f ca="1">IF(RIGHT($A153,3)="000",SUMIF(BC[],MID($A153,1,1)&amp;"*",bc_2017),IF(RIGHT($A153,2)="00",SUMIF(BC[],MID($A153,1,2)&amp;"*",bc_2017),IF(RIGHT($A153,1)="0",SUMIF(BC[],MID($A153,1,3)&amp;"*",bc_2017),SUMIF(BC[],$A153,bc_2017))))</f>
        <v>0</v>
      </c>
      <c r="D153" s="112">
        <f ca="1">IF(RIGHT($A153,3)="000",SUMIF(BC[],MID($A153,1,1)&amp;"*",bc_2016),IF(RIGHT($A153,2)="00",SUMIF(BC[],MID($A153,1,2)&amp;"*",bc_2016),IF(RIGHT($A153,1)="0",SUMIF(BC[],MID($A153,1,3)&amp;"*",bc_2016),SUMIF(BC[],$A153,bc_2016))))</f>
        <v>0</v>
      </c>
      <c r="E153" s="171"/>
    </row>
    <row r="154" spans="1:5">
      <c r="A154" s="158">
        <v>5330</v>
      </c>
      <c r="B154" s="76" t="s">
        <v>127</v>
      </c>
      <c r="C154" s="112">
        <f ca="1">IF(RIGHT($A154,3)="000",SUMIF(BC[],MID($A154,1,1)&amp;"*",bc_2017),IF(RIGHT($A154,2)="00",SUMIF(BC[],MID($A154,1,2)&amp;"*",bc_2017),IF(RIGHT($A154,1)="0",SUMIF(BC[],MID($A154,1,3)&amp;"*",bc_2017),SUMIF(BC[],$A154,bc_2017))))</f>
        <v>0</v>
      </c>
      <c r="D154" s="112">
        <f ca="1">IF(RIGHT($A154,3)="000",SUMIF(BC[],MID($A154,1,1)&amp;"*",bc_2016),IF(RIGHT($A154,2)="00",SUMIF(BC[],MID($A154,1,2)&amp;"*",bc_2016),IF(RIGHT($A154,1)="0",SUMIF(BC[],MID($A154,1,3)&amp;"*",bc_2016),SUMIF(BC[],$A154,bc_2016))))</f>
        <v>0</v>
      </c>
      <c r="E154" s="171"/>
    </row>
    <row r="155" spans="1:5">
      <c r="A155" s="158">
        <v>5331</v>
      </c>
      <c r="B155" s="76" t="s">
        <v>621</v>
      </c>
      <c r="C155" s="112">
        <f ca="1">IF(RIGHT($A155,3)="000",SUMIF(BC[],MID($A155,1,1)&amp;"*",bc_2017),IF(RIGHT($A155,2)="00",SUMIF(BC[],MID($A155,1,2)&amp;"*",bc_2017),IF(RIGHT($A155,1)="0",SUMIF(BC[],MID($A155,1,3)&amp;"*",bc_2017),SUMIF(BC[],$A155,bc_2017))))</f>
        <v>0</v>
      </c>
      <c r="D155" s="112">
        <f ca="1">IF(RIGHT($A155,3)="000",SUMIF(BC[],MID($A155,1,1)&amp;"*",bc_2016),IF(RIGHT($A155,2)="00",SUMIF(BC[],MID($A155,1,2)&amp;"*",bc_2016),IF(RIGHT($A155,1)="0",SUMIF(BC[],MID($A155,1,3)&amp;"*",bc_2016),SUMIF(BC[],$A155,bc_2016))))</f>
        <v>0</v>
      </c>
      <c r="E155" s="171"/>
    </row>
    <row r="156" spans="1:5">
      <c r="A156" s="158">
        <v>5332</v>
      </c>
      <c r="B156" s="76" t="s">
        <v>622</v>
      </c>
      <c r="C156" s="112">
        <f ca="1">IF(RIGHT($A156,3)="000",SUMIF(BC[],MID($A156,1,1)&amp;"*",bc_2017),IF(RIGHT($A156,2)="00",SUMIF(BC[],MID($A156,1,2)&amp;"*",bc_2017),IF(RIGHT($A156,1)="0",SUMIF(BC[],MID($A156,1,3)&amp;"*",bc_2017),SUMIF(BC[],$A156,bc_2017))))</f>
        <v>0</v>
      </c>
      <c r="D156" s="112">
        <f ca="1">IF(RIGHT($A156,3)="000",SUMIF(BC[],MID($A156,1,1)&amp;"*",bc_2016),IF(RIGHT($A156,2)="00",SUMIF(BC[],MID($A156,1,2)&amp;"*",bc_2016),IF(RIGHT($A156,1)="0",SUMIF(BC[],MID($A156,1,3)&amp;"*",bc_2016),SUMIF(BC[],$A156,bc_2016))))</f>
        <v>0</v>
      </c>
      <c r="E156" s="171"/>
    </row>
    <row r="157" spans="1:5">
      <c r="A157" s="155">
        <v>5400</v>
      </c>
      <c r="B157" s="61" t="s">
        <v>209</v>
      </c>
      <c r="C157" s="112">
        <f ca="1">IF(RIGHT($A157,3)="000",SUMIF(BC[],MID($A157,1,1)&amp;"*",bc_2017),IF(RIGHT($A157,2)="00",SUMIF(BC[],MID($A157,1,2)&amp;"*",bc_2017),IF(RIGHT($A157,1)="0",SUMIF(BC[],MID($A157,1,3)&amp;"*",bc_2017),SUMIF(BC[],$A157,bc_2017))))</f>
        <v>0</v>
      </c>
      <c r="D157" s="112">
        <f ca="1">IF(RIGHT($A157,3)="000",SUMIF(BC[],MID($A157,1,1)&amp;"*",bc_2016),IF(RIGHT($A157,2)="00",SUMIF(BC[],MID($A157,1,2)&amp;"*",bc_2016),IF(RIGHT($A157,1)="0",SUMIF(BC[],MID($A157,1,3)&amp;"*",bc_2016),SUMIF(BC[],$A157,bc_2016))))</f>
        <v>0</v>
      </c>
      <c r="E157" s="171"/>
    </row>
    <row r="158" spans="1:5">
      <c r="A158" s="158">
        <v>5410</v>
      </c>
      <c r="B158" s="76" t="s">
        <v>210</v>
      </c>
      <c r="C158" s="112">
        <f ca="1">IF(RIGHT($A158,3)="000",SUMIF(BC[],MID($A158,1,1)&amp;"*",bc_2017),IF(RIGHT($A158,2)="00",SUMIF(BC[],MID($A158,1,2)&amp;"*",bc_2017),IF(RIGHT($A158,1)="0",SUMIF(BC[],MID($A158,1,3)&amp;"*",bc_2017),SUMIF(BC[],$A158,bc_2017))))</f>
        <v>0</v>
      </c>
      <c r="D158" s="112">
        <f ca="1">IF(RIGHT($A158,3)="000",SUMIF(BC[],MID($A158,1,1)&amp;"*",bc_2016),IF(RIGHT($A158,2)="00",SUMIF(BC[],MID($A158,1,2)&amp;"*",bc_2016),IF(RIGHT($A158,1)="0",SUMIF(BC[],MID($A158,1,3)&amp;"*",bc_2016),SUMIF(BC[],$A158,bc_2016))))</f>
        <v>0</v>
      </c>
      <c r="E158" s="171"/>
    </row>
    <row r="159" spans="1:5">
      <c r="A159" s="158">
        <v>5411</v>
      </c>
      <c r="B159" s="76" t="s">
        <v>623</v>
      </c>
      <c r="C159" s="112">
        <f ca="1">IF(RIGHT($A159,3)="000",SUMIF(BC[],MID($A159,1,1)&amp;"*",bc_2017),IF(RIGHT($A159,2)="00",SUMIF(BC[],MID($A159,1,2)&amp;"*",bc_2017),IF(RIGHT($A159,1)="0",SUMIF(BC[],MID($A159,1,3)&amp;"*",bc_2017),SUMIF(BC[],$A159,bc_2017))))</f>
        <v>0</v>
      </c>
      <c r="D159" s="112">
        <f ca="1">IF(RIGHT($A159,3)="000",SUMIF(BC[],MID($A159,1,1)&amp;"*",bc_2016),IF(RIGHT($A159,2)="00",SUMIF(BC[],MID($A159,1,2)&amp;"*",bc_2016),IF(RIGHT($A159,1)="0",SUMIF(BC[],MID($A159,1,3)&amp;"*",bc_2016),SUMIF(BC[],$A159,bc_2016))))</f>
        <v>0</v>
      </c>
      <c r="E159" s="171"/>
    </row>
    <row r="160" spans="1:5">
      <c r="A160" s="158">
        <v>5412</v>
      </c>
      <c r="B160" s="76" t="s">
        <v>624</v>
      </c>
      <c r="C160" s="112">
        <f ca="1">IF(RIGHT($A160,3)="000",SUMIF(BC[],MID($A160,1,1)&amp;"*",bc_2017),IF(RIGHT($A160,2)="00",SUMIF(BC[],MID($A160,1,2)&amp;"*",bc_2017),IF(RIGHT($A160,1)="0",SUMIF(BC[],MID($A160,1,3)&amp;"*",bc_2017),SUMIF(BC[],$A160,bc_2017))))</f>
        <v>0</v>
      </c>
      <c r="D160" s="112">
        <f ca="1">IF(RIGHT($A160,3)="000",SUMIF(BC[],MID($A160,1,1)&amp;"*",bc_2016),IF(RIGHT($A160,2)="00",SUMIF(BC[],MID($A160,1,2)&amp;"*",bc_2016),IF(RIGHT($A160,1)="0",SUMIF(BC[],MID($A160,1,3)&amp;"*",bc_2016),SUMIF(BC[],$A160,bc_2016))))</f>
        <v>0</v>
      </c>
      <c r="E160" s="171"/>
    </row>
    <row r="161" spans="1:5">
      <c r="A161" s="158">
        <v>5420</v>
      </c>
      <c r="B161" s="76" t="s">
        <v>211</v>
      </c>
      <c r="C161" s="112">
        <f ca="1">IF(RIGHT($A161,3)="000",SUMIF(BC[],MID($A161,1,1)&amp;"*",bc_2017),IF(RIGHT($A161,2)="00",SUMIF(BC[],MID($A161,1,2)&amp;"*",bc_2017),IF(RIGHT($A161,1)="0",SUMIF(BC[],MID($A161,1,3)&amp;"*",bc_2017),SUMIF(BC[],$A161,bc_2017))))</f>
        <v>0</v>
      </c>
      <c r="D161" s="112">
        <f ca="1">IF(RIGHT($A161,3)="000",SUMIF(BC[],MID($A161,1,1)&amp;"*",bc_2016),IF(RIGHT($A161,2)="00",SUMIF(BC[],MID($A161,1,2)&amp;"*",bc_2016),IF(RIGHT($A161,1)="0",SUMIF(BC[],MID($A161,1,3)&amp;"*",bc_2016),SUMIF(BC[],$A161,bc_2016))))</f>
        <v>0</v>
      </c>
      <c r="E161" s="171"/>
    </row>
    <row r="162" spans="1:5">
      <c r="A162" s="158">
        <v>5421</v>
      </c>
      <c r="B162" s="76" t="s">
        <v>625</v>
      </c>
      <c r="C162" s="112">
        <f ca="1">IF(RIGHT($A162,3)="000",SUMIF(BC[],MID($A162,1,1)&amp;"*",bc_2017),IF(RIGHT($A162,2)="00",SUMIF(BC[],MID($A162,1,2)&amp;"*",bc_2017),IF(RIGHT($A162,1)="0",SUMIF(BC[],MID($A162,1,3)&amp;"*",bc_2017),SUMIF(BC[],$A162,bc_2017))))</f>
        <v>0</v>
      </c>
      <c r="D162" s="112">
        <f ca="1">IF(RIGHT($A162,3)="000",SUMIF(BC[],MID($A162,1,1)&amp;"*",bc_2016),IF(RIGHT($A162,2)="00",SUMIF(BC[],MID($A162,1,2)&amp;"*",bc_2016),IF(RIGHT($A162,1)="0",SUMIF(BC[],MID($A162,1,3)&amp;"*",bc_2016),SUMIF(BC[],$A162,bc_2016))))</f>
        <v>0</v>
      </c>
      <c r="E162" s="171"/>
    </row>
    <row r="163" spans="1:5">
      <c r="A163" s="158">
        <v>5422</v>
      </c>
      <c r="B163" s="76" t="s">
        <v>626</v>
      </c>
      <c r="C163" s="112">
        <f ca="1">IF(RIGHT($A163,3)="000",SUMIF(BC[],MID($A163,1,1)&amp;"*",bc_2017),IF(RIGHT($A163,2)="00",SUMIF(BC[],MID($A163,1,2)&amp;"*",bc_2017),IF(RIGHT($A163,1)="0",SUMIF(BC[],MID($A163,1,3)&amp;"*",bc_2017),SUMIF(BC[],$A163,bc_2017))))</f>
        <v>0</v>
      </c>
      <c r="D163" s="112">
        <f ca="1">IF(RIGHT($A163,3)="000",SUMIF(BC[],MID($A163,1,1)&amp;"*",bc_2016),IF(RIGHT($A163,2)="00",SUMIF(BC[],MID($A163,1,2)&amp;"*",bc_2016),IF(RIGHT($A163,1)="0",SUMIF(BC[],MID($A163,1,3)&amp;"*",bc_2016),SUMIF(BC[],$A163,bc_2016))))</f>
        <v>0</v>
      </c>
      <c r="E163" s="171"/>
    </row>
    <row r="164" spans="1:5">
      <c r="A164" s="158">
        <v>5430</v>
      </c>
      <c r="B164" s="76" t="s">
        <v>212</v>
      </c>
      <c r="C164" s="112">
        <f ca="1">IF(RIGHT($A164,3)="000",SUMIF(BC[],MID($A164,1,1)&amp;"*",bc_2017),IF(RIGHT($A164,2)="00",SUMIF(BC[],MID($A164,1,2)&amp;"*",bc_2017),IF(RIGHT($A164,1)="0",SUMIF(BC[],MID($A164,1,3)&amp;"*",bc_2017),SUMIF(BC[],$A164,bc_2017))))</f>
        <v>0</v>
      </c>
      <c r="D164" s="112">
        <f ca="1">IF(RIGHT($A164,3)="000",SUMIF(BC[],MID($A164,1,1)&amp;"*",bc_2016),IF(RIGHT($A164,2)="00",SUMIF(BC[],MID($A164,1,2)&amp;"*",bc_2016),IF(RIGHT($A164,1)="0",SUMIF(BC[],MID($A164,1,3)&amp;"*",bc_2016),SUMIF(BC[],$A164,bc_2016))))</f>
        <v>0</v>
      </c>
      <c r="E164" s="171"/>
    </row>
    <row r="165" spans="1:5">
      <c r="A165" s="158">
        <v>5431</v>
      </c>
      <c r="B165" s="76" t="s">
        <v>627</v>
      </c>
      <c r="C165" s="112">
        <f ca="1">IF(RIGHT($A165,3)="000",SUMIF(BC[],MID($A165,1,1)&amp;"*",bc_2017),IF(RIGHT($A165,2)="00",SUMIF(BC[],MID($A165,1,2)&amp;"*",bc_2017),IF(RIGHT($A165,1)="0",SUMIF(BC[],MID($A165,1,3)&amp;"*",bc_2017),SUMIF(BC[],$A165,bc_2017))))</f>
        <v>0</v>
      </c>
      <c r="D165" s="112">
        <f ca="1">IF(RIGHT($A165,3)="000",SUMIF(BC[],MID($A165,1,1)&amp;"*",bc_2016),IF(RIGHT($A165,2)="00",SUMIF(BC[],MID($A165,1,2)&amp;"*",bc_2016),IF(RIGHT($A165,1)="0",SUMIF(BC[],MID($A165,1,3)&amp;"*",bc_2016),SUMIF(BC[],$A165,bc_2016))))</f>
        <v>0</v>
      </c>
      <c r="E165" s="171"/>
    </row>
    <row r="166" spans="1:5">
      <c r="A166" s="158">
        <v>5432</v>
      </c>
      <c r="B166" s="76" t="s">
        <v>628</v>
      </c>
      <c r="C166" s="112">
        <f ca="1">IF(RIGHT($A166,3)="000",SUMIF(BC[],MID($A166,1,1)&amp;"*",bc_2017),IF(RIGHT($A166,2)="00",SUMIF(BC[],MID($A166,1,2)&amp;"*",bc_2017),IF(RIGHT($A166,1)="0",SUMIF(BC[],MID($A166,1,3)&amp;"*",bc_2017),SUMIF(BC[],$A166,bc_2017))))</f>
        <v>0</v>
      </c>
      <c r="D166" s="112">
        <f ca="1">IF(RIGHT($A166,3)="000",SUMIF(BC[],MID($A166,1,1)&amp;"*",bc_2016),IF(RIGHT($A166,2)="00",SUMIF(BC[],MID($A166,1,2)&amp;"*",bc_2016),IF(RIGHT($A166,1)="0",SUMIF(BC[],MID($A166,1,3)&amp;"*",bc_2016),SUMIF(BC[],$A166,bc_2016))))</f>
        <v>0</v>
      </c>
      <c r="E166" s="171"/>
    </row>
    <row r="167" spans="1:5">
      <c r="A167" s="158">
        <v>5440</v>
      </c>
      <c r="B167" s="76" t="s">
        <v>213</v>
      </c>
      <c r="C167" s="112">
        <f ca="1">IF(RIGHT($A167,3)="000",SUMIF(BC[],MID($A167,1,1)&amp;"*",bc_2017),IF(RIGHT($A167,2)="00",SUMIF(BC[],MID($A167,1,2)&amp;"*",bc_2017),IF(RIGHT($A167,1)="0",SUMIF(BC[],MID($A167,1,3)&amp;"*",bc_2017),SUMIF(BC[],$A167,bc_2017))))</f>
        <v>0</v>
      </c>
      <c r="D167" s="112">
        <f ca="1">IF(RIGHT($A167,3)="000",SUMIF(BC[],MID($A167,1,1)&amp;"*",bc_2016),IF(RIGHT($A167,2)="00",SUMIF(BC[],MID($A167,1,2)&amp;"*",bc_2016),IF(RIGHT($A167,1)="0",SUMIF(BC[],MID($A167,1,3)&amp;"*",bc_2016),SUMIF(BC[],$A167,bc_2016))))</f>
        <v>0</v>
      </c>
      <c r="E167" s="171"/>
    </row>
    <row r="168" spans="1:5">
      <c r="A168" s="158">
        <v>5441</v>
      </c>
      <c r="B168" s="76" t="s">
        <v>213</v>
      </c>
      <c r="C168" s="112">
        <f ca="1">IF(RIGHT($A168,3)="000",SUMIF(BC[],MID($A168,1,1)&amp;"*",bc_2017),IF(RIGHT($A168,2)="00",SUMIF(BC[],MID($A168,1,2)&amp;"*",bc_2017),IF(RIGHT($A168,1)="0",SUMIF(BC[],MID($A168,1,3)&amp;"*",bc_2017),SUMIF(BC[],$A168,bc_2017))))</f>
        <v>0</v>
      </c>
      <c r="D168" s="112">
        <f ca="1">IF(RIGHT($A168,3)="000",SUMIF(BC[],MID($A168,1,1)&amp;"*",bc_2016),IF(RIGHT($A168,2)="00",SUMIF(BC[],MID($A168,1,2)&amp;"*",bc_2016),IF(RIGHT($A168,1)="0",SUMIF(BC[],MID($A168,1,3)&amp;"*",bc_2016),SUMIF(BC[],$A168,bc_2016))))</f>
        <v>0</v>
      </c>
      <c r="E168" s="171"/>
    </row>
    <row r="169" spans="1:5">
      <c r="A169" s="158">
        <v>5450</v>
      </c>
      <c r="B169" s="76" t="s">
        <v>214</v>
      </c>
      <c r="C169" s="112">
        <f ca="1">IF(RIGHT($A169,3)="000",SUMIF(BC[],MID($A169,1,1)&amp;"*",bc_2017),IF(RIGHT($A169,2)="00",SUMIF(BC[],MID($A169,1,2)&amp;"*",bc_2017),IF(RIGHT($A169,1)="0",SUMIF(BC[],MID($A169,1,3)&amp;"*",bc_2017),SUMIF(BC[],$A169,bc_2017))))</f>
        <v>0</v>
      </c>
      <c r="D169" s="112">
        <f ca="1">IF(RIGHT($A169,3)="000",SUMIF(BC[],MID($A169,1,1)&amp;"*",bc_2016),IF(RIGHT($A169,2)="00",SUMIF(BC[],MID($A169,1,2)&amp;"*",bc_2016),IF(RIGHT($A169,1)="0",SUMIF(BC[],MID($A169,1,3)&amp;"*",bc_2016),SUMIF(BC[],$A169,bc_2016))))</f>
        <v>0</v>
      </c>
      <c r="E169" s="171"/>
    </row>
    <row r="170" spans="1:5">
      <c r="A170" s="158">
        <v>5451</v>
      </c>
      <c r="B170" s="76" t="s">
        <v>629</v>
      </c>
      <c r="C170" s="112">
        <f ca="1">IF(RIGHT($A170,3)="000",SUMIF(BC[],MID($A170,1,1)&amp;"*",bc_2017),IF(RIGHT($A170,2)="00",SUMIF(BC[],MID($A170,1,2)&amp;"*",bc_2017),IF(RIGHT($A170,1)="0",SUMIF(BC[],MID($A170,1,3)&amp;"*",bc_2017),SUMIF(BC[],$A170,bc_2017))))</f>
        <v>0</v>
      </c>
      <c r="D170" s="112">
        <f ca="1">IF(RIGHT($A170,3)="000",SUMIF(BC[],MID($A170,1,1)&amp;"*",bc_2016),IF(RIGHT($A170,2)="00",SUMIF(BC[],MID($A170,1,2)&amp;"*",bc_2016),IF(RIGHT($A170,1)="0",SUMIF(BC[],MID($A170,1,3)&amp;"*",bc_2016),SUMIF(BC[],$A170,bc_2016))))</f>
        <v>0</v>
      </c>
      <c r="E170" s="171"/>
    </row>
    <row r="171" spans="1:5">
      <c r="A171" s="158">
        <v>5452</v>
      </c>
      <c r="B171" s="76" t="s">
        <v>630</v>
      </c>
      <c r="C171" s="112">
        <f ca="1">IF(RIGHT($A171,3)="000",SUMIF(BC[],MID($A171,1,1)&amp;"*",bc_2017),IF(RIGHT($A171,2)="00",SUMIF(BC[],MID($A171,1,2)&amp;"*",bc_2017),IF(RIGHT($A171,1)="0",SUMIF(BC[],MID($A171,1,3)&amp;"*",bc_2017),SUMIF(BC[],$A171,bc_2017))))</f>
        <v>0</v>
      </c>
      <c r="D171" s="112">
        <f ca="1">IF(RIGHT($A171,3)="000",SUMIF(BC[],MID($A171,1,1)&amp;"*",bc_2016),IF(RIGHT($A171,2)="00",SUMIF(BC[],MID($A171,1,2)&amp;"*",bc_2016),IF(RIGHT($A171,1)="0",SUMIF(BC[],MID($A171,1,3)&amp;"*",bc_2016),SUMIF(BC[],$A171,bc_2016))))</f>
        <v>0</v>
      </c>
      <c r="E171" s="171"/>
    </row>
    <row r="172" spans="1:5">
      <c r="A172" s="155">
        <v>5500</v>
      </c>
      <c r="B172" s="61" t="s">
        <v>215</v>
      </c>
      <c r="C172" s="112">
        <f ca="1">IF(RIGHT($A172,3)="000",SUMIF(BC[],MID($A172,1,1)&amp;"*",bc_2017),IF(RIGHT($A172,2)="00",SUMIF(BC[],MID($A172,1,2)&amp;"*",bc_2017),IF(RIGHT($A172,1)="0",SUMIF(BC[],MID($A172,1,3)&amp;"*",bc_2017),SUMIF(BC[],$A172,bc_2017))))</f>
        <v>2531067.35</v>
      </c>
      <c r="D172" s="112">
        <f ca="1">IF(RIGHT($A172,3)="000",SUMIF(BC[],MID($A172,1,1)&amp;"*",bc_2016),IF(RIGHT($A172,2)="00",SUMIF(BC[],MID($A172,1,2)&amp;"*",bc_2016),IF(RIGHT($A172,1)="0",SUMIF(BC[],MID($A172,1,3)&amp;"*",bc_2016),SUMIF(BC[],$A172,bc_2016))))</f>
        <v>2390566.8499999996</v>
      </c>
      <c r="E172" s="171"/>
    </row>
    <row r="173" spans="1:5">
      <c r="A173" s="158">
        <v>5510</v>
      </c>
      <c r="B173" s="76" t="s">
        <v>216</v>
      </c>
      <c r="C173" s="112">
        <f ca="1">IF(RIGHT($A173,3)="000",SUMIF(BC[],MID($A173,1,1)&amp;"*",bc_2017),IF(RIGHT($A173,2)="00",SUMIF(BC[],MID($A173,1,2)&amp;"*",bc_2017),IF(RIGHT($A173,1)="0",SUMIF(BC[],MID($A173,1,3)&amp;"*",bc_2017),SUMIF(BC[],$A173,bc_2017))))</f>
        <v>2531067.35</v>
      </c>
      <c r="D173" s="112">
        <f ca="1">IF(RIGHT($A173,3)="000",SUMIF(BC[],MID($A173,1,1)&amp;"*",bc_2016),IF(RIGHT($A173,2)="00",SUMIF(BC[],MID($A173,1,2)&amp;"*",bc_2016),IF(RIGHT($A173,1)="0",SUMIF(BC[],MID($A173,1,3)&amp;"*",bc_2016),SUMIF(BC[],$A173,bc_2016))))</f>
        <v>2390566.8499999996</v>
      </c>
      <c r="E173" s="171"/>
    </row>
    <row r="174" spans="1:5">
      <c r="A174" s="158">
        <v>5511</v>
      </c>
      <c r="B174" s="76" t="s">
        <v>631</v>
      </c>
      <c r="C174" s="112">
        <f ca="1">IF(RIGHT($A174,3)="000",SUMIF(BC[],MID($A174,1,1)&amp;"*",bc_2017),IF(RIGHT($A174,2)="00",SUMIF(BC[],MID($A174,1,2)&amp;"*",bc_2017),IF(RIGHT($A174,1)="0",SUMIF(BC[],MID($A174,1,3)&amp;"*",bc_2017),SUMIF(BC[],$A174,bc_2017))))</f>
        <v>0</v>
      </c>
      <c r="D174" s="112">
        <f ca="1">IF(RIGHT($A174,3)="000",SUMIF(BC[],MID($A174,1,1)&amp;"*",bc_2016),IF(RIGHT($A174,2)="00",SUMIF(BC[],MID($A174,1,2)&amp;"*",bc_2016),IF(RIGHT($A174,1)="0",SUMIF(BC[],MID($A174,1,3)&amp;"*",bc_2016),SUMIF(BC[],$A174,bc_2016))))</f>
        <v>0</v>
      </c>
      <c r="E174" s="171"/>
    </row>
    <row r="175" spans="1:5">
      <c r="A175" s="158">
        <v>5512</v>
      </c>
      <c r="B175" s="76" t="s">
        <v>632</v>
      </c>
      <c r="C175" s="112">
        <f ca="1">IF(RIGHT($A175,3)="000",SUMIF(BC[],MID($A175,1,1)&amp;"*",bc_2017),IF(RIGHT($A175,2)="00",SUMIF(BC[],MID($A175,1,2)&amp;"*",bc_2017),IF(RIGHT($A175,1)="0",SUMIF(BC[],MID($A175,1,3)&amp;"*",bc_2017),SUMIF(BC[],$A175,bc_2017))))</f>
        <v>0</v>
      </c>
      <c r="D175" s="112">
        <f ca="1">IF(RIGHT($A175,3)="000",SUMIF(BC[],MID($A175,1,1)&amp;"*",bc_2016),IF(RIGHT($A175,2)="00",SUMIF(BC[],MID($A175,1,2)&amp;"*",bc_2016),IF(RIGHT($A175,1)="0",SUMIF(BC[],MID($A175,1,3)&amp;"*",bc_2016),SUMIF(BC[],$A175,bc_2016))))</f>
        <v>0</v>
      </c>
      <c r="E175" s="171"/>
    </row>
    <row r="176" spans="1:5">
      <c r="A176" s="158">
        <v>5513</v>
      </c>
      <c r="B176" s="76" t="s">
        <v>633</v>
      </c>
      <c r="C176" s="112">
        <f ca="1">IF(RIGHT($A176,3)="000",SUMIF(BC[],MID($A176,1,1)&amp;"*",bc_2017),IF(RIGHT($A176,2)="00",SUMIF(BC[],MID($A176,1,2)&amp;"*",bc_2017),IF(RIGHT($A176,1)="0",SUMIF(BC[],MID($A176,1,3)&amp;"*",bc_2017),SUMIF(BC[],$A176,bc_2017))))</f>
        <v>0</v>
      </c>
      <c r="D176" s="112">
        <f ca="1">IF(RIGHT($A176,3)="000",SUMIF(BC[],MID($A176,1,1)&amp;"*",bc_2016),IF(RIGHT($A176,2)="00",SUMIF(BC[],MID($A176,1,2)&amp;"*",bc_2016),IF(RIGHT($A176,1)="0",SUMIF(BC[],MID($A176,1,3)&amp;"*",bc_2016),SUMIF(BC[],$A176,bc_2016))))</f>
        <v>0</v>
      </c>
      <c r="E176" s="171"/>
    </row>
    <row r="177" spans="1:5">
      <c r="A177" s="158">
        <v>5514</v>
      </c>
      <c r="B177" s="76" t="s">
        <v>634</v>
      </c>
      <c r="C177" s="112">
        <f ca="1">IF(RIGHT($A177,3)="000",SUMIF(BC[],MID($A177,1,1)&amp;"*",bc_2017),IF(RIGHT($A177,2)="00",SUMIF(BC[],MID($A177,1,2)&amp;"*",bc_2017),IF(RIGHT($A177,1)="0",SUMIF(BC[],MID($A177,1,3)&amp;"*",bc_2017),SUMIF(BC[],$A177,bc_2017))))</f>
        <v>0</v>
      </c>
      <c r="D177" s="112">
        <f ca="1">IF(RIGHT($A177,3)="000",SUMIF(BC[],MID($A177,1,1)&amp;"*",bc_2016),IF(RIGHT($A177,2)="00",SUMIF(BC[],MID($A177,1,2)&amp;"*",bc_2016),IF(RIGHT($A177,1)="0",SUMIF(BC[],MID($A177,1,3)&amp;"*",bc_2016),SUMIF(BC[],$A177,bc_2016))))</f>
        <v>0</v>
      </c>
      <c r="E177" s="171"/>
    </row>
    <row r="178" spans="1:5">
      <c r="A178" s="158">
        <v>5515</v>
      </c>
      <c r="B178" s="76" t="s">
        <v>635</v>
      </c>
      <c r="C178" s="112">
        <f ca="1">IF(RIGHT($A178,3)="000",SUMIF(BC[],MID($A178,1,1)&amp;"*",bc_2017),IF(RIGHT($A178,2)="00",SUMIF(BC[],MID($A178,1,2)&amp;"*",bc_2017),IF(RIGHT($A178,1)="0",SUMIF(BC[],MID($A178,1,3)&amp;"*",bc_2017),SUMIF(BC[],$A178,bc_2017))))</f>
        <v>2359186.1</v>
      </c>
      <c r="D178" s="112">
        <f ca="1">IF(RIGHT($A178,3)="000",SUMIF(BC[],MID($A178,1,1)&amp;"*",bc_2016),IF(RIGHT($A178,2)="00",SUMIF(BC[],MID($A178,1,2)&amp;"*",bc_2016),IF(RIGHT($A178,1)="0",SUMIF(BC[],MID($A178,1,3)&amp;"*",bc_2016),SUMIF(BC[],$A178,bc_2016))))</f>
        <v>2382629.5499999998</v>
      </c>
      <c r="E178" s="171"/>
    </row>
    <row r="179" spans="1:5">
      <c r="A179" s="158">
        <v>5516</v>
      </c>
      <c r="B179" s="76" t="s">
        <v>636</v>
      </c>
      <c r="C179" s="112">
        <f ca="1">IF(RIGHT($A179,3)="000",SUMIF(BC[],MID($A179,1,1)&amp;"*",bc_2017),IF(RIGHT($A179,2)="00",SUMIF(BC[],MID($A179,1,2)&amp;"*",bc_2017),IF(RIGHT($A179,1)="0",SUMIF(BC[],MID($A179,1,3)&amp;"*",bc_2017),SUMIF(BC[],$A179,bc_2017))))</f>
        <v>0</v>
      </c>
      <c r="D179" s="112">
        <f ca="1">IF(RIGHT($A179,3)="000",SUMIF(BC[],MID($A179,1,1)&amp;"*",bc_2016),IF(RIGHT($A179,2)="00",SUMIF(BC[],MID($A179,1,2)&amp;"*",bc_2016),IF(RIGHT($A179,1)="0",SUMIF(BC[],MID($A179,1,3)&amp;"*",bc_2016),SUMIF(BC[],$A179,bc_2016))))</f>
        <v>0</v>
      </c>
      <c r="E179" s="171"/>
    </row>
    <row r="180" spans="1:5">
      <c r="A180" s="158">
        <v>5517</v>
      </c>
      <c r="B180" s="76" t="s">
        <v>637</v>
      </c>
      <c r="C180" s="112">
        <f ca="1">IF(RIGHT($A180,3)="000",SUMIF(BC[],MID($A180,1,1)&amp;"*",bc_2017),IF(RIGHT($A180,2)="00",SUMIF(BC[],MID($A180,1,2)&amp;"*",bc_2017),IF(RIGHT($A180,1)="0",SUMIF(BC[],MID($A180,1,3)&amp;"*",bc_2017),SUMIF(BC[],$A180,bc_2017))))</f>
        <v>0</v>
      </c>
      <c r="D180" s="112">
        <f ca="1">IF(RIGHT($A180,3)="000",SUMIF(BC[],MID($A180,1,1)&amp;"*",bc_2016),IF(RIGHT($A180,2)="00",SUMIF(BC[],MID($A180,1,2)&amp;"*",bc_2016),IF(RIGHT($A180,1)="0",SUMIF(BC[],MID($A180,1,3)&amp;"*",bc_2016),SUMIF(BC[],$A180,bc_2016))))</f>
        <v>0</v>
      </c>
      <c r="E180" s="171"/>
    </row>
    <row r="181" spans="1:5">
      <c r="A181" s="158">
        <v>5518</v>
      </c>
      <c r="B181" s="76" t="s">
        <v>638</v>
      </c>
      <c r="C181" s="112">
        <f ca="1">IF(RIGHT($A181,3)="000",SUMIF(BC[],MID($A181,1,1)&amp;"*",bc_2017),IF(RIGHT($A181,2)="00",SUMIF(BC[],MID($A181,1,2)&amp;"*",bc_2017),IF(RIGHT($A181,1)="0",SUMIF(BC[],MID($A181,1,3)&amp;"*",bc_2017),SUMIF(BC[],$A181,bc_2017))))</f>
        <v>171881.25</v>
      </c>
      <c r="D181" s="112">
        <f ca="1">IF(RIGHT($A181,3)="000",SUMIF(BC[],MID($A181,1,1)&amp;"*",bc_2016),IF(RIGHT($A181,2)="00",SUMIF(BC[],MID($A181,1,2)&amp;"*",bc_2016),IF(RIGHT($A181,1)="0",SUMIF(BC[],MID($A181,1,3)&amp;"*",bc_2016),SUMIF(BC[],$A181,bc_2016))))</f>
        <v>7937.3</v>
      </c>
      <c r="E181" s="171"/>
    </row>
    <row r="182" spans="1:5">
      <c r="A182" s="158">
        <v>5520</v>
      </c>
      <c r="B182" s="76" t="s">
        <v>217</v>
      </c>
      <c r="C182" s="112">
        <f ca="1">IF(RIGHT($A182,3)="000",SUMIF(BC[],MID($A182,1,1)&amp;"*",bc_2017),IF(RIGHT($A182,2)="00",SUMIF(BC[],MID($A182,1,2)&amp;"*",bc_2017),IF(RIGHT($A182,1)="0",SUMIF(BC[],MID($A182,1,3)&amp;"*",bc_2017),SUMIF(BC[],$A182,bc_2017))))</f>
        <v>0</v>
      </c>
      <c r="D182" s="112">
        <f ca="1">IF(RIGHT($A182,3)="000",SUMIF(BC[],MID($A182,1,1)&amp;"*",bc_2016),IF(RIGHT($A182,2)="00",SUMIF(BC[],MID($A182,1,2)&amp;"*",bc_2016),IF(RIGHT($A182,1)="0",SUMIF(BC[],MID($A182,1,3)&amp;"*",bc_2016),SUMIF(BC[],$A182,bc_2016))))</f>
        <v>0</v>
      </c>
      <c r="E182" s="171"/>
    </row>
    <row r="183" spans="1:5">
      <c r="A183" s="158">
        <v>5521</v>
      </c>
      <c r="B183" s="76" t="s">
        <v>639</v>
      </c>
      <c r="C183" s="112">
        <f ca="1">IF(RIGHT($A183,3)="000",SUMIF(BC[],MID($A183,1,1)&amp;"*",bc_2017),IF(RIGHT($A183,2)="00",SUMIF(BC[],MID($A183,1,2)&amp;"*",bc_2017),IF(RIGHT($A183,1)="0",SUMIF(BC[],MID($A183,1,3)&amp;"*",bc_2017),SUMIF(BC[],$A183,bc_2017))))</f>
        <v>0</v>
      </c>
      <c r="D183" s="112">
        <f ca="1">IF(RIGHT($A183,3)="000",SUMIF(BC[],MID($A183,1,1)&amp;"*",bc_2016),IF(RIGHT($A183,2)="00",SUMIF(BC[],MID($A183,1,2)&amp;"*",bc_2016),IF(RIGHT($A183,1)="0",SUMIF(BC[],MID($A183,1,3)&amp;"*",bc_2016),SUMIF(BC[],$A183,bc_2016))))</f>
        <v>0</v>
      </c>
      <c r="E183" s="171"/>
    </row>
    <row r="184" spans="1:5">
      <c r="A184" s="158">
        <v>5522</v>
      </c>
      <c r="B184" s="76" t="s">
        <v>640</v>
      </c>
      <c r="C184" s="112">
        <f ca="1">IF(RIGHT($A184,3)="000",SUMIF(BC[],MID($A184,1,1)&amp;"*",bc_2017),IF(RIGHT($A184,2)="00",SUMIF(BC[],MID($A184,1,2)&amp;"*",bc_2017),IF(RIGHT($A184,1)="0",SUMIF(BC[],MID($A184,1,3)&amp;"*",bc_2017),SUMIF(BC[],$A184,bc_2017))))</f>
        <v>0</v>
      </c>
      <c r="D184" s="112">
        <f ca="1">IF(RIGHT($A184,3)="000",SUMIF(BC[],MID($A184,1,1)&amp;"*",bc_2016),IF(RIGHT($A184,2)="00",SUMIF(BC[],MID($A184,1,2)&amp;"*",bc_2016),IF(RIGHT($A184,1)="0",SUMIF(BC[],MID($A184,1,3)&amp;"*",bc_2016),SUMIF(BC[],$A184,bc_2016))))</f>
        <v>0</v>
      </c>
      <c r="E184" s="171"/>
    </row>
    <row r="185" spans="1:5">
      <c r="A185" s="158">
        <v>5530</v>
      </c>
      <c r="B185" s="76" t="s">
        <v>218</v>
      </c>
      <c r="C185" s="112">
        <f ca="1">IF(RIGHT($A185,3)="000",SUMIF(BC[],MID($A185,1,1)&amp;"*",bc_2017),IF(RIGHT($A185,2)="00",SUMIF(BC[],MID($A185,1,2)&amp;"*",bc_2017),IF(RIGHT($A185,1)="0",SUMIF(BC[],MID($A185,1,3)&amp;"*",bc_2017),SUMIF(BC[],$A185,bc_2017))))</f>
        <v>0</v>
      </c>
      <c r="D185" s="112">
        <f ca="1">IF(RIGHT($A185,3)="000",SUMIF(BC[],MID($A185,1,1)&amp;"*",bc_2016),IF(RIGHT($A185,2)="00",SUMIF(BC[],MID($A185,1,2)&amp;"*",bc_2016),IF(RIGHT($A185,1)="0",SUMIF(BC[],MID($A185,1,3)&amp;"*",bc_2016),SUMIF(BC[],$A185,bc_2016))))</f>
        <v>0</v>
      </c>
      <c r="E185" s="171"/>
    </row>
    <row r="186" spans="1:5">
      <c r="A186" s="158">
        <v>5531</v>
      </c>
      <c r="B186" s="76" t="s">
        <v>641</v>
      </c>
      <c r="C186" s="112">
        <f ca="1">IF(RIGHT($A186,3)="000",SUMIF(BC[],MID($A186,1,1)&amp;"*",bc_2017),IF(RIGHT($A186,2)="00",SUMIF(BC[],MID($A186,1,2)&amp;"*",bc_2017),IF(RIGHT($A186,1)="0",SUMIF(BC[],MID($A186,1,3)&amp;"*",bc_2017),SUMIF(BC[],$A186,bc_2017))))</f>
        <v>0</v>
      </c>
      <c r="D186" s="112">
        <f ca="1">IF(RIGHT($A186,3)="000",SUMIF(BC[],MID($A186,1,1)&amp;"*",bc_2016),IF(RIGHT($A186,2)="00",SUMIF(BC[],MID($A186,1,2)&amp;"*",bc_2016),IF(RIGHT($A186,1)="0",SUMIF(BC[],MID($A186,1,3)&amp;"*",bc_2016),SUMIF(BC[],$A186,bc_2016))))</f>
        <v>0</v>
      </c>
      <c r="E186" s="171"/>
    </row>
    <row r="187" spans="1:5">
      <c r="A187" s="158">
        <v>5532</v>
      </c>
      <c r="B187" s="76" t="s">
        <v>642</v>
      </c>
      <c r="C187" s="112">
        <f ca="1">IF(RIGHT($A187,3)="000",SUMIF(BC[],MID($A187,1,1)&amp;"*",bc_2017),IF(RIGHT($A187,2)="00",SUMIF(BC[],MID($A187,1,2)&amp;"*",bc_2017),IF(RIGHT($A187,1)="0",SUMIF(BC[],MID($A187,1,3)&amp;"*",bc_2017),SUMIF(BC[],$A187,bc_2017))))</f>
        <v>0</v>
      </c>
      <c r="D187" s="112">
        <f ca="1">IF(RIGHT($A187,3)="000",SUMIF(BC[],MID($A187,1,1)&amp;"*",bc_2016),IF(RIGHT($A187,2)="00",SUMIF(BC[],MID($A187,1,2)&amp;"*",bc_2016),IF(RIGHT($A187,1)="0",SUMIF(BC[],MID($A187,1,3)&amp;"*",bc_2016),SUMIF(BC[],$A187,bc_2016))))</f>
        <v>0</v>
      </c>
      <c r="E187" s="171"/>
    </row>
    <row r="188" spans="1:5">
      <c r="A188" s="158">
        <v>5533</v>
      </c>
      <c r="B188" s="76" t="s">
        <v>643</v>
      </c>
      <c r="C188" s="112">
        <f ca="1">IF(RIGHT($A188,3)="000",SUMIF(BC[],MID($A188,1,1)&amp;"*",bc_2017),IF(RIGHT($A188,2)="00",SUMIF(BC[],MID($A188,1,2)&amp;"*",bc_2017),IF(RIGHT($A188,1)="0",SUMIF(BC[],MID($A188,1,3)&amp;"*",bc_2017),SUMIF(BC[],$A188,bc_2017))))</f>
        <v>0</v>
      </c>
      <c r="D188" s="112">
        <f ca="1">IF(RIGHT($A188,3)="000",SUMIF(BC[],MID($A188,1,1)&amp;"*",bc_2016),IF(RIGHT($A188,2)="00",SUMIF(BC[],MID($A188,1,2)&amp;"*",bc_2016),IF(RIGHT($A188,1)="0",SUMIF(BC[],MID($A188,1,3)&amp;"*",bc_2016),SUMIF(BC[],$A188,bc_2016))))</f>
        <v>0</v>
      </c>
      <c r="E188" s="171"/>
    </row>
    <row r="189" spans="1:5">
      <c r="A189" s="158">
        <v>5534</v>
      </c>
      <c r="B189" s="76" t="s">
        <v>644</v>
      </c>
      <c r="C189" s="112">
        <f ca="1">IF(RIGHT($A189,3)="000",SUMIF(BC[],MID($A189,1,1)&amp;"*",bc_2017),IF(RIGHT($A189,2)="00",SUMIF(BC[],MID($A189,1,2)&amp;"*",bc_2017),IF(RIGHT($A189,1)="0",SUMIF(BC[],MID($A189,1,3)&amp;"*",bc_2017),SUMIF(BC[],$A189,bc_2017))))</f>
        <v>0</v>
      </c>
      <c r="D189" s="112">
        <f ca="1">IF(RIGHT($A189,3)="000",SUMIF(BC[],MID($A189,1,1)&amp;"*",bc_2016),IF(RIGHT($A189,2)="00",SUMIF(BC[],MID($A189,1,2)&amp;"*",bc_2016),IF(RIGHT($A189,1)="0",SUMIF(BC[],MID($A189,1,3)&amp;"*",bc_2016),SUMIF(BC[],$A189,bc_2016))))</f>
        <v>0</v>
      </c>
      <c r="E189" s="171"/>
    </row>
    <row r="190" spans="1:5">
      <c r="A190" s="158">
        <v>5535</v>
      </c>
      <c r="B190" s="76" t="s">
        <v>645</v>
      </c>
      <c r="C190" s="112">
        <f ca="1">IF(RIGHT($A190,3)="000",SUMIF(BC[],MID($A190,1,1)&amp;"*",bc_2017),IF(RIGHT($A190,2)="00",SUMIF(BC[],MID($A190,1,2)&amp;"*",bc_2017),IF(RIGHT($A190,1)="0",SUMIF(BC[],MID($A190,1,3)&amp;"*",bc_2017),SUMIF(BC[],$A190,bc_2017))))</f>
        <v>0</v>
      </c>
      <c r="D190" s="112">
        <f ca="1">IF(RIGHT($A190,3)="000",SUMIF(BC[],MID($A190,1,1)&amp;"*",bc_2016),IF(RIGHT($A190,2)="00",SUMIF(BC[],MID($A190,1,2)&amp;"*",bc_2016),IF(RIGHT($A190,1)="0",SUMIF(BC[],MID($A190,1,3)&amp;"*",bc_2016),SUMIF(BC[],$A190,bc_2016))))</f>
        <v>0</v>
      </c>
      <c r="E190" s="171"/>
    </row>
    <row r="191" spans="1:5">
      <c r="A191" s="158">
        <v>5540</v>
      </c>
      <c r="B191" s="76" t="s">
        <v>219</v>
      </c>
      <c r="C191" s="112">
        <f ca="1">IF(RIGHT($A191,3)="000",SUMIF(BC[],MID($A191,1,1)&amp;"*",bc_2017),IF(RIGHT($A191,2)="00",SUMIF(BC[],MID($A191,1,2)&amp;"*",bc_2017),IF(RIGHT($A191,1)="0",SUMIF(BC[],MID($A191,1,3)&amp;"*",bc_2017),SUMIF(BC[],$A191,bc_2017))))</f>
        <v>0</v>
      </c>
      <c r="D191" s="112">
        <f ca="1">IF(RIGHT($A191,3)="000",SUMIF(BC[],MID($A191,1,1)&amp;"*",bc_2016),IF(RIGHT($A191,2)="00",SUMIF(BC[],MID($A191,1,2)&amp;"*",bc_2016),IF(RIGHT($A191,1)="0",SUMIF(BC[],MID($A191,1,3)&amp;"*",bc_2016),SUMIF(BC[],$A191,bc_2016))))</f>
        <v>0</v>
      </c>
      <c r="E191" s="171"/>
    </row>
    <row r="192" spans="1:5">
      <c r="A192" s="158">
        <v>5541</v>
      </c>
      <c r="B192" s="76" t="s">
        <v>219</v>
      </c>
      <c r="C192" s="112">
        <f ca="1">IF(RIGHT($A192,3)="000",SUMIF(BC[],MID($A192,1,1)&amp;"*",bc_2017),IF(RIGHT($A192,2)="00",SUMIF(BC[],MID($A192,1,2)&amp;"*",bc_2017),IF(RIGHT($A192,1)="0",SUMIF(BC[],MID($A192,1,3)&amp;"*",bc_2017),SUMIF(BC[],$A192,bc_2017))))</f>
        <v>0</v>
      </c>
      <c r="D192" s="112">
        <f ca="1">IF(RIGHT($A192,3)="000",SUMIF(BC[],MID($A192,1,1)&amp;"*",bc_2016),IF(RIGHT($A192,2)="00",SUMIF(BC[],MID($A192,1,2)&amp;"*",bc_2016),IF(RIGHT($A192,1)="0",SUMIF(BC[],MID($A192,1,3)&amp;"*",bc_2016),SUMIF(BC[],$A192,bc_2016))))</f>
        <v>0</v>
      </c>
      <c r="E192" s="171"/>
    </row>
    <row r="193" spans="1:5">
      <c r="A193" s="158">
        <v>5550</v>
      </c>
      <c r="B193" s="15" t="s">
        <v>220</v>
      </c>
      <c r="C193" s="112">
        <f ca="1">IF(RIGHT($A193,3)="000",SUMIF(BC[],MID($A193,1,1)&amp;"*",bc_2017),IF(RIGHT($A193,2)="00",SUMIF(BC[],MID($A193,1,2)&amp;"*",bc_2017),IF(RIGHT($A193,1)="0",SUMIF(BC[],MID($A193,1,3)&amp;"*",bc_2017),SUMIF(BC[],$A193,bc_2017))))</f>
        <v>0</v>
      </c>
      <c r="D193" s="112">
        <f ca="1">IF(RIGHT($A193,3)="000",SUMIF(BC[],MID($A193,1,1)&amp;"*",bc_2016),IF(RIGHT($A193,2)="00",SUMIF(BC[],MID($A193,1,2)&amp;"*",bc_2016),IF(RIGHT($A193,1)="0",SUMIF(BC[],MID($A193,1,3)&amp;"*",bc_2016),SUMIF(BC[],$A193,bc_2016))))</f>
        <v>0</v>
      </c>
      <c r="E193" s="171"/>
    </row>
    <row r="194" spans="1:5">
      <c r="A194" s="158">
        <v>5551</v>
      </c>
      <c r="B194" s="15" t="s">
        <v>220</v>
      </c>
      <c r="C194" s="112">
        <f ca="1">IF(RIGHT($A194,3)="000",SUMIF(BC[],MID($A194,1,1)&amp;"*",bc_2017),IF(RIGHT($A194,2)="00",SUMIF(BC[],MID($A194,1,2)&amp;"*",bc_2017),IF(RIGHT($A194,1)="0",SUMIF(BC[],MID($A194,1,3)&amp;"*",bc_2017),SUMIF(BC[],$A194,bc_2017))))</f>
        <v>0</v>
      </c>
      <c r="D194" s="112">
        <f ca="1">IF(RIGHT($A194,3)="000",SUMIF(BC[],MID($A194,1,1)&amp;"*",bc_2016),IF(RIGHT($A194,2)="00",SUMIF(BC[],MID($A194,1,2)&amp;"*",bc_2016),IF(RIGHT($A194,1)="0",SUMIF(BC[],MID($A194,1,3)&amp;"*",bc_2016),SUMIF(BC[],$A194,bc_2016))))</f>
        <v>0</v>
      </c>
      <c r="E194" s="171"/>
    </row>
    <row r="195" spans="1:5">
      <c r="A195" s="158">
        <v>5590</v>
      </c>
      <c r="B195" s="15" t="s">
        <v>221</v>
      </c>
      <c r="C195" s="112">
        <f ca="1">IF(RIGHT($A195,3)="000",SUMIF(BC[],MID($A195,1,1)&amp;"*",bc_2017),IF(RIGHT($A195,2)="00",SUMIF(BC[],MID($A195,1,2)&amp;"*",bc_2017),IF(RIGHT($A195,1)="0",SUMIF(BC[],MID($A195,1,3)&amp;"*",bc_2017),SUMIF(BC[],$A195,bc_2017))))</f>
        <v>0</v>
      </c>
      <c r="D195" s="112">
        <f ca="1">IF(RIGHT($A195,3)="000",SUMIF(BC[],MID($A195,1,1)&amp;"*",bc_2016),IF(RIGHT($A195,2)="00",SUMIF(BC[],MID($A195,1,2)&amp;"*",bc_2016),IF(RIGHT($A195,1)="0",SUMIF(BC[],MID($A195,1,3)&amp;"*",bc_2016),SUMIF(BC[],$A195,bc_2016))))</f>
        <v>0</v>
      </c>
      <c r="E195" s="171"/>
    </row>
    <row r="196" spans="1:5">
      <c r="A196" s="158">
        <v>5591</v>
      </c>
      <c r="B196" s="15" t="s">
        <v>646</v>
      </c>
      <c r="C196" s="112">
        <f ca="1">IF(RIGHT($A196,3)="000",SUMIF(BC[],MID($A196,1,1)&amp;"*",bc_2017),IF(RIGHT($A196,2)="00",SUMIF(BC[],MID($A196,1,2)&amp;"*",bc_2017),IF(RIGHT($A196,1)="0",SUMIF(BC[],MID($A196,1,3)&amp;"*",bc_2017),SUMIF(BC[],$A196,bc_2017))))</f>
        <v>0</v>
      </c>
      <c r="D196" s="112">
        <f ca="1">IF(RIGHT($A196,3)="000",SUMIF(BC[],MID($A196,1,1)&amp;"*",bc_2016),IF(RIGHT($A196,2)="00",SUMIF(BC[],MID($A196,1,2)&amp;"*",bc_2016),IF(RIGHT($A196,1)="0",SUMIF(BC[],MID($A196,1,3)&amp;"*",bc_2016),SUMIF(BC[],$A196,bc_2016))))</f>
        <v>0</v>
      </c>
      <c r="E196" s="171"/>
    </row>
    <row r="197" spans="1:5">
      <c r="A197" s="158">
        <v>5592</v>
      </c>
      <c r="B197" s="15" t="s">
        <v>647</v>
      </c>
      <c r="C197" s="112">
        <f ca="1">IF(RIGHT($A197,3)="000",SUMIF(BC[],MID($A197,1,1)&amp;"*",bc_2017),IF(RIGHT($A197,2)="00",SUMIF(BC[],MID($A197,1,2)&amp;"*",bc_2017),IF(RIGHT($A197,1)="0",SUMIF(BC[],MID($A197,1,3)&amp;"*",bc_2017),SUMIF(BC[],$A197,bc_2017))))</f>
        <v>0</v>
      </c>
      <c r="D197" s="112">
        <f ca="1">IF(RIGHT($A197,3)="000",SUMIF(BC[],MID($A197,1,1)&amp;"*",bc_2016),IF(RIGHT($A197,2)="00",SUMIF(BC[],MID($A197,1,2)&amp;"*",bc_2016),IF(RIGHT($A197,1)="0",SUMIF(BC[],MID($A197,1,3)&amp;"*",bc_2016),SUMIF(BC[],$A197,bc_2016))))</f>
        <v>0</v>
      </c>
      <c r="E197" s="171"/>
    </row>
    <row r="198" spans="1:5">
      <c r="A198" s="158">
        <v>5593</v>
      </c>
      <c r="B198" s="15" t="s">
        <v>648</v>
      </c>
      <c r="C198" s="112">
        <f ca="1">IF(RIGHT($A198,3)="000",SUMIF(BC[],MID($A198,1,1)&amp;"*",bc_2017),IF(RIGHT($A198,2)="00",SUMIF(BC[],MID($A198,1,2)&amp;"*",bc_2017),IF(RIGHT($A198,1)="0",SUMIF(BC[],MID($A198,1,3)&amp;"*",bc_2017),SUMIF(BC[],$A198,bc_2017))))</f>
        <v>0</v>
      </c>
      <c r="D198" s="112">
        <f ca="1">IF(RIGHT($A198,3)="000",SUMIF(BC[],MID($A198,1,1)&amp;"*",bc_2016),IF(RIGHT($A198,2)="00",SUMIF(BC[],MID($A198,1,2)&amp;"*",bc_2016),IF(RIGHT($A198,1)="0",SUMIF(BC[],MID($A198,1,3)&amp;"*",bc_2016),SUMIF(BC[],$A198,bc_2016))))</f>
        <v>0</v>
      </c>
      <c r="E198" s="171"/>
    </row>
    <row r="199" spans="1:5">
      <c r="A199" s="158">
        <v>5594</v>
      </c>
      <c r="B199" s="15" t="s">
        <v>649</v>
      </c>
      <c r="C199" s="112">
        <f ca="1">IF(RIGHT($A199,3)="000",SUMIF(BC[],MID($A199,1,1)&amp;"*",bc_2017),IF(RIGHT($A199,2)="00",SUMIF(BC[],MID($A199,1,2)&amp;"*",bc_2017),IF(RIGHT($A199,1)="0",SUMIF(BC[],MID($A199,1,3)&amp;"*",bc_2017),SUMIF(BC[],$A199,bc_2017))))</f>
        <v>0</v>
      </c>
      <c r="D199" s="112">
        <f ca="1">IF(RIGHT($A199,3)="000",SUMIF(BC[],MID($A199,1,1)&amp;"*",bc_2016),IF(RIGHT($A199,2)="00",SUMIF(BC[],MID($A199,1,2)&amp;"*",bc_2016),IF(RIGHT($A199,1)="0",SUMIF(BC[],MID($A199,1,3)&amp;"*",bc_2016),SUMIF(BC[],$A199,bc_2016))))</f>
        <v>0</v>
      </c>
      <c r="E199" s="171"/>
    </row>
    <row r="200" spans="1:5">
      <c r="A200" s="158">
        <v>5595</v>
      </c>
      <c r="B200" s="15" t="s">
        <v>650</v>
      </c>
      <c r="C200" s="112">
        <f ca="1">IF(RIGHT($A200,3)="000",SUMIF(BC[],MID($A200,1,1)&amp;"*",bc_2017),IF(RIGHT($A200,2)="00",SUMIF(BC[],MID($A200,1,2)&amp;"*",bc_2017),IF(RIGHT($A200,1)="0",SUMIF(BC[],MID($A200,1,3)&amp;"*",bc_2017),SUMIF(BC[],$A200,bc_2017))))</f>
        <v>0</v>
      </c>
      <c r="D200" s="112">
        <f ca="1">IF(RIGHT($A200,3)="000",SUMIF(BC[],MID($A200,1,1)&amp;"*",bc_2016),IF(RIGHT($A200,2)="00",SUMIF(BC[],MID($A200,1,2)&amp;"*",bc_2016),IF(RIGHT($A200,1)="0",SUMIF(BC[],MID($A200,1,3)&amp;"*",bc_2016),SUMIF(BC[],$A200,bc_2016))))</f>
        <v>0</v>
      </c>
      <c r="E200" s="171"/>
    </row>
    <row r="201" spans="1:5">
      <c r="A201" s="158">
        <v>5596</v>
      </c>
      <c r="B201" s="15" t="s">
        <v>69</v>
      </c>
      <c r="C201" s="112">
        <f ca="1">IF(RIGHT($A201,3)="000",SUMIF(BC[],MID($A201,1,1)&amp;"*",bc_2017),IF(RIGHT($A201,2)="00",SUMIF(BC[],MID($A201,1,2)&amp;"*",bc_2017),IF(RIGHT($A201,1)="0",SUMIF(BC[],MID($A201,1,3)&amp;"*",bc_2017),SUMIF(BC[],$A201,bc_2017))))</f>
        <v>0</v>
      </c>
      <c r="D201" s="112">
        <f ca="1">IF(RIGHT($A201,3)="000",SUMIF(BC[],MID($A201,1,1)&amp;"*",bc_2016),IF(RIGHT($A201,2)="00",SUMIF(BC[],MID($A201,1,2)&amp;"*",bc_2016),IF(RIGHT($A201,1)="0",SUMIF(BC[],MID($A201,1,3)&amp;"*",bc_2016),SUMIF(BC[],$A201,bc_2016))))</f>
        <v>0</v>
      </c>
      <c r="E201" s="171"/>
    </row>
    <row r="202" spans="1:5">
      <c r="A202" s="158">
        <v>5597</v>
      </c>
      <c r="B202" s="15" t="s">
        <v>651</v>
      </c>
      <c r="C202" s="112">
        <f ca="1">IF(RIGHT($A202,3)="000",SUMIF(BC[],MID($A202,1,1)&amp;"*",bc_2017),IF(RIGHT($A202,2)="00",SUMIF(BC[],MID($A202,1,2)&amp;"*",bc_2017),IF(RIGHT($A202,1)="0",SUMIF(BC[],MID($A202,1,3)&amp;"*",bc_2017),SUMIF(BC[],$A202,bc_2017))))</f>
        <v>0</v>
      </c>
      <c r="D202" s="112">
        <f ca="1">IF(RIGHT($A202,3)="000",SUMIF(BC[],MID($A202,1,1)&amp;"*",bc_2016),IF(RIGHT($A202,2)="00",SUMIF(BC[],MID($A202,1,2)&amp;"*",bc_2016),IF(RIGHT($A202,1)="0",SUMIF(BC[],MID($A202,1,3)&amp;"*",bc_2016),SUMIF(BC[],$A202,bc_2016))))</f>
        <v>0</v>
      </c>
      <c r="E202" s="171"/>
    </row>
    <row r="203" spans="1:5">
      <c r="A203" s="158">
        <v>5599</v>
      </c>
      <c r="B203" s="15" t="s">
        <v>652</v>
      </c>
      <c r="C203" s="112">
        <f ca="1">IF(RIGHT($A203,3)="000",SUMIF(BC[],MID($A203,1,1)&amp;"*",bc_2017),IF(RIGHT($A203,2)="00",SUMIF(BC[],MID($A203,1,2)&amp;"*",bc_2017),IF(RIGHT($A203,1)="0",SUMIF(BC[],MID($A203,1,3)&amp;"*",bc_2017),SUMIF(BC[],$A203,bc_2017))))</f>
        <v>0</v>
      </c>
      <c r="D203" s="112">
        <f ca="1">IF(RIGHT($A203,3)="000",SUMIF(BC[],MID($A203,1,1)&amp;"*",bc_2016),IF(RIGHT($A203,2)="00",SUMIF(BC[],MID($A203,1,2)&amp;"*",bc_2016),IF(RIGHT($A203,1)="0",SUMIF(BC[],MID($A203,1,3)&amp;"*",bc_2016),SUMIF(BC[],$A203,bc_2016))))</f>
        <v>0</v>
      </c>
      <c r="E203" s="171"/>
    </row>
    <row r="204" spans="1:5">
      <c r="A204" s="155">
        <v>5600</v>
      </c>
      <c r="B204" s="14" t="s">
        <v>222</v>
      </c>
      <c r="C204" s="112">
        <f ca="1">IF(RIGHT($A204,3)="000",SUMIF(BC[],MID($A204,1,1)&amp;"*",bc_2017),IF(RIGHT($A204,2)="00",SUMIF(BC[],MID($A204,1,2)&amp;"*",bc_2017),IF(RIGHT($A204,1)="0",SUMIF(BC[],MID($A204,1,3)&amp;"*",bc_2017),SUMIF(BC[],$A204,bc_2017))))</f>
        <v>0</v>
      </c>
      <c r="D204" s="112">
        <f ca="1">IF(RIGHT($A204,3)="000",SUMIF(BC[],MID($A204,1,1)&amp;"*",bc_2016),IF(RIGHT($A204,2)="00",SUMIF(BC[],MID($A204,1,2)&amp;"*",bc_2016),IF(RIGHT($A204,1)="0",SUMIF(BC[],MID($A204,1,3)&amp;"*",bc_2016),SUMIF(BC[],$A204,bc_2016))))</f>
        <v>0</v>
      </c>
      <c r="E204" s="171"/>
    </row>
    <row r="205" spans="1:5">
      <c r="A205" s="158">
        <v>5610</v>
      </c>
      <c r="B205" s="15" t="s">
        <v>223</v>
      </c>
      <c r="C205" s="112">
        <f ca="1">IF(RIGHT($A205,3)="000",SUMIF(BC[],MID($A205,1,1)&amp;"*",bc_2017),IF(RIGHT($A205,2)="00",SUMIF(BC[],MID($A205,1,2)&amp;"*",bc_2017),IF(RIGHT($A205,1)="0",SUMIF(BC[],MID($A205,1,3)&amp;"*",bc_2017),SUMIF(BC[],$A205,bc_2017))))</f>
        <v>0</v>
      </c>
      <c r="D205" s="112">
        <f ca="1">IF(RIGHT($A205,3)="000",SUMIF(BC[],MID($A205,1,1)&amp;"*",bc_2016),IF(RIGHT($A205,2)="00",SUMIF(BC[],MID($A205,1,2)&amp;"*",bc_2016),IF(RIGHT($A205,1)="0",SUMIF(BC[],MID($A205,1,3)&amp;"*",bc_2016),SUMIF(BC[],$A205,bc_2016))))</f>
        <v>0</v>
      </c>
      <c r="E205" s="171"/>
    </row>
    <row r="206" spans="1:5">
      <c r="A206" s="158">
        <v>5611</v>
      </c>
      <c r="B206" s="15" t="s">
        <v>653</v>
      </c>
      <c r="C206" s="112">
        <f ca="1">IF(RIGHT($A206,3)="000",SUMIF(BC[],MID($A206,1,1)&amp;"*",bc_2017),IF(RIGHT($A206,2)="00",SUMIF(BC[],MID($A206,1,2)&amp;"*",bc_2017),IF(RIGHT($A206,1)="0",SUMIF(BC[],MID($A206,1,3)&amp;"*",bc_2017),SUMIF(BC[],$A206,bc_2017))))</f>
        <v>0</v>
      </c>
      <c r="D206" s="112">
        <f ca="1">IF(RIGHT($A206,3)="000",SUMIF(BC[],MID($A206,1,1)&amp;"*",bc_2016),IF(RIGHT($A206,2)="00",SUMIF(BC[],MID($A206,1,2)&amp;"*",bc_2016),IF(RIGHT($A206,1)="0",SUMIF(BC[],MID($A206,1,3)&amp;"*",bc_2016),SUMIF(BC[],$A206,bc_2016))))</f>
        <v>0</v>
      </c>
      <c r="E206" s="171"/>
    </row>
    <row r="207" spans="1:5" s="168" customFormat="1">
      <c r="A207" s="172">
        <v>3210</v>
      </c>
      <c r="B207" s="86" t="s">
        <v>224</v>
      </c>
      <c r="C207" s="113">
        <f ca="1">+C3-C85</f>
        <v>394466.96000000834</v>
      </c>
      <c r="D207" s="113">
        <f ca="1">+D3-D85</f>
        <v>-1484625.6799999774</v>
      </c>
      <c r="E207" s="173"/>
    </row>
  </sheetData>
  <sheetProtection autoFilter="0"/>
  <mergeCells count="1">
    <mergeCell ref="A1:E1"/>
  </mergeCells>
  <dataValidations count="6">
    <dataValidation allowBlank="1" showInputMessage="1" showErrorMessage="1" prompt="Muestra el saldo de las cuentas acumulado al 31 de diciembre del ejercicio 2015." sqref="D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D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D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D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D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D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D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D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D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D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D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D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D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D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D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D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ataValidation allowBlank="1" showInputMessage="1" showErrorMessage="1" prompt="Muestra el saldo de las cuentas acumulado al 31 de diciembre del ejercicio 2014." sqref="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ataValidation allowBlank="1" showInputMessage="1" showErrorMessage="1" prompt="Muestra el saldo de las cuentas acumulado al periodo que se presenta." sqref="C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C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C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C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C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C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C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C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C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C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C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C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C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C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C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C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ataValidation allowBlank="1" showInputMessage="1" showErrorMessage="1" prompt="Dato alfanumérico con el que se vincula este estado financiero con el documento denominado &quot;Notas a los Estados Financieros&quot;."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prompt="Corresponde al nombre o descripción de la cuenta de acuerdo al Plan de Cuentas emitido por el CONAC." sqref="B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B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B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B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B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B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B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B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B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B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B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B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B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B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B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B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allowBlank="1" showInputMessage="1" showErrorMessage="1" prompt="Corresponde al número de cuenta al 4° nivel del Plan de Cuentas emitido por el CONAC (DOF 23/12/2015)." sqref="A2 IV2 SR2 ACN2 AMJ2 AWF2 BGB2 BPX2 BZT2 CJP2 CTL2 DDH2 DND2 DWZ2 EGV2 EQR2 FAN2 FKJ2 FUF2 GEB2 GNX2 GXT2 HHP2 HRL2 IBH2 ILD2 IUZ2 JEV2 JOR2 JYN2 KIJ2 KSF2 LCB2 LLX2 LVT2 MFP2 MPL2 MZH2 NJD2 NSZ2 OCV2 OMR2 OWN2 PGJ2 PQF2 QAB2 QJX2 QTT2 RDP2 RNL2 RXH2 SHD2 SQZ2 TAV2 TKR2 TUN2 UEJ2 UOF2 UYB2 VHX2 VRT2 WBP2 WLL2 WVH2 A65538 IV65538 SR65538 ACN65538 AMJ65538 AWF65538 BGB65538 BPX65538 BZT65538 CJP65538 CTL65538 DDH65538 DND65538 DWZ65538 EGV65538 EQR65538 FAN65538 FKJ65538 FUF65538 GEB65538 GNX65538 GXT65538 HHP65538 HRL65538 IBH65538 ILD65538 IUZ65538 JEV65538 JOR65538 JYN65538 KIJ65538 KSF65538 LCB65538 LLX65538 LVT65538 MFP65538 MPL65538 MZH65538 NJD65538 NSZ65538 OCV65538 OMR65538 OWN65538 PGJ65538 PQF65538 QAB65538 QJX65538 QTT65538 RDP65538 RNL65538 RXH65538 SHD65538 SQZ65538 TAV65538 TKR65538 TUN65538 UEJ65538 UOF65538 UYB65538 VHX65538 VRT65538 WBP65538 WLL65538 WVH65538 A131074 IV131074 SR131074 ACN131074 AMJ131074 AWF131074 BGB131074 BPX131074 BZT131074 CJP131074 CTL131074 DDH131074 DND131074 DWZ131074 EGV131074 EQR131074 FAN131074 FKJ131074 FUF131074 GEB131074 GNX131074 GXT131074 HHP131074 HRL131074 IBH131074 ILD131074 IUZ131074 JEV131074 JOR131074 JYN131074 KIJ131074 KSF131074 LCB131074 LLX131074 LVT131074 MFP131074 MPL131074 MZH131074 NJD131074 NSZ131074 OCV131074 OMR131074 OWN131074 PGJ131074 PQF131074 QAB131074 QJX131074 QTT131074 RDP131074 RNL131074 RXH131074 SHD131074 SQZ131074 TAV131074 TKR131074 TUN131074 UEJ131074 UOF131074 UYB131074 VHX131074 VRT131074 WBP131074 WLL131074 WVH131074 A196610 IV196610 SR196610 ACN196610 AMJ196610 AWF196610 BGB196610 BPX196610 BZT196610 CJP196610 CTL196610 DDH196610 DND196610 DWZ196610 EGV196610 EQR196610 FAN196610 FKJ196610 FUF196610 GEB196610 GNX196610 GXT196610 HHP196610 HRL196610 IBH196610 ILD196610 IUZ196610 JEV196610 JOR196610 JYN196610 KIJ196610 KSF196610 LCB196610 LLX196610 LVT196610 MFP196610 MPL196610 MZH196610 NJD196610 NSZ196610 OCV196610 OMR196610 OWN196610 PGJ196610 PQF196610 QAB196610 QJX196610 QTT196610 RDP196610 RNL196610 RXH196610 SHD196610 SQZ196610 TAV196610 TKR196610 TUN196610 UEJ196610 UOF196610 UYB196610 VHX196610 VRT196610 WBP196610 WLL196610 WVH196610 A262146 IV262146 SR262146 ACN262146 AMJ262146 AWF262146 BGB262146 BPX262146 BZT262146 CJP262146 CTL262146 DDH262146 DND262146 DWZ262146 EGV262146 EQR262146 FAN262146 FKJ262146 FUF262146 GEB262146 GNX262146 GXT262146 HHP262146 HRL262146 IBH262146 ILD262146 IUZ262146 JEV262146 JOR262146 JYN262146 KIJ262146 KSF262146 LCB262146 LLX262146 LVT262146 MFP262146 MPL262146 MZH262146 NJD262146 NSZ262146 OCV262146 OMR262146 OWN262146 PGJ262146 PQF262146 QAB262146 QJX262146 QTT262146 RDP262146 RNL262146 RXH262146 SHD262146 SQZ262146 TAV262146 TKR262146 TUN262146 UEJ262146 UOF262146 UYB262146 VHX262146 VRT262146 WBP262146 WLL262146 WVH262146 A327682 IV327682 SR327682 ACN327682 AMJ327682 AWF327682 BGB327682 BPX327682 BZT327682 CJP327682 CTL327682 DDH327682 DND327682 DWZ327682 EGV327682 EQR327682 FAN327682 FKJ327682 FUF327682 GEB327682 GNX327682 GXT327682 HHP327682 HRL327682 IBH327682 ILD327682 IUZ327682 JEV327682 JOR327682 JYN327682 KIJ327682 KSF327682 LCB327682 LLX327682 LVT327682 MFP327682 MPL327682 MZH327682 NJD327682 NSZ327682 OCV327682 OMR327682 OWN327682 PGJ327682 PQF327682 QAB327682 QJX327682 QTT327682 RDP327682 RNL327682 RXH327682 SHD327682 SQZ327682 TAV327682 TKR327682 TUN327682 UEJ327682 UOF327682 UYB327682 VHX327682 VRT327682 WBP327682 WLL327682 WVH327682 A393218 IV393218 SR393218 ACN393218 AMJ393218 AWF393218 BGB393218 BPX393218 BZT393218 CJP393218 CTL393218 DDH393218 DND393218 DWZ393218 EGV393218 EQR393218 FAN393218 FKJ393218 FUF393218 GEB393218 GNX393218 GXT393218 HHP393218 HRL393218 IBH393218 ILD393218 IUZ393218 JEV393218 JOR393218 JYN393218 KIJ393218 KSF393218 LCB393218 LLX393218 LVT393218 MFP393218 MPL393218 MZH393218 NJD393218 NSZ393218 OCV393218 OMR393218 OWN393218 PGJ393218 PQF393218 QAB393218 QJX393218 QTT393218 RDP393218 RNL393218 RXH393218 SHD393218 SQZ393218 TAV393218 TKR393218 TUN393218 UEJ393218 UOF393218 UYB393218 VHX393218 VRT393218 WBP393218 WLL393218 WVH393218 A458754 IV458754 SR458754 ACN458754 AMJ458754 AWF458754 BGB458754 BPX458754 BZT458754 CJP458754 CTL458754 DDH458754 DND458754 DWZ458754 EGV458754 EQR458754 FAN458754 FKJ458754 FUF458754 GEB458754 GNX458754 GXT458754 HHP458754 HRL458754 IBH458754 ILD458754 IUZ458754 JEV458754 JOR458754 JYN458754 KIJ458754 KSF458754 LCB458754 LLX458754 LVT458754 MFP458754 MPL458754 MZH458754 NJD458754 NSZ458754 OCV458754 OMR458754 OWN458754 PGJ458754 PQF458754 QAB458754 QJX458754 QTT458754 RDP458754 RNL458754 RXH458754 SHD458754 SQZ458754 TAV458754 TKR458754 TUN458754 UEJ458754 UOF458754 UYB458754 VHX458754 VRT458754 WBP458754 WLL458754 WVH458754 A524290 IV524290 SR524290 ACN524290 AMJ524290 AWF524290 BGB524290 BPX524290 BZT524290 CJP524290 CTL524290 DDH524290 DND524290 DWZ524290 EGV524290 EQR524290 FAN524290 FKJ524290 FUF524290 GEB524290 GNX524290 GXT524290 HHP524290 HRL524290 IBH524290 ILD524290 IUZ524290 JEV524290 JOR524290 JYN524290 KIJ524290 KSF524290 LCB524290 LLX524290 LVT524290 MFP524290 MPL524290 MZH524290 NJD524290 NSZ524290 OCV524290 OMR524290 OWN524290 PGJ524290 PQF524290 QAB524290 QJX524290 QTT524290 RDP524290 RNL524290 RXH524290 SHD524290 SQZ524290 TAV524290 TKR524290 TUN524290 UEJ524290 UOF524290 UYB524290 VHX524290 VRT524290 WBP524290 WLL524290 WVH524290 A589826 IV589826 SR589826 ACN589826 AMJ589826 AWF589826 BGB589826 BPX589826 BZT589826 CJP589826 CTL589826 DDH589826 DND589826 DWZ589826 EGV589826 EQR589826 FAN589826 FKJ589826 FUF589826 GEB589826 GNX589826 GXT589826 HHP589826 HRL589826 IBH589826 ILD589826 IUZ589826 JEV589826 JOR589826 JYN589826 KIJ589826 KSF589826 LCB589826 LLX589826 LVT589826 MFP589826 MPL589826 MZH589826 NJD589826 NSZ589826 OCV589826 OMR589826 OWN589826 PGJ589826 PQF589826 QAB589826 QJX589826 QTT589826 RDP589826 RNL589826 RXH589826 SHD589826 SQZ589826 TAV589826 TKR589826 TUN589826 UEJ589826 UOF589826 UYB589826 VHX589826 VRT589826 WBP589826 WLL589826 WVH589826 A655362 IV655362 SR655362 ACN655362 AMJ655362 AWF655362 BGB655362 BPX655362 BZT655362 CJP655362 CTL655362 DDH655362 DND655362 DWZ655362 EGV655362 EQR655362 FAN655362 FKJ655362 FUF655362 GEB655362 GNX655362 GXT655362 HHP655362 HRL655362 IBH655362 ILD655362 IUZ655362 JEV655362 JOR655362 JYN655362 KIJ655362 KSF655362 LCB655362 LLX655362 LVT655362 MFP655362 MPL655362 MZH655362 NJD655362 NSZ655362 OCV655362 OMR655362 OWN655362 PGJ655362 PQF655362 QAB655362 QJX655362 QTT655362 RDP655362 RNL655362 RXH655362 SHD655362 SQZ655362 TAV655362 TKR655362 TUN655362 UEJ655362 UOF655362 UYB655362 VHX655362 VRT655362 WBP655362 WLL655362 WVH655362 A720898 IV720898 SR720898 ACN720898 AMJ720898 AWF720898 BGB720898 BPX720898 BZT720898 CJP720898 CTL720898 DDH720898 DND720898 DWZ720898 EGV720898 EQR720898 FAN720898 FKJ720898 FUF720898 GEB720898 GNX720898 GXT720898 HHP720898 HRL720898 IBH720898 ILD720898 IUZ720898 JEV720898 JOR720898 JYN720898 KIJ720898 KSF720898 LCB720898 LLX720898 LVT720898 MFP720898 MPL720898 MZH720898 NJD720898 NSZ720898 OCV720898 OMR720898 OWN720898 PGJ720898 PQF720898 QAB720898 QJX720898 QTT720898 RDP720898 RNL720898 RXH720898 SHD720898 SQZ720898 TAV720898 TKR720898 TUN720898 UEJ720898 UOF720898 UYB720898 VHX720898 VRT720898 WBP720898 WLL720898 WVH720898 A786434 IV786434 SR786434 ACN786434 AMJ786434 AWF786434 BGB786434 BPX786434 BZT786434 CJP786434 CTL786434 DDH786434 DND786434 DWZ786434 EGV786434 EQR786434 FAN786434 FKJ786434 FUF786434 GEB786434 GNX786434 GXT786434 HHP786434 HRL786434 IBH786434 ILD786434 IUZ786434 JEV786434 JOR786434 JYN786434 KIJ786434 KSF786434 LCB786434 LLX786434 LVT786434 MFP786434 MPL786434 MZH786434 NJD786434 NSZ786434 OCV786434 OMR786434 OWN786434 PGJ786434 PQF786434 QAB786434 QJX786434 QTT786434 RDP786434 RNL786434 RXH786434 SHD786434 SQZ786434 TAV786434 TKR786434 TUN786434 UEJ786434 UOF786434 UYB786434 VHX786434 VRT786434 WBP786434 WLL786434 WVH786434 A851970 IV851970 SR851970 ACN851970 AMJ851970 AWF851970 BGB851970 BPX851970 BZT851970 CJP851970 CTL851970 DDH851970 DND851970 DWZ851970 EGV851970 EQR851970 FAN851970 FKJ851970 FUF851970 GEB851970 GNX851970 GXT851970 HHP851970 HRL851970 IBH851970 ILD851970 IUZ851970 JEV851970 JOR851970 JYN851970 KIJ851970 KSF851970 LCB851970 LLX851970 LVT851970 MFP851970 MPL851970 MZH851970 NJD851970 NSZ851970 OCV851970 OMR851970 OWN851970 PGJ851970 PQF851970 QAB851970 QJX851970 QTT851970 RDP851970 RNL851970 RXH851970 SHD851970 SQZ851970 TAV851970 TKR851970 TUN851970 UEJ851970 UOF851970 UYB851970 VHX851970 VRT851970 WBP851970 WLL851970 WVH851970 A917506 IV917506 SR917506 ACN917506 AMJ917506 AWF917506 BGB917506 BPX917506 BZT917506 CJP917506 CTL917506 DDH917506 DND917506 DWZ917506 EGV917506 EQR917506 FAN917506 FKJ917506 FUF917506 GEB917506 GNX917506 GXT917506 HHP917506 HRL917506 IBH917506 ILD917506 IUZ917506 JEV917506 JOR917506 JYN917506 KIJ917506 KSF917506 LCB917506 LLX917506 LVT917506 MFP917506 MPL917506 MZH917506 NJD917506 NSZ917506 OCV917506 OMR917506 OWN917506 PGJ917506 PQF917506 QAB917506 QJX917506 QTT917506 RDP917506 RNL917506 RXH917506 SHD917506 SQZ917506 TAV917506 TKR917506 TUN917506 UEJ917506 UOF917506 UYB917506 VHX917506 VRT917506 WBP917506 WLL917506 WVH917506 A983042 IV983042 SR983042 ACN983042 AMJ983042 AWF983042 BGB983042 BPX983042 BZT983042 CJP983042 CTL983042 DDH983042 DND983042 DWZ983042 EGV983042 EQR983042 FAN983042 FKJ983042 FUF983042 GEB983042 GNX983042 GXT983042 HHP983042 HRL983042 IBH983042 ILD983042 IUZ983042 JEV983042 JOR983042 JYN983042 KIJ983042 KSF983042 LCB983042 LLX983042 LVT983042 MFP983042 MPL983042 MZH983042 NJD983042 NSZ983042 OCV983042 OMR983042 OWN983042 PGJ983042 PQF983042 QAB983042 QJX983042 QTT983042 RDP983042 RNL983042 RXH983042 SHD983042 SQZ983042 TAV983042 TKR983042 TUN983042 UEJ983042 UOF983042 UYB983042 VHX983042 VRT983042 WBP983042 WLL983042 WVH983042"/>
  </dataValidations>
  <pageMargins left="1.1023622047244095" right="0.70866141732283472" top="0.74803149606299213" bottom="0.74803149606299213" header="0.31496062992125984" footer="0.31496062992125984"/>
  <pageSetup scale="68" fitToHeight="0" orientation="portrait" r:id="rId1"/>
  <ignoredErrors>
    <ignoredError sqref="C3:D206 C207:D207"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31</vt:i4>
      </vt:variant>
    </vt:vector>
  </HeadingPairs>
  <TitlesOfParts>
    <vt:vector size="86" baseType="lpstr">
      <vt:lpstr>Títulos</vt:lpstr>
      <vt:lpstr>001</vt:lpstr>
      <vt:lpstr>Impresos</vt:lpstr>
      <vt:lpstr>Notas</vt:lpstr>
      <vt:lpstr>Transparencia</vt:lpstr>
      <vt:lpstr>21a y 21b</vt:lpstr>
      <vt:lpstr>31a</vt:lpstr>
      <vt:lpstr>0311_ESF</vt:lpstr>
      <vt:lpstr>0312_EA</vt:lpstr>
      <vt:lpstr>0313_EVHP</vt:lpstr>
      <vt:lpstr>0314_ECSF</vt:lpstr>
      <vt:lpstr>0315_EFE</vt:lpstr>
      <vt:lpstr>0316_EAA</vt:lpstr>
      <vt:lpstr>0317_EADOP</vt:lpstr>
      <vt:lpstr>0318_IPC</vt:lpstr>
      <vt:lpstr>002</vt:lpstr>
      <vt:lpstr>FMI</vt:lpstr>
      <vt:lpstr>0321_EAI</vt:lpstr>
      <vt:lpstr>0321_CRI</vt:lpstr>
      <vt:lpstr>0321_CFF</vt:lpstr>
      <vt:lpstr>003</vt:lpstr>
      <vt:lpstr>FME</vt:lpstr>
      <vt:lpstr>0322_EAEPE</vt:lpstr>
      <vt:lpstr>0322_COG</vt:lpstr>
      <vt:lpstr>0322_CTG</vt:lpstr>
      <vt:lpstr>0322_CA_No_Central</vt:lpstr>
      <vt:lpstr>0322_CFG</vt:lpstr>
      <vt:lpstr>0323_EN</vt:lpstr>
      <vt:lpstr>0324_ID</vt:lpstr>
      <vt:lpstr>250_FF</vt:lpstr>
      <vt:lpstr>0331_GCP</vt:lpstr>
      <vt:lpstr>0332_PK</vt:lpstr>
      <vt:lpstr>0333_IR</vt:lpstr>
      <vt:lpstr>004</vt:lpstr>
      <vt:lpstr>0341_Muebles_Contable</vt:lpstr>
      <vt:lpstr>0341_Inmuebles_Contable</vt:lpstr>
      <vt:lpstr>0341_Registro_Auxiliar</vt:lpstr>
      <vt:lpstr>0341_Bienes_sin valor</vt:lpstr>
      <vt:lpstr>0005</vt:lpstr>
      <vt:lpstr>0342_BC</vt:lpstr>
      <vt:lpstr>0343_MPASUB</vt:lpstr>
      <vt:lpstr>0344_RCTAB</vt:lpstr>
      <vt:lpstr>0345_DGTOF</vt:lpstr>
      <vt:lpstr>LDF Trim</vt:lpstr>
      <vt:lpstr>LDF Guia</vt:lpstr>
      <vt:lpstr>0351_F1</vt:lpstr>
      <vt:lpstr>0352_F2</vt:lpstr>
      <vt:lpstr>0353_F3</vt:lpstr>
      <vt:lpstr>0354_F4</vt:lpstr>
      <vt:lpstr>0355_F5</vt:lpstr>
      <vt:lpstr>0356_F6a</vt:lpstr>
      <vt:lpstr>0356_F6b</vt:lpstr>
      <vt:lpstr>0356_F6c</vt:lpstr>
      <vt:lpstr>0356_F6d</vt:lpstr>
      <vt:lpstr>0357_Guia</vt:lpstr>
      <vt:lpstr>BC_2014</vt:lpstr>
      <vt:lpstr>bc_2015</vt:lpstr>
      <vt:lpstr>bc_2015a</vt:lpstr>
      <vt:lpstr>BC_2015c</vt:lpstr>
      <vt:lpstr>bc_2016</vt:lpstr>
      <vt:lpstr>bc_2016a</vt:lpstr>
      <vt:lpstr>bc_2016c</vt:lpstr>
      <vt:lpstr>bc_2017</vt:lpstr>
      <vt:lpstr>bc_2017a</vt:lpstr>
      <vt:lpstr>bc_2017c</vt:lpstr>
      <vt:lpstr>PE_A</vt:lpstr>
      <vt:lpstr>PE_C</vt:lpstr>
      <vt:lpstr>PE_CA</vt:lpstr>
      <vt:lpstr>PE_CFF</vt:lpstr>
      <vt:lpstr>PE_CFG</vt:lpstr>
      <vt:lpstr>PE_Clave</vt:lpstr>
      <vt:lpstr>PE_COG</vt:lpstr>
      <vt:lpstr>PE_CP</vt:lpstr>
      <vt:lpstr>PE_CTG</vt:lpstr>
      <vt:lpstr>PE_D</vt:lpstr>
      <vt:lpstr>PE_E</vt:lpstr>
      <vt:lpstr>PE_M</vt:lpstr>
      <vt:lpstr>PE_P</vt:lpstr>
      <vt:lpstr>PE_py</vt:lpstr>
      <vt:lpstr>pi_ce</vt:lpstr>
      <vt:lpstr>pi_cff</vt:lpstr>
      <vt:lpstr>pi_cri</vt:lpstr>
      <vt:lpstr>pi_d</vt:lpstr>
      <vt:lpstr>pi_e</vt:lpstr>
      <vt:lpstr>pi_m</vt:lpstr>
      <vt:lpstr>pi_r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Cornelio Rico</dc:creator>
  <cp:lastModifiedBy>CP. JCLS</cp:lastModifiedBy>
  <cp:lastPrinted>2018-01-24T20:06:21Z</cp:lastPrinted>
  <dcterms:created xsi:type="dcterms:W3CDTF">2016-02-13T22:37:38Z</dcterms:created>
  <dcterms:modified xsi:type="dcterms:W3CDTF">2018-01-24T20:47:34Z</dcterms:modified>
</cp:coreProperties>
</file>